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/>
  <xr:revisionPtr revIDLastSave="0" documentId="13_ncr:1_{6A76B349-1B82-48A9-B440-FFC2DF317950}" xr6:coauthVersionLast="47" xr6:coauthVersionMax="47" xr10:uidLastSave="{00000000-0000-0000-0000-000000000000}"/>
  <bookViews>
    <workbookView xWindow="-120" yWindow="-120" windowWidth="29040" windowHeight="15840" tabRatio="913" firstSheet="12" activeTab="23" xr2:uid="{00000000-000D-0000-FFFF-FFFF00000000}"/>
  </bookViews>
  <sheets>
    <sheet name="01 - Dados de Entrada" sheetId="19" r:id="rId1"/>
    <sheet name="02 - Evolução Populacional" sheetId="20" r:id="rId2"/>
    <sheet name="03 - Geração de Resíduos" sheetId="24" r:id="rId3"/>
    <sheet name="04 - Veículos e Equipamentos" sheetId="32" r:id="rId4"/>
    <sheet name="05 - Relação de funcionários" sheetId="30" r:id="rId5"/>
    <sheet name="06 - Salários e encargos" sheetId="44" r:id="rId6"/>
    <sheet name="07 - Custos com pessoal" sheetId="35" r:id="rId7"/>
    <sheet name="08 - Custos com EPI e uniformes" sheetId="45" r:id="rId8"/>
    <sheet name="09 -Combustíveis, óleos, graxa " sheetId="39" r:id="rId9"/>
    <sheet name="10 - Rodagem" sheetId="40" r:id="rId10"/>
    <sheet name="11 - Manutenção" sheetId="41" r:id="rId11"/>
    <sheet name="12 - IPVA + Licenciamento" sheetId="52" r:id="rId12"/>
    <sheet name="13 - Despesas diversas (ADM)" sheetId="50" r:id="rId13"/>
    <sheet name="14 - Investimentos" sheetId="33" r:id="rId14"/>
    <sheet name="14.1 - Resumo " sheetId="53" r:id="rId15"/>
    <sheet name="15 - Depreciação" sheetId="68" r:id="rId16"/>
    <sheet name="16 - RU" sheetId="67" r:id="rId17"/>
    <sheet name="17 - Custos" sheetId="36" r:id="rId18"/>
    <sheet name="18 - Tarifa - RSU" sheetId="28" r:id="rId19"/>
    <sheet name="20 - Contraprestação Prefeitura" sheetId="47" r:id="rId20"/>
    <sheet name="21 - Inadimplência" sheetId="49" r:id="rId21"/>
    <sheet name="22 - Seguros" sheetId="58" r:id="rId22"/>
    <sheet name="23 - ARIS" sheetId="57" r:id="rId23"/>
    <sheet name="24 - SAMAE" sheetId="56" r:id="rId24"/>
    <sheet name="25- Crédito PIS-COFINS" sheetId="55" r:id="rId25"/>
    <sheet name="25.1- Crédito PIS-COFINS " sheetId="69" r:id="rId26"/>
    <sheet name="26 - IFRIC 12" sheetId="62" r:id="rId27"/>
    <sheet name="27 - Financiamento" sheetId="63" r:id="rId28"/>
    <sheet name="28 - Imposto de Renda" sheetId="64" r:id="rId29"/>
    <sheet name="29 - Balanço Patrimonial" sheetId="54" r:id="rId30"/>
    <sheet name="30 - Dem. Resultados" sheetId="37" r:id="rId31"/>
    <sheet name="31 - Fluxo de Caixa" sheetId="26" r:id="rId32"/>
    <sheet name="32 - VPL e TIR" sheetId="60" r:id="rId33"/>
    <sheet name="33 - WACC" sheetId="61" r:id="rId34"/>
    <sheet name="34 - Sensibilidade" sheetId="65" r:id="rId35"/>
    <sheet name="35 - Value for Money (VfM)" sheetId="66" r:id="rId36"/>
  </sheets>
  <definedNames>
    <definedName name="_xlnm._FilterDatabase" localSheetId="5" hidden="1">'06 - Salários e encargos'!$A$5:$J$22</definedName>
    <definedName name="_xlnm._FilterDatabase" localSheetId="13" hidden="1">'14 - Investimentos'!$A$3:$AR$73</definedName>
    <definedName name="_xlnm.Print_Area" localSheetId="0">'01 - Dados de Entrada'!$A$1:$E$379</definedName>
    <definedName name="_xlnm.Print_Area" localSheetId="2">'03 - Geração de Resíduos'!$A$1:$Z$45</definedName>
    <definedName name="_xlnm.Print_Area" localSheetId="3">'04 - Veículos e Equipamentos'!$A$1:$AJ$79</definedName>
    <definedName name="_xlnm.Print_Area" localSheetId="5">'06 - Salários e encargos'!$A$1:$J$63</definedName>
    <definedName name="_xlnm.Print_Area" localSheetId="6">'07 - Custos com pessoal'!$A$1:$AK$83</definedName>
    <definedName name="_xlnm.Print_Area" localSheetId="7">'08 - Custos com EPI e uniformes'!$A$1:$BA$70</definedName>
    <definedName name="_xlnm.Print_Area" localSheetId="8">'09 -Combustíveis, óleos, graxa '!$A$1:$AK$134</definedName>
    <definedName name="_xlnm.Print_Area" localSheetId="10">'11 - Manutenção'!$A$1:$AK$62</definedName>
    <definedName name="_xlnm.Print_Area" localSheetId="13">'14 - Investimentos'!$A$1:$AR$90</definedName>
    <definedName name="_xlnm.Print_Area" localSheetId="16">'16 - RU'!$A$1:$M$53</definedName>
    <definedName name="_xlnm.Print_Area" localSheetId="22">'23 - ARIS'!$A$1:$AM$47</definedName>
    <definedName name="Model_Start">'22 - Seguros'!$E$8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7" l="1"/>
  <c r="B3" i="37" s="1"/>
  <c r="D74" i="33"/>
  <c r="E70" i="33"/>
  <c r="AI23" i="33" l="1"/>
  <c r="Y23" i="33"/>
  <c r="O23" i="33"/>
  <c r="O2" i="33"/>
  <c r="E23" i="33"/>
  <c r="F73" i="33"/>
  <c r="F70" i="33" s="1"/>
  <c r="G73" i="33" l="1"/>
  <c r="H73" i="33" l="1"/>
  <c r="H70" i="33" s="1"/>
  <c r="G70" i="33"/>
  <c r="I73" i="33"/>
  <c r="I70" i="33" s="1"/>
  <c r="J73" i="33" l="1"/>
  <c r="J70" i="33" s="1"/>
  <c r="K73" i="33" l="1"/>
  <c r="K70" i="33" s="1"/>
  <c r="L73" i="33"/>
  <c r="L70" i="33" s="1"/>
  <c r="M73" i="33" l="1"/>
  <c r="M70" i="33" s="1"/>
  <c r="N73" i="33" l="1"/>
  <c r="N70" i="33" s="1"/>
  <c r="O73" i="33" l="1"/>
  <c r="O70" i="33" s="1"/>
  <c r="P73" i="33" l="1"/>
  <c r="P70" i="33" s="1"/>
  <c r="Q73" i="33" l="1"/>
  <c r="Q70" i="33" s="1"/>
  <c r="R73" i="33" l="1"/>
  <c r="A18" i="53"/>
  <c r="A23" i="53"/>
  <c r="A22" i="53"/>
  <c r="A21" i="53"/>
  <c r="A24" i="53"/>
  <c r="S73" i="33" l="1"/>
  <c r="S70" i="33" s="1"/>
  <c r="R70" i="33"/>
  <c r="T73" i="33"/>
  <c r="T70" i="33" s="1"/>
  <c r="C16" i="61"/>
  <c r="C17" i="61" s="1"/>
  <c r="C8" i="61"/>
  <c r="U73" i="33" l="1"/>
  <c r="U70" i="33" s="1"/>
  <c r="V73" i="33" l="1"/>
  <c r="V70" i="33" s="1"/>
  <c r="W73" i="33" l="1"/>
  <c r="E12" i="67"/>
  <c r="C248" i="19"/>
  <c r="C251" i="19"/>
  <c r="C250" i="19"/>
  <c r="C247" i="19"/>
  <c r="C249" i="19"/>
  <c r="X73" i="33" l="1"/>
  <c r="X70" i="33" s="1"/>
  <c r="W70" i="33"/>
  <c r="Y73" i="33"/>
  <c r="Y70" i="33" s="1"/>
  <c r="A9" i="53"/>
  <c r="A8" i="53"/>
  <c r="Z73" i="33" l="1"/>
  <c r="E26" i="33"/>
  <c r="C36" i="32"/>
  <c r="D32" i="41" s="1"/>
  <c r="D36" i="32"/>
  <c r="E32" i="41" s="1"/>
  <c r="E36" i="32"/>
  <c r="F32" i="41" s="1"/>
  <c r="F36" i="32"/>
  <c r="G32" i="41" s="1"/>
  <c r="G36" i="32"/>
  <c r="H32" i="41" s="1"/>
  <c r="H36" i="32"/>
  <c r="I32" i="41" s="1"/>
  <c r="I36" i="32"/>
  <c r="J32" i="41" s="1"/>
  <c r="J36" i="32"/>
  <c r="K32" i="41" s="1"/>
  <c r="K36" i="32"/>
  <c r="L32" i="41" s="1"/>
  <c r="L36" i="32"/>
  <c r="M32" i="41" s="1"/>
  <c r="M36" i="32"/>
  <c r="N32" i="41" s="1"/>
  <c r="N36" i="32"/>
  <c r="O32" i="41" s="1"/>
  <c r="O36" i="32"/>
  <c r="P32" i="41" s="1"/>
  <c r="P36" i="32"/>
  <c r="Q32" i="41" s="1"/>
  <c r="Q36" i="32"/>
  <c r="R32" i="41" s="1"/>
  <c r="R36" i="32"/>
  <c r="S32" i="41" s="1"/>
  <c r="S36" i="32"/>
  <c r="T32" i="41" s="1"/>
  <c r="T36" i="32"/>
  <c r="U32" i="41" s="1"/>
  <c r="U36" i="32"/>
  <c r="V32" i="41" s="1"/>
  <c r="V36" i="32"/>
  <c r="W32" i="41" s="1"/>
  <c r="W36" i="32"/>
  <c r="X32" i="41" s="1"/>
  <c r="X36" i="32"/>
  <c r="Y32" i="41" s="1"/>
  <c r="Y36" i="32"/>
  <c r="Z32" i="41" s="1"/>
  <c r="Z36" i="32"/>
  <c r="AA32" i="41" s="1"/>
  <c r="AA36" i="32"/>
  <c r="AB32" i="41" s="1"/>
  <c r="AB36" i="32"/>
  <c r="AC32" i="41" s="1"/>
  <c r="AC36" i="32"/>
  <c r="AD32" i="41" s="1"/>
  <c r="AD36" i="32"/>
  <c r="AE32" i="41" s="1"/>
  <c r="AE36" i="32"/>
  <c r="AF32" i="41" s="1"/>
  <c r="AF36" i="32"/>
  <c r="AG32" i="41" s="1"/>
  <c r="AG36" i="32"/>
  <c r="AH32" i="41" s="1"/>
  <c r="AH36" i="32"/>
  <c r="AI32" i="41" s="1"/>
  <c r="AI36" i="32"/>
  <c r="AJ32" i="41" s="1"/>
  <c r="AJ36" i="32"/>
  <c r="AK32" i="41" s="1"/>
  <c r="B36" i="32"/>
  <c r="C32" i="41" s="1"/>
  <c r="C35" i="32"/>
  <c r="D35" i="32"/>
  <c r="E35" i="32"/>
  <c r="F35" i="32"/>
  <c r="G35" i="32"/>
  <c r="H35" i="32"/>
  <c r="I35" i="32"/>
  <c r="J35" i="32"/>
  <c r="K35" i="32"/>
  <c r="L35" i="32"/>
  <c r="M35" i="32"/>
  <c r="N35" i="32"/>
  <c r="O35" i="32"/>
  <c r="P35" i="32"/>
  <c r="Q35" i="32"/>
  <c r="R35" i="32"/>
  <c r="S35" i="32"/>
  <c r="T35" i="32"/>
  <c r="U35" i="32"/>
  <c r="V35" i="32"/>
  <c r="W35" i="32"/>
  <c r="X35" i="32"/>
  <c r="Y35" i="32"/>
  <c r="Z35" i="32"/>
  <c r="AA35" i="32"/>
  <c r="AB35" i="32"/>
  <c r="AC35" i="32"/>
  <c r="AD35" i="32"/>
  <c r="AE35" i="32"/>
  <c r="AF35" i="32"/>
  <c r="AG35" i="32"/>
  <c r="AH35" i="32"/>
  <c r="AI35" i="32"/>
  <c r="AJ35" i="32"/>
  <c r="B35" i="32"/>
  <c r="AA73" i="33" l="1"/>
  <c r="AA70" i="33" s="1"/>
  <c r="Z70" i="33"/>
  <c r="AB73" i="33"/>
  <c r="AB70" i="33" s="1"/>
  <c r="B32" i="41"/>
  <c r="D30" i="41"/>
  <c r="E30" i="41"/>
  <c r="F30" i="41"/>
  <c r="G30" i="41"/>
  <c r="H30" i="41"/>
  <c r="I30" i="41"/>
  <c r="J30" i="41"/>
  <c r="K30" i="41"/>
  <c r="L30" i="41"/>
  <c r="M30" i="41"/>
  <c r="N30" i="41"/>
  <c r="O30" i="41"/>
  <c r="P30" i="41"/>
  <c r="Q30" i="41"/>
  <c r="R30" i="41"/>
  <c r="S30" i="41"/>
  <c r="T30" i="41"/>
  <c r="U30" i="41"/>
  <c r="V30" i="41"/>
  <c r="W30" i="41"/>
  <c r="X30" i="41"/>
  <c r="Y30" i="41"/>
  <c r="Z30" i="41"/>
  <c r="AA30" i="41"/>
  <c r="AB30" i="41"/>
  <c r="AC30" i="41"/>
  <c r="AD30" i="41"/>
  <c r="AE30" i="41"/>
  <c r="AF30" i="41"/>
  <c r="AG30" i="41"/>
  <c r="AH30" i="41"/>
  <c r="AI30" i="41"/>
  <c r="AJ30" i="41"/>
  <c r="AK30" i="41"/>
  <c r="C30" i="41"/>
  <c r="B56" i="30"/>
  <c r="C55" i="30"/>
  <c r="D55" i="30"/>
  <c r="E55" i="30"/>
  <c r="F55" i="30"/>
  <c r="G55" i="30"/>
  <c r="H55" i="30"/>
  <c r="I55" i="30"/>
  <c r="J55" i="30"/>
  <c r="K55" i="30"/>
  <c r="L55" i="30"/>
  <c r="M55" i="30"/>
  <c r="N55" i="30"/>
  <c r="O55" i="30"/>
  <c r="P55" i="30"/>
  <c r="Q55" i="30"/>
  <c r="R55" i="30"/>
  <c r="S55" i="30"/>
  <c r="T55" i="30"/>
  <c r="U55" i="30"/>
  <c r="V55" i="30"/>
  <c r="W55" i="30"/>
  <c r="X55" i="30"/>
  <c r="Y55" i="30"/>
  <c r="Z55" i="30"/>
  <c r="AA55" i="30"/>
  <c r="AB55" i="30"/>
  <c r="AC55" i="30"/>
  <c r="AD55" i="30"/>
  <c r="AE55" i="30"/>
  <c r="AF55" i="30"/>
  <c r="AG55" i="30"/>
  <c r="AH55" i="30"/>
  <c r="AI55" i="30"/>
  <c r="AJ55" i="30"/>
  <c r="B55" i="30"/>
  <c r="AC73" i="33" l="1"/>
  <c r="C53" i="30"/>
  <c r="D53" i="30"/>
  <c r="E53" i="30"/>
  <c r="F53" i="30"/>
  <c r="G53" i="30"/>
  <c r="H53" i="30"/>
  <c r="I53" i="30"/>
  <c r="J53" i="30"/>
  <c r="K53" i="30"/>
  <c r="L53" i="30"/>
  <c r="M53" i="30"/>
  <c r="N53" i="30"/>
  <c r="O53" i="30"/>
  <c r="P53" i="30"/>
  <c r="Q53" i="30"/>
  <c r="R53" i="30"/>
  <c r="S53" i="30"/>
  <c r="T53" i="30"/>
  <c r="U53" i="30"/>
  <c r="V53" i="30"/>
  <c r="W53" i="30"/>
  <c r="X53" i="30"/>
  <c r="Y53" i="30"/>
  <c r="Z53" i="30"/>
  <c r="AA53" i="30"/>
  <c r="AB53" i="30"/>
  <c r="AC53" i="30"/>
  <c r="AD53" i="30"/>
  <c r="AE53" i="30"/>
  <c r="AF53" i="30"/>
  <c r="AG53" i="30"/>
  <c r="AH53" i="30"/>
  <c r="AI53" i="30"/>
  <c r="AJ53" i="30"/>
  <c r="B53" i="30"/>
  <c r="B42" i="45"/>
  <c r="B43" i="45"/>
  <c r="B44" i="45"/>
  <c r="B35" i="45"/>
  <c r="B36" i="45"/>
  <c r="B37" i="45"/>
  <c r="B38" i="45"/>
  <c r="B39" i="45"/>
  <c r="B40" i="45"/>
  <c r="B41" i="45"/>
  <c r="B33" i="45"/>
  <c r="B34" i="45"/>
  <c r="B30" i="45"/>
  <c r="B31" i="45"/>
  <c r="B32" i="45"/>
  <c r="S32" i="45" s="1"/>
  <c r="B8" i="45"/>
  <c r="B9" i="45"/>
  <c r="B10" i="45"/>
  <c r="B11" i="45"/>
  <c r="B12" i="45"/>
  <c r="B13" i="45"/>
  <c r="B14" i="45"/>
  <c r="B15" i="45"/>
  <c r="B16" i="45"/>
  <c r="B17" i="45"/>
  <c r="B18" i="45"/>
  <c r="B19" i="45"/>
  <c r="B20" i="45"/>
  <c r="B21" i="45"/>
  <c r="B22" i="45"/>
  <c r="B23" i="45"/>
  <c r="B24" i="45"/>
  <c r="B25" i="45"/>
  <c r="B26" i="45"/>
  <c r="B7" i="45"/>
  <c r="AD73" i="33" l="1"/>
  <c r="AD70" i="33" s="1"/>
  <c r="AC70" i="33"/>
  <c r="AE73" i="33"/>
  <c r="D9" i="28"/>
  <c r="C10" i="28"/>
  <c r="AF73" i="33" l="1"/>
  <c r="AE70" i="33"/>
  <c r="B31" i="32"/>
  <c r="B16" i="52"/>
  <c r="AF70" i="33" l="1"/>
  <c r="AG73" i="33"/>
  <c r="C78" i="32"/>
  <c r="G18" i="36" s="1"/>
  <c r="D78" i="32"/>
  <c r="H18" i="36" s="1"/>
  <c r="E78" i="32"/>
  <c r="I18" i="36" s="1"/>
  <c r="F78" i="32"/>
  <c r="J18" i="36" s="1"/>
  <c r="G78" i="32"/>
  <c r="K18" i="36" s="1"/>
  <c r="H78" i="32"/>
  <c r="L18" i="36" s="1"/>
  <c r="I78" i="32"/>
  <c r="M18" i="36" s="1"/>
  <c r="J78" i="32"/>
  <c r="N18" i="36" s="1"/>
  <c r="K78" i="32"/>
  <c r="O18" i="36" s="1"/>
  <c r="L78" i="32"/>
  <c r="P18" i="36" s="1"/>
  <c r="M78" i="32"/>
  <c r="Q18" i="36" s="1"/>
  <c r="N78" i="32"/>
  <c r="R18" i="36" s="1"/>
  <c r="O78" i="32"/>
  <c r="S18" i="36" s="1"/>
  <c r="P78" i="32"/>
  <c r="T18" i="36" s="1"/>
  <c r="Q78" i="32"/>
  <c r="U18" i="36" s="1"/>
  <c r="R78" i="32"/>
  <c r="V18" i="36" s="1"/>
  <c r="S78" i="32"/>
  <c r="W18" i="36" s="1"/>
  <c r="T78" i="32"/>
  <c r="X18" i="36" s="1"/>
  <c r="U78" i="32"/>
  <c r="Y18" i="36" s="1"/>
  <c r="V78" i="32"/>
  <c r="Z18" i="36" s="1"/>
  <c r="W78" i="32"/>
  <c r="AA18" i="36" s="1"/>
  <c r="X78" i="32"/>
  <c r="AB18" i="36" s="1"/>
  <c r="Y78" i="32"/>
  <c r="AC18" i="36" s="1"/>
  <c r="Z78" i="32"/>
  <c r="AD18" i="36" s="1"/>
  <c r="AA78" i="32"/>
  <c r="AE18" i="36" s="1"/>
  <c r="AB78" i="32"/>
  <c r="AF18" i="36" s="1"/>
  <c r="AC78" i="32"/>
  <c r="AG18" i="36" s="1"/>
  <c r="AD78" i="32"/>
  <c r="AH18" i="36" s="1"/>
  <c r="AE78" i="32"/>
  <c r="AI18" i="36" s="1"/>
  <c r="AF78" i="32"/>
  <c r="AJ18" i="36" s="1"/>
  <c r="AG78" i="32"/>
  <c r="AK18" i="36" s="1"/>
  <c r="AH78" i="32"/>
  <c r="AL18" i="36" s="1"/>
  <c r="AI78" i="32"/>
  <c r="AM18" i="36" s="1"/>
  <c r="AJ78" i="32"/>
  <c r="AN18" i="36" s="1"/>
  <c r="F18" i="36"/>
  <c r="B12" i="32"/>
  <c r="AG70" i="33" l="1"/>
  <c r="AH73" i="33"/>
  <c r="C18" i="36"/>
  <c r="B20" i="53" s="1"/>
  <c r="J8" i="32"/>
  <c r="K8" i="32"/>
  <c r="L8" i="32"/>
  <c r="M8" i="32"/>
  <c r="N8" i="32"/>
  <c r="O8" i="32"/>
  <c r="P8" i="32"/>
  <c r="Q8" i="32"/>
  <c r="R8" i="32"/>
  <c r="S8" i="32"/>
  <c r="T8" i="32"/>
  <c r="U8" i="32"/>
  <c r="V8" i="32"/>
  <c r="W8" i="32"/>
  <c r="X8" i="32"/>
  <c r="Y8" i="32"/>
  <c r="Z8" i="32"/>
  <c r="AA8" i="32"/>
  <c r="AB8" i="32"/>
  <c r="AC8" i="32"/>
  <c r="AD8" i="32"/>
  <c r="AE8" i="32"/>
  <c r="AF8" i="32"/>
  <c r="AG8" i="32"/>
  <c r="AH8" i="32"/>
  <c r="AI8" i="32"/>
  <c r="AJ8" i="32"/>
  <c r="C8" i="32"/>
  <c r="D8" i="32"/>
  <c r="E8" i="32"/>
  <c r="F8" i="32"/>
  <c r="G8" i="32"/>
  <c r="H8" i="32"/>
  <c r="I8" i="32"/>
  <c r="B8" i="32"/>
  <c r="AI73" i="33" l="1"/>
  <c r="AI70" i="33" s="1"/>
  <c r="AH70" i="33"/>
  <c r="AJ73" i="33"/>
  <c r="AJ70" i="33" s="1"/>
  <c r="P10" i="41"/>
  <c r="AE10" i="41"/>
  <c r="W10" i="41"/>
  <c r="O10" i="41"/>
  <c r="AF10" i="41"/>
  <c r="AK10" i="41"/>
  <c r="AI10" i="41"/>
  <c r="Z10" i="41"/>
  <c r="G10" i="41"/>
  <c r="AG10" i="41"/>
  <c r="Y10" i="41"/>
  <c r="Q10" i="41"/>
  <c r="E10" i="41"/>
  <c r="D10" i="41"/>
  <c r="V10" i="41"/>
  <c r="N10" i="41"/>
  <c r="C10" i="41"/>
  <c r="E10" i="33"/>
  <c r="F10" i="33" s="1"/>
  <c r="AC10" i="41"/>
  <c r="U10" i="41"/>
  <c r="M10" i="41"/>
  <c r="F10" i="41"/>
  <c r="X10" i="41"/>
  <c r="AD10" i="41"/>
  <c r="J10" i="41"/>
  <c r="AJ10" i="41"/>
  <c r="AB10" i="41"/>
  <c r="T10" i="41"/>
  <c r="L10" i="41"/>
  <c r="I10" i="41"/>
  <c r="AA10" i="41"/>
  <c r="S10" i="41"/>
  <c r="K10" i="41"/>
  <c r="H10" i="41"/>
  <c r="AH10" i="41"/>
  <c r="R10" i="41"/>
  <c r="C367" i="19"/>
  <c r="C368" i="19"/>
  <c r="C369" i="19"/>
  <c r="C20" i="28"/>
  <c r="AN11" i="28"/>
  <c r="AN22" i="28" s="1"/>
  <c r="E9" i="28"/>
  <c r="E20" i="28" s="1"/>
  <c r="E7" i="20"/>
  <c r="A8" i="24"/>
  <c r="B8" i="24"/>
  <c r="E42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40" i="20"/>
  <c r="E8" i="20"/>
  <c r="AK73" i="33" l="1"/>
  <c r="Q17" i="24"/>
  <c r="X17" i="24" s="1"/>
  <c r="F16" i="20"/>
  <c r="Q16" i="24"/>
  <c r="X16" i="24" s="1"/>
  <c r="F15" i="20"/>
  <c r="Q31" i="24"/>
  <c r="X31" i="24" s="1"/>
  <c r="F30" i="20"/>
  <c r="Q38" i="24"/>
  <c r="X38" i="24" s="1"/>
  <c r="F37" i="20"/>
  <c r="Q30" i="24"/>
  <c r="X30" i="24" s="1"/>
  <c r="F29" i="20"/>
  <c r="Q22" i="24"/>
  <c r="X22" i="24" s="1"/>
  <c r="F21" i="20"/>
  <c r="Q14" i="24"/>
  <c r="X14" i="24" s="1"/>
  <c r="F13" i="20"/>
  <c r="B47" i="20"/>
  <c r="F8" i="20"/>
  <c r="Q33" i="24"/>
  <c r="X33" i="24" s="1"/>
  <c r="F32" i="20"/>
  <c r="Q25" i="24"/>
  <c r="X25" i="24" s="1"/>
  <c r="F24" i="20"/>
  <c r="Q43" i="24"/>
  <c r="X43" i="24" s="1"/>
  <c r="Q23" i="24"/>
  <c r="X23" i="24" s="1"/>
  <c r="F22" i="20"/>
  <c r="Q37" i="24"/>
  <c r="X37" i="24" s="1"/>
  <c r="F36" i="20"/>
  <c r="Q29" i="24"/>
  <c r="X29" i="24" s="1"/>
  <c r="F28" i="20"/>
  <c r="Q21" i="24"/>
  <c r="X21" i="24" s="1"/>
  <c r="F20" i="20"/>
  <c r="Q13" i="24"/>
  <c r="X13" i="24" s="1"/>
  <c r="F12" i="20"/>
  <c r="Q36" i="24"/>
  <c r="X36" i="24" s="1"/>
  <c r="F35" i="20"/>
  <c r="Q28" i="24"/>
  <c r="X28" i="24" s="1"/>
  <c r="F27" i="20"/>
  <c r="Q20" i="24"/>
  <c r="X20" i="24" s="1"/>
  <c r="F19" i="20"/>
  <c r="Q12" i="24"/>
  <c r="X12" i="24" s="1"/>
  <c r="F11" i="20"/>
  <c r="Q41" i="24"/>
  <c r="X41" i="24" s="1"/>
  <c r="Q32" i="24"/>
  <c r="X32" i="24" s="1"/>
  <c r="F31" i="20"/>
  <c r="Q24" i="24"/>
  <c r="X24" i="24" s="1"/>
  <c r="F23" i="20"/>
  <c r="Q39" i="24"/>
  <c r="X39" i="24" s="1"/>
  <c r="F38" i="20"/>
  <c r="Q35" i="24"/>
  <c r="X35" i="24" s="1"/>
  <c r="F34" i="20"/>
  <c r="Q27" i="24"/>
  <c r="X27" i="24" s="1"/>
  <c r="F26" i="20"/>
  <c r="Q19" i="24"/>
  <c r="X19" i="24" s="1"/>
  <c r="F18" i="20"/>
  <c r="Q11" i="24"/>
  <c r="X11" i="24" s="1"/>
  <c r="F10" i="20"/>
  <c r="Q15" i="24"/>
  <c r="X15" i="24" s="1"/>
  <c r="F14" i="20"/>
  <c r="Q34" i="24"/>
  <c r="X34" i="24" s="1"/>
  <c r="F33" i="20"/>
  <c r="Q26" i="24"/>
  <c r="X26" i="24" s="1"/>
  <c r="F25" i="20"/>
  <c r="Q18" i="24"/>
  <c r="X18" i="24" s="1"/>
  <c r="F17" i="20"/>
  <c r="Q10" i="24"/>
  <c r="X10" i="24" s="1"/>
  <c r="F9" i="20"/>
  <c r="G10" i="33"/>
  <c r="A47" i="20"/>
  <c r="Q9" i="24"/>
  <c r="X9" i="24" s="1"/>
  <c r="D20" i="28"/>
  <c r="E41" i="20"/>
  <c r="F42" i="20" s="1"/>
  <c r="E39" i="20"/>
  <c r="AK70" i="33" l="1"/>
  <c r="AL73" i="33"/>
  <c r="Q40" i="24"/>
  <c r="X40" i="24" s="1"/>
  <c r="F39" i="20"/>
  <c r="Q42" i="24"/>
  <c r="X42" i="24" s="1"/>
  <c r="F41" i="20"/>
  <c r="F40" i="20"/>
  <c r="Q44" i="24"/>
  <c r="H10" i="33"/>
  <c r="I10" i="33" s="1"/>
  <c r="C169" i="19"/>
  <c r="C167" i="19" s="1"/>
  <c r="C166" i="19"/>
  <c r="C164" i="19" s="1"/>
  <c r="C60" i="32"/>
  <c r="D60" i="32"/>
  <c r="E60" i="32"/>
  <c r="F84" i="39" s="1"/>
  <c r="F60" i="32"/>
  <c r="G84" i="39" s="1"/>
  <c r="G60" i="32"/>
  <c r="G61" i="32" s="1"/>
  <c r="H60" i="32"/>
  <c r="I60" i="32"/>
  <c r="J60" i="32"/>
  <c r="K60" i="32"/>
  <c r="L60" i="32"/>
  <c r="M60" i="32"/>
  <c r="N60" i="32"/>
  <c r="N61" i="32" s="1"/>
  <c r="O60" i="32"/>
  <c r="O61" i="32" s="1"/>
  <c r="P60" i="32"/>
  <c r="Q60" i="32"/>
  <c r="R60" i="32"/>
  <c r="S60" i="32"/>
  <c r="T60" i="32"/>
  <c r="U60" i="32"/>
  <c r="V60" i="32"/>
  <c r="W84" i="39" s="1"/>
  <c r="W60" i="32"/>
  <c r="W61" i="32" s="1"/>
  <c r="X60" i="32"/>
  <c r="Y60" i="32"/>
  <c r="Z60" i="32"/>
  <c r="AA60" i="32"/>
  <c r="AB60" i="32"/>
  <c r="AC60" i="32"/>
  <c r="AD84" i="39" s="1"/>
  <c r="AD60" i="32"/>
  <c r="AE84" i="39" s="1"/>
  <c r="AE60" i="32"/>
  <c r="AE61" i="32" s="1"/>
  <c r="AF60" i="32"/>
  <c r="AG60" i="32"/>
  <c r="AH60" i="32"/>
  <c r="AI60" i="32"/>
  <c r="AJ60" i="32"/>
  <c r="C62" i="32"/>
  <c r="C63" i="32" s="1"/>
  <c r="D62" i="32"/>
  <c r="E88" i="39" s="1"/>
  <c r="E62" i="32"/>
  <c r="E63" i="32" s="1"/>
  <c r="F62" i="32"/>
  <c r="F63" i="32" s="1"/>
  <c r="G62" i="32"/>
  <c r="H88" i="39" s="1"/>
  <c r="H62" i="32"/>
  <c r="H63" i="32" s="1"/>
  <c r="I62" i="32"/>
  <c r="J88" i="39" s="1"/>
  <c r="J62" i="32"/>
  <c r="J63" i="32" s="1"/>
  <c r="K62" i="32"/>
  <c r="K63" i="32" s="1"/>
  <c r="L62" i="32"/>
  <c r="L63" i="32" s="1"/>
  <c r="M62" i="32"/>
  <c r="M63" i="32" s="1"/>
  <c r="N62" i="32"/>
  <c r="N63" i="32" s="1"/>
  <c r="O62" i="32"/>
  <c r="O63" i="32" s="1"/>
  <c r="P62" i="32"/>
  <c r="P63" i="32" s="1"/>
  <c r="Q62" i="32"/>
  <c r="Q63" i="32" s="1"/>
  <c r="R62" i="32"/>
  <c r="R63" i="32" s="1"/>
  <c r="S62" i="32"/>
  <c r="S63" i="32" s="1"/>
  <c r="T62" i="32"/>
  <c r="T63" i="32" s="1"/>
  <c r="U62" i="32"/>
  <c r="U63" i="32" s="1"/>
  <c r="V62" i="32"/>
  <c r="V63" i="32" s="1"/>
  <c r="W62" i="32"/>
  <c r="X88" i="39" s="1"/>
  <c r="X62" i="32"/>
  <c r="X63" i="32" s="1"/>
  <c r="Y62" i="32"/>
  <c r="Z88" i="39" s="1"/>
  <c r="Z62" i="32"/>
  <c r="Z63" i="32" s="1"/>
  <c r="AA62" i="32"/>
  <c r="AA63" i="32" s="1"/>
  <c r="AB62" i="32"/>
  <c r="AB63" i="32" s="1"/>
  <c r="AC62" i="32"/>
  <c r="AC63" i="32" s="1"/>
  <c r="AD62" i="32"/>
  <c r="AD63" i="32" s="1"/>
  <c r="AE62" i="32"/>
  <c r="AE63" i="32" s="1"/>
  <c r="AF62" i="32"/>
  <c r="AF63" i="32" s="1"/>
  <c r="AG62" i="32"/>
  <c r="AG63" i="32" s="1"/>
  <c r="AH62" i="32"/>
  <c r="AH63" i="32" s="1"/>
  <c r="AI62" i="32"/>
  <c r="AJ88" i="39" s="1"/>
  <c r="AJ62" i="32"/>
  <c r="AK88" i="39" s="1"/>
  <c r="B62" i="32"/>
  <c r="C88" i="39" s="1"/>
  <c r="B60" i="32"/>
  <c r="B61" i="32" s="1"/>
  <c r="C58" i="32"/>
  <c r="D80" i="39" s="1"/>
  <c r="D58" i="32"/>
  <c r="E80" i="39" s="1"/>
  <c r="E58" i="32"/>
  <c r="F80" i="39" s="1"/>
  <c r="F58" i="32"/>
  <c r="F59" i="32" s="1"/>
  <c r="G58" i="32"/>
  <c r="G59" i="32" s="1"/>
  <c r="H58" i="32"/>
  <c r="I80" i="39" s="1"/>
  <c r="I58" i="32"/>
  <c r="J80" i="39" s="1"/>
  <c r="J58" i="32"/>
  <c r="J59" i="32" s="1"/>
  <c r="K58" i="32"/>
  <c r="K59" i="32" s="1"/>
  <c r="L58" i="32"/>
  <c r="M80" i="39" s="1"/>
  <c r="M58" i="32"/>
  <c r="N80" i="39" s="1"/>
  <c r="N58" i="32"/>
  <c r="N59" i="32" s="1"/>
  <c r="O58" i="32"/>
  <c r="O59" i="32" s="1"/>
  <c r="P58" i="32"/>
  <c r="P59" i="32" s="1"/>
  <c r="Q58" i="32"/>
  <c r="R80" i="39" s="1"/>
  <c r="R58" i="32"/>
  <c r="R59" i="32" s="1"/>
  <c r="S58" i="32"/>
  <c r="T80" i="39" s="1"/>
  <c r="T58" i="32"/>
  <c r="U80" i="39" s="1"/>
  <c r="U58" i="32"/>
  <c r="U59" i="32" s="1"/>
  <c r="V58" i="32"/>
  <c r="V59" i="32" s="1"/>
  <c r="W58" i="32"/>
  <c r="W59" i="32" s="1"/>
  <c r="X58" i="32"/>
  <c r="Y80" i="39" s="1"/>
  <c r="Y58" i="32"/>
  <c r="Z80" i="39" s="1"/>
  <c r="Z58" i="32"/>
  <c r="Z59" i="32" s="1"/>
  <c r="AA58" i="32"/>
  <c r="AA59" i="32" s="1"/>
  <c r="AB58" i="32"/>
  <c r="AC80" i="39" s="1"/>
  <c r="AC58" i="32"/>
  <c r="AD80" i="39" s="1"/>
  <c r="AD58" i="32"/>
  <c r="AD59" i="32" s="1"/>
  <c r="AE58" i="32"/>
  <c r="AE59" i="32" s="1"/>
  <c r="AF58" i="32"/>
  <c r="AG80" i="39" s="1"/>
  <c r="AG58" i="32"/>
  <c r="AH80" i="39" s="1"/>
  <c r="AH58" i="32"/>
  <c r="AH59" i="32" s="1"/>
  <c r="AI58" i="32"/>
  <c r="AJ80" i="39" s="1"/>
  <c r="AJ58" i="32"/>
  <c r="AK80" i="39" s="1"/>
  <c r="B58" i="32"/>
  <c r="C80" i="39" s="1"/>
  <c r="C229" i="19"/>
  <c r="AL70" i="33" l="1"/>
  <c r="AM73" i="33"/>
  <c r="AM70" i="33" s="1"/>
  <c r="D70" i="33" s="1"/>
  <c r="C284" i="19"/>
  <c r="J10" i="33"/>
  <c r="AF80" i="40"/>
  <c r="AF81" i="40" s="1"/>
  <c r="X80" i="40"/>
  <c r="X81" i="40" s="1"/>
  <c r="P80" i="40"/>
  <c r="P81" i="40" s="1"/>
  <c r="H80" i="40"/>
  <c r="H81" i="40" s="1"/>
  <c r="AI51" i="41"/>
  <c r="AA51" i="41"/>
  <c r="S51" i="41"/>
  <c r="K51" i="41"/>
  <c r="AC61" i="32"/>
  <c r="U61" i="32"/>
  <c r="M61" i="32"/>
  <c r="E61" i="32"/>
  <c r="E52" i="33"/>
  <c r="F52" i="33" s="1"/>
  <c r="AE80" i="40"/>
  <c r="AE81" i="40" s="1"/>
  <c r="W80" i="40"/>
  <c r="W81" i="40" s="1"/>
  <c r="W82" i="40" s="1"/>
  <c r="O80" i="40"/>
  <c r="O81" i="40" s="1"/>
  <c r="G80" i="40"/>
  <c r="G81" i="40" s="1"/>
  <c r="AJ61" i="32"/>
  <c r="AB61" i="32"/>
  <c r="T61" i="32"/>
  <c r="L61" i="32"/>
  <c r="D61" i="32"/>
  <c r="AD80" i="40"/>
  <c r="AD81" i="40" s="1"/>
  <c r="AD82" i="40" s="1"/>
  <c r="V80" i="40"/>
  <c r="V81" i="40" s="1"/>
  <c r="N80" i="40"/>
  <c r="N81" i="40" s="1"/>
  <c r="F80" i="40"/>
  <c r="F81" i="40" s="1"/>
  <c r="Q51" i="41"/>
  <c r="AI61" i="32"/>
  <c r="AA61" i="32"/>
  <c r="S61" i="32"/>
  <c r="K61" i="32"/>
  <c r="C61" i="32"/>
  <c r="AK80" i="40"/>
  <c r="AK81" i="40" s="1"/>
  <c r="AC80" i="40"/>
  <c r="AC81" i="40" s="1"/>
  <c r="U80" i="40"/>
  <c r="U81" i="40" s="1"/>
  <c r="M80" i="40"/>
  <c r="M81" i="40" s="1"/>
  <c r="E80" i="40"/>
  <c r="E81" i="40" s="1"/>
  <c r="AF51" i="41"/>
  <c r="X51" i="41"/>
  <c r="P51" i="41"/>
  <c r="H51" i="41"/>
  <c r="AH61" i="32"/>
  <c r="Z61" i="32"/>
  <c r="R61" i="32"/>
  <c r="J61" i="32"/>
  <c r="AJ80" i="40"/>
  <c r="AJ81" i="40" s="1"/>
  <c r="AB80" i="40"/>
  <c r="AB81" i="40" s="1"/>
  <c r="AB82" i="40" s="1"/>
  <c r="T80" i="40"/>
  <c r="T81" i="40" s="1"/>
  <c r="L80" i="40"/>
  <c r="L81" i="40" s="1"/>
  <c r="D80" i="40"/>
  <c r="D81" i="40" s="1"/>
  <c r="AE51" i="41"/>
  <c r="W51" i="41"/>
  <c r="O51" i="41"/>
  <c r="G51" i="41"/>
  <c r="AG61" i="32"/>
  <c r="Y61" i="32"/>
  <c r="Q61" i="32"/>
  <c r="I61" i="32"/>
  <c r="AI80" i="40"/>
  <c r="AI81" i="40" s="1"/>
  <c r="AA80" i="40"/>
  <c r="AA81" i="40" s="1"/>
  <c r="S80" i="40"/>
  <c r="S81" i="40" s="1"/>
  <c r="K80" i="40"/>
  <c r="K81" i="40" s="1"/>
  <c r="V51" i="41"/>
  <c r="AF61" i="32"/>
  <c r="X61" i="32"/>
  <c r="P61" i="32"/>
  <c r="H61" i="32"/>
  <c r="AH80" i="40"/>
  <c r="AH81" i="40" s="1"/>
  <c r="Z80" i="40"/>
  <c r="Z81" i="40" s="1"/>
  <c r="R80" i="40"/>
  <c r="R81" i="40" s="1"/>
  <c r="J80" i="40"/>
  <c r="J81" i="40" s="1"/>
  <c r="J82" i="40" s="1"/>
  <c r="AG80" i="40"/>
  <c r="AG81" i="40" s="1"/>
  <c r="Y80" i="40"/>
  <c r="Y81" i="40" s="1"/>
  <c r="Q80" i="40"/>
  <c r="Q81" i="40" s="1"/>
  <c r="I80" i="40"/>
  <c r="I81" i="40" s="1"/>
  <c r="AB51" i="41"/>
  <c r="L51" i="41"/>
  <c r="AD61" i="32"/>
  <c r="V61" i="32"/>
  <c r="F61" i="32"/>
  <c r="Z81" i="39"/>
  <c r="Z82" i="39" s="1"/>
  <c r="Y81" i="39"/>
  <c r="Y82" i="39" s="1"/>
  <c r="I81" i="39"/>
  <c r="I82" i="39" s="1"/>
  <c r="AD81" i="39"/>
  <c r="AD82" i="39" s="1"/>
  <c r="AK81" i="39"/>
  <c r="AK82" i="39" s="1"/>
  <c r="AC81" i="39"/>
  <c r="AC82" i="39" s="1"/>
  <c r="S84" i="39"/>
  <c r="AJ81" i="39"/>
  <c r="AJ82" i="39" s="1"/>
  <c r="AH81" i="39"/>
  <c r="AH82" i="39" s="1"/>
  <c r="AG81" i="39"/>
  <c r="AG82" i="39" s="1"/>
  <c r="I63" i="32"/>
  <c r="R81" i="39"/>
  <c r="R82" i="39" s="1"/>
  <c r="J81" i="39"/>
  <c r="J82" i="39" s="1"/>
  <c r="Y84" i="39"/>
  <c r="G63" i="32"/>
  <c r="R84" i="39"/>
  <c r="AI84" i="39"/>
  <c r="Q84" i="39"/>
  <c r="N81" i="39"/>
  <c r="N82" i="39" s="1"/>
  <c r="F81" i="39"/>
  <c r="F82" i="39" s="1"/>
  <c r="AH84" i="39"/>
  <c r="K84" i="39"/>
  <c r="U81" i="39"/>
  <c r="U82" i="39" s="1"/>
  <c r="M81" i="39"/>
  <c r="M82" i="39" s="1"/>
  <c r="E81" i="39"/>
  <c r="E82" i="39" s="1"/>
  <c r="AG84" i="39"/>
  <c r="J84" i="39"/>
  <c r="T81" i="39"/>
  <c r="T82" i="39" s="1"/>
  <c r="D81" i="39"/>
  <c r="D82" i="39" s="1"/>
  <c r="AA84" i="39"/>
  <c r="I84" i="39"/>
  <c r="Z84" i="39"/>
  <c r="V88" i="39"/>
  <c r="D63" i="32"/>
  <c r="X84" i="39"/>
  <c r="AC88" i="39"/>
  <c r="AI63" i="32"/>
  <c r="O84" i="39"/>
  <c r="AB88" i="39"/>
  <c r="L88" i="39"/>
  <c r="D88" i="39"/>
  <c r="C80" i="40"/>
  <c r="Y63" i="32"/>
  <c r="C84" i="39"/>
  <c r="V84" i="39"/>
  <c r="N84" i="39"/>
  <c r="AI88" i="39"/>
  <c r="AA88" i="39"/>
  <c r="S88" i="39"/>
  <c r="K88" i="39"/>
  <c r="N88" i="39"/>
  <c r="AF84" i="39"/>
  <c r="H84" i="39"/>
  <c r="U88" i="39"/>
  <c r="T88" i="39"/>
  <c r="AB59" i="32"/>
  <c r="AC51" i="41" s="1"/>
  <c r="W63" i="32"/>
  <c r="AK84" i="39"/>
  <c r="AC84" i="39"/>
  <c r="U84" i="39"/>
  <c r="M84" i="39"/>
  <c r="E84" i="39"/>
  <c r="AH88" i="39"/>
  <c r="R88" i="39"/>
  <c r="AD88" i="39"/>
  <c r="AJ63" i="32"/>
  <c r="P84" i="39"/>
  <c r="M88" i="39"/>
  <c r="L59" i="32"/>
  <c r="M51" i="41" s="1"/>
  <c r="AJ84" i="39"/>
  <c r="AB84" i="39"/>
  <c r="T84" i="39"/>
  <c r="L84" i="39"/>
  <c r="D84" i="39"/>
  <c r="AG88" i="39"/>
  <c r="Y88" i="39"/>
  <c r="Q88" i="39"/>
  <c r="I88" i="39"/>
  <c r="F88" i="39"/>
  <c r="D59" i="32"/>
  <c r="E51" i="41" s="1"/>
  <c r="AF88" i="39"/>
  <c r="P88" i="39"/>
  <c r="AE88" i="39"/>
  <c r="W88" i="39"/>
  <c r="O88" i="39"/>
  <c r="G88" i="39"/>
  <c r="AG59" i="32"/>
  <c r="AH51" i="41" s="1"/>
  <c r="AF59" i="32"/>
  <c r="AG51" i="41" s="1"/>
  <c r="H59" i="32"/>
  <c r="I51" i="41" s="1"/>
  <c r="Y59" i="32"/>
  <c r="Z51" i="41" s="1"/>
  <c r="X59" i="32"/>
  <c r="Y51" i="41" s="1"/>
  <c r="T59" i="32"/>
  <c r="U51" i="41" s="1"/>
  <c r="I59" i="32"/>
  <c r="J51" i="41" s="1"/>
  <c r="Q59" i="32"/>
  <c r="R51" i="41" s="1"/>
  <c r="Q80" i="39"/>
  <c r="Q81" i="39" s="1"/>
  <c r="Q82" i="39" s="1"/>
  <c r="AJ59" i="32"/>
  <c r="AK51" i="41" s="1"/>
  <c r="C81" i="39"/>
  <c r="AF80" i="39"/>
  <c r="AF81" i="39" s="1"/>
  <c r="AF82" i="39" s="1"/>
  <c r="X80" i="39"/>
  <c r="X81" i="39" s="1"/>
  <c r="X82" i="39" s="1"/>
  <c r="P80" i="39"/>
  <c r="P81" i="39" s="1"/>
  <c r="P82" i="39" s="1"/>
  <c r="H80" i="39"/>
  <c r="H81" i="39" s="1"/>
  <c r="H82" i="39" s="1"/>
  <c r="AE80" i="39"/>
  <c r="AE81" i="39" s="1"/>
  <c r="AE82" i="39" s="1"/>
  <c r="W80" i="39"/>
  <c r="W81" i="39" s="1"/>
  <c r="W82" i="39" s="1"/>
  <c r="O80" i="39"/>
  <c r="O81" i="39" s="1"/>
  <c r="O82" i="39" s="1"/>
  <c r="G80" i="39"/>
  <c r="G81" i="39" s="1"/>
  <c r="G82" i="39" s="1"/>
  <c r="V80" i="39"/>
  <c r="V81" i="39" s="1"/>
  <c r="V82" i="39" s="1"/>
  <c r="B59" i="32"/>
  <c r="E53" i="33" s="1"/>
  <c r="AC59" i="32"/>
  <c r="AD51" i="41" s="1"/>
  <c r="M59" i="32"/>
  <c r="N51" i="41" s="1"/>
  <c r="E59" i="32"/>
  <c r="F51" i="41" s="1"/>
  <c r="AB80" i="39"/>
  <c r="AB81" i="39" s="1"/>
  <c r="AB82" i="39" s="1"/>
  <c r="L80" i="39"/>
  <c r="L81" i="39" s="1"/>
  <c r="L82" i="39" s="1"/>
  <c r="AI59" i="32"/>
  <c r="AJ51" i="41" s="1"/>
  <c r="S59" i="32"/>
  <c r="T51" i="41" s="1"/>
  <c r="C59" i="32"/>
  <c r="D51" i="41" s="1"/>
  <c r="AI80" i="39"/>
  <c r="AI81" i="39" s="1"/>
  <c r="AI82" i="39" s="1"/>
  <c r="AA80" i="39"/>
  <c r="AA81" i="39" s="1"/>
  <c r="AA82" i="39" s="1"/>
  <c r="S80" i="39"/>
  <c r="S81" i="39" s="1"/>
  <c r="S82" i="39" s="1"/>
  <c r="K80" i="39"/>
  <c r="K81" i="39" s="1"/>
  <c r="K82" i="39" s="1"/>
  <c r="B63" i="32"/>
  <c r="D73" i="33" l="1"/>
  <c r="R82" i="40"/>
  <c r="K82" i="40"/>
  <c r="AH82" i="40"/>
  <c r="AA82" i="40"/>
  <c r="M82" i="40"/>
  <c r="H82" i="40"/>
  <c r="AG82" i="40"/>
  <c r="T82" i="40"/>
  <c r="V82" i="40"/>
  <c r="O82" i="40"/>
  <c r="AJ82" i="40"/>
  <c r="AE82" i="40"/>
  <c r="Z82" i="40"/>
  <c r="S82" i="40"/>
  <c r="E82" i="40"/>
  <c r="I82" i="40"/>
  <c r="U82" i="40"/>
  <c r="P82" i="40"/>
  <c r="Q82" i="40"/>
  <c r="D82" i="40"/>
  <c r="AC82" i="40"/>
  <c r="F82" i="40"/>
  <c r="X82" i="40"/>
  <c r="AI82" i="40"/>
  <c r="Y82" i="40"/>
  <c r="L82" i="40"/>
  <c r="AK82" i="40"/>
  <c r="N82" i="40"/>
  <c r="G82" i="40"/>
  <c r="AF82" i="40"/>
  <c r="K10" i="33"/>
  <c r="C51" i="41"/>
  <c r="B51" i="41" s="1"/>
  <c r="F53" i="33"/>
  <c r="C81" i="40"/>
  <c r="B80" i="40"/>
  <c r="G52" i="33"/>
  <c r="H52" i="33" s="1"/>
  <c r="B88" i="39"/>
  <c r="B84" i="39"/>
  <c r="B81" i="39"/>
  <c r="C82" i="39"/>
  <c r="B82" i="39" s="1"/>
  <c r="B80" i="39"/>
  <c r="L10" i="33" l="1"/>
  <c r="M10" i="33" s="1"/>
  <c r="G53" i="33"/>
  <c r="H53" i="33" s="1"/>
  <c r="I53" i="33" s="1"/>
  <c r="C82" i="40"/>
  <c r="B82" i="40" s="1"/>
  <c r="B81" i="40"/>
  <c r="I52" i="33"/>
  <c r="J52" i="33" s="1"/>
  <c r="N10" i="33" l="1"/>
  <c r="J53" i="33"/>
  <c r="K53" i="33" s="1"/>
  <c r="K52" i="33"/>
  <c r="L52" i="33" s="1"/>
  <c r="O10" i="33" l="1"/>
  <c r="L53" i="33"/>
  <c r="M53" i="33" s="1"/>
  <c r="M52" i="33"/>
  <c r="P10" i="33" l="1"/>
  <c r="N52" i="33"/>
  <c r="O52" i="33" s="1"/>
  <c r="N53" i="33"/>
  <c r="O53" i="33" s="1"/>
  <c r="Q10" i="33" l="1"/>
  <c r="P52" i="33"/>
  <c r="P53" i="33"/>
  <c r="Q53" i="33" s="1"/>
  <c r="R10" i="33" l="1"/>
  <c r="Q52" i="33"/>
  <c r="R52" i="33" s="1"/>
  <c r="S52" i="33" s="1"/>
  <c r="R53" i="33"/>
  <c r="S53" i="33" s="1"/>
  <c r="S10" i="33" l="1"/>
  <c r="T10" i="33" s="1"/>
  <c r="T52" i="33"/>
  <c r="T53" i="33"/>
  <c r="U53" i="33" s="1"/>
  <c r="U10" i="33" l="1"/>
  <c r="V10" i="33" s="1"/>
  <c r="U52" i="33"/>
  <c r="V52" i="33" s="1"/>
  <c r="V53" i="33"/>
  <c r="W10" i="33" l="1"/>
  <c r="W52" i="33"/>
  <c r="X52" i="33" s="1"/>
  <c r="W53" i="33"/>
  <c r="X10" i="33" l="1"/>
  <c r="Y52" i="33"/>
  <c r="Z52" i="33" s="1"/>
  <c r="AA52" i="33" s="1"/>
  <c r="X53" i="33"/>
  <c r="Y53" i="33" s="1"/>
  <c r="Y10" i="33" l="1"/>
  <c r="Z10" i="33" s="1"/>
  <c r="AA10" i="33" s="1"/>
  <c r="AB10" i="33" s="1"/>
  <c r="AB52" i="33"/>
  <c r="Z53" i="33"/>
  <c r="AC10" i="33" l="1"/>
  <c r="AD10" i="33" s="1"/>
  <c r="AE10" i="33" s="1"/>
  <c r="AC52" i="33"/>
  <c r="AD52" i="33" s="1"/>
  <c r="AA53" i="33"/>
  <c r="AF10" i="33" l="1"/>
  <c r="AE52" i="33"/>
  <c r="AF52" i="33" s="1"/>
  <c r="AB53" i="33"/>
  <c r="AG10" i="33" l="1"/>
  <c r="AH10" i="33" s="1"/>
  <c r="AG52" i="33"/>
  <c r="AC53" i="33"/>
  <c r="AI10" i="33" l="1"/>
  <c r="AJ10" i="33" s="1"/>
  <c r="AK10" i="33" s="1"/>
  <c r="AH52" i="33"/>
  <c r="AD53" i="33"/>
  <c r="AL10" i="33" l="1"/>
  <c r="AM10" i="33" s="1"/>
  <c r="AI52" i="33"/>
  <c r="AE53" i="33"/>
  <c r="AJ52" i="33" l="1"/>
  <c r="AK52" i="33" s="1"/>
  <c r="AF53" i="33"/>
  <c r="AL52" i="33" l="1"/>
  <c r="AG53" i="33"/>
  <c r="AM52" i="33" l="1"/>
  <c r="D52" i="33" s="1"/>
  <c r="AH53" i="33"/>
  <c r="AI53" i="33" s="1"/>
  <c r="AJ53" i="33" l="1"/>
  <c r="AK53" i="33" l="1"/>
  <c r="AL53" i="33" s="1"/>
  <c r="AM53" i="33" s="1"/>
  <c r="D53" i="33" s="1"/>
  <c r="C346" i="19" l="1"/>
  <c r="J58" i="30" s="1"/>
  <c r="AG58" i="30" l="1"/>
  <c r="Q58" i="30"/>
  <c r="Y58" i="30"/>
  <c r="I58" i="30"/>
  <c r="W58" i="30"/>
  <c r="AF58" i="30"/>
  <c r="P58" i="30"/>
  <c r="G58" i="30"/>
  <c r="E58" i="30"/>
  <c r="H58" i="30"/>
  <c r="AD58" i="30"/>
  <c r="N58" i="30"/>
  <c r="AC58" i="30"/>
  <c r="T58" i="30"/>
  <c r="D58" i="30"/>
  <c r="F58" i="30"/>
  <c r="U58" i="30"/>
  <c r="AJ58" i="30"/>
  <c r="L58" i="30"/>
  <c r="AA58" i="30"/>
  <c r="S58" i="30"/>
  <c r="K58" i="30"/>
  <c r="C58" i="30"/>
  <c r="X58" i="30"/>
  <c r="AE58" i="30"/>
  <c r="O58" i="30"/>
  <c r="V58" i="30"/>
  <c r="B58" i="30"/>
  <c r="M58" i="30"/>
  <c r="AB58" i="30"/>
  <c r="AI58" i="30"/>
  <c r="AH58" i="30"/>
  <c r="Z58" i="30"/>
  <c r="R58" i="30"/>
  <c r="F14" i="47"/>
  <c r="F13" i="47" s="1"/>
  <c r="C376" i="19" l="1"/>
  <c r="C35" i="28" l="1"/>
  <c r="I23" i="55" l="1"/>
  <c r="J23" i="55"/>
  <c r="N23" i="55"/>
  <c r="O23" i="55"/>
  <c r="S23" i="55"/>
  <c r="T23" i="55"/>
  <c r="X23" i="55"/>
  <c r="Y23" i="55"/>
  <c r="AC23" i="55"/>
  <c r="AD23" i="55"/>
  <c r="AH23" i="55"/>
  <c r="AI23" i="55"/>
  <c r="AM23" i="55"/>
  <c r="AN23" i="55"/>
  <c r="AG37" i="69"/>
  <c r="AF37" i="69"/>
  <c r="AE37" i="69"/>
  <c r="AD37" i="69"/>
  <c r="AC37" i="69"/>
  <c r="AB37" i="69"/>
  <c r="AA37" i="69"/>
  <c r="Z37" i="69"/>
  <c r="Y37" i="69"/>
  <c r="X37" i="69"/>
  <c r="W37" i="69"/>
  <c r="V37" i="69"/>
  <c r="U37" i="69"/>
  <c r="T37" i="69"/>
  <c r="S37" i="69"/>
  <c r="R37" i="69"/>
  <c r="Q37" i="69"/>
  <c r="P37" i="69"/>
  <c r="O37" i="69"/>
  <c r="N37" i="69"/>
  <c r="M37" i="69"/>
  <c r="L37" i="69"/>
  <c r="K37" i="69"/>
  <c r="J37" i="69"/>
  <c r="I37" i="69"/>
  <c r="H37" i="69"/>
  <c r="G37" i="69"/>
  <c r="F37" i="69"/>
  <c r="E37" i="69"/>
  <c r="D37" i="69"/>
  <c r="AF36" i="69"/>
  <c r="AE36" i="69"/>
  <c r="AD36" i="69"/>
  <c r="AC36" i="69"/>
  <c r="AB36" i="69"/>
  <c r="AA36" i="69"/>
  <c r="Z36" i="69"/>
  <c r="Y36" i="69"/>
  <c r="X36" i="69"/>
  <c r="W36" i="69"/>
  <c r="V36" i="69"/>
  <c r="U36" i="69"/>
  <c r="T36" i="69"/>
  <c r="S36" i="69"/>
  <c r="R36" i="69"/>
  <c r="Q36" i="69"/>
  <c r="P36" i="69"/>
  <c r="O36" i="69"/>
  <c r="N36" i="69"/>
  <c r="M36" i="69"/>
  <c r="L36" i="69"/>
  <c r="K36" i="69"/>
  <c r="J36" i="69"/>
  <c r="I36" i="69"/>
  <c r="H36" i="69"/>
  <c r="G36" i="69"/>
  <c r="F36" i="69"/>
  <c r="E36" i="69"/>
  <c r="D36" i="69"/>
  <c r="AE35" i="69"/>
  <c r="AD35" i="69"/>
  <c r="AC35" i="69"/>
  <c r="AB35" i="69"/>
  <c r="AA35" i="69"/>
  <c r="Z35" i="69"/>
  <c r="Y35" i="69"/>
  <c r="X35" i="69"/>
  <c r="W35" i="69"/>
  <c r="V35" i="69"/>
  <c r="U35" i="69"/>
  <c r="T35" i="69"/>
  <c r="S35" i="69"/>
  <c r="R35" i="69"/>
  <c r="Q35" i="69"/>
  <c r="P35" i="69"/>
  <c r="O35" i="69"/>
  <c r="N35" i="69"/>
  <c r="M35" i="69"/>
  <c r="L35" i="69"/>
  <c r="K35" i="69"/>
  <c r="J35" i="69"/>
  <c r="I35" i="69"/>
  <c r="H35" i="69"/>
  <c r="G35" i="69"/>
  <c r="F35" i="69"/>
  <c r="E35" i="69"/>
  <c r="D35" i="69"/>
  <c r="AD34" i="69"/>
  <c r="AC34" i="69"/>
  <c r="AB34" i="69"/>
  <c r="AA34" i="69"/>
  <c r="Z34" i="69"/>
  <c r="Y34" i="69"/>
  <c r="X34" i="69"/>
  <c r="W34" i="69"/>
  <c r="V34" i="69"/>
  <c r="U34" i="69"/>
  <c r="T34" i="69"/>
  <c r="S34" i="69"/>
  <c r="R34" i="69"/>
  <c r="Q34" i="69"/>
  <c r="P34" i="69"/>
  <c r="O34" i="69"/>
  <c r="N34" i="69"/>
  <c r="M34" i="69"/>
  <c r="L34" i="69"/>
  <c r="K34" i="69"/>
  <c r="J34" i="69"/>
  <c r="I34" i="69"/>
  <c r="H34" i="69"/>
  <c r="G34" i="69"/>
  <c r="F34" i="69"/>
  <c r="E34" i="69"/>
  <c r="D34" i="69"/>
  <c r="AC33" i="69"/>
  <c r="AB33" i="69"/>
  <c r="AA33" i="69"/>
  <c r="Z33" i="69"/>
  <c r="Y33" i="69"/>
  <c r="X33" i="69"/>
  <c r="W33" i="69"/>
  <c r="V33" i="69"/>
  <c r="U33" i="69"/>
  <c r="T33" i="69"/>
  <c r="S33" i="69"/>
  <c r="R33" i="69"/>
  <c r="Q33" i="69"/>
  <c r="P33" i="69"/>
  <c r="O33" i="69"/>
  <c r="N33" i="69"/>
  <c r="M33" i="69"/>
  <c r="L33" i="69"/>
  <c r="K33" i="69"/>
  <c r="J33" i="69"/>
  <c r="I33" i="69"/>
  <c r="H33" i="69"/>
  <c r="G33" i="69"/>
  <c r="F33" i="69"/>
  <c r="E33" i="69"/>
  <c r="D33" i="69"/>
  <c r="AB32" i="69"/>
  <c r="AA32" i="69"/>
  <c r="Z32" i="69"/>
  <c r="Y32" i="69"/>
  <c r="X32" i="69"/>
  <c r="W32" i="69"/>
  <c r="V32" i="69"/>
  <c r="U32" i="69"/>
  <c r="T32" i="69"/>
  <c r="S32" i="69"/>
  <c r="R32" i="69"/>
  <c r="Q32" i="69"/>
  <c r="P32" i="69"/>
  <c r="O32" i="69"/>
  <c r="N32" i="69"/>
  <c r="M32" i="69"/>
  <c r="L32" i="69"/>
  <c r="K32" i="69"/>
  <c r="J32" i="69"/>
  <c r="I32" i="69"/>
  <c r="H32" i="69"/>
  <c r="G32" i="69"/>
  <c r="F32" i="69"/>
  <c r="E32" i="69"/>
  <c r="D32" i="69"/>
  <c r="AA31" i="69"/>
  <c r="Z31" i="69"/>
  <c r="Y31" i="69"/>
  <c r="X31" i="69"/>
  <c r="W31" i="69"/>
  <c r="V31" i="69"/>
  <c r="U31" i="69"/>
  <c r="T31" i="69"/>
  <c r="S31" i="69"/>
  <c r="R31" i="69"/>
  <c r="Q31" i="69"/>
  <c r="P31" i="69"/>
  <c r="O31" i="69"/>
  <c r="N31" i="69"/>
  <c r="M31" i="69"/>
  <c r="L31" i="69"/>
  <c r="K31" i="69"/>
  <c r="J31" i="69"/>
  <c r="I31" i="69"/>
  <c r="H31" i="69"/>
  <c r="G31" i="69"/>
  <c r="F31" i="69"/>
  <c r="E31" i="69"/>
  <c r="D31" i="69"/>
  <c r="Z30" i="69"/>
  <c r="Y30" i="69"/>
  <c r="X30" i="69"/>
  <c r="W30" i="69"/>
  <c r="V30" i="69"/>
  <c r="U30" i="69"/>
  <c r="T30" i="69"/>
  <c r="S30" i="69"/>
  <c r="R30" i="69"/>
  <c r="Q30" i="69"/>
  <c r="P30" i="69"/>
  <c r="O30" i="69"/>
  <c r="N30" i="69"/>
  <c r="M30" i="69"/>
  <c r="L30" i="69"/>
  <c r="K30" i="69"/>
  <c r="J30" i="69"/>
  <c r="I30" i="69"/>
  <c r="H30" i="69"/>
  <c r="G30" i="69"/>
  <c r="F30" i="69"/>
  <c r="E30" i="69"/>
  <c r="D30" i="69"/>
  <c r="Y29" i="69"/>
  <c r="X29" i="69"/>
  <c r="W29" i="69"/>
  <c r="V29" i="69"/>
  <c r="U29" i="69"/>
  <c r="T29" i="69"/>
  <c r="S29" i="69"/>
  <c r="R29" i="69"/>
  <c r="Q29" i="69"/>
  <c r="P29" i="69"/>
  <c r="O29" i="69"/>
  <c r="N29" i="69"/>
  <c r="M29" i="69"/>
  <c r="L29" i="69"/>
  <c r="K29" i="69"/>
  <c r="J29" i="69"/>
  <c r="I29" i="69"/>
  <c r="H29" i="69"/>
  <c r="G29" i="69"/>
  <c r="F29" i="69"/>
  <c r="E29" i="69"/>
  <c r="D29" i="69"/>
  <c r="X28" i="69"/>
  <c r="W28" i="69"/>
  <c r="V28" i="69"/>
  <c r="U28" i="69"/>
  <c r="T28" i="69"/>
  <c r="S28" i="69"/>
  <c r="R28" i="69"/>
  <c r="Q28" i="69"/>
  <c r="P28" i="69"/>
  <c r="O28" i="69"/>
  <c r="N28" i="69"/>
  <c r="M28" i="69"/>
  <c r="L28" i="69"/>
  <c r="K28" i="69"/>
  <c r="J28" i="69"/>
  <c r="I28" i="69"/>
  <c r="H28" i="69"/>
  <c r="G28" i="69"/>
  <c r="F28" i="69"/>
  <c r="E28" i="69"/>
  <c r="D28" i="69"/>
  <c r="W27" i="69"/>
  <c r="V27" i="69"/>
  <c r="U27" i="69"/>
  <c r="T27" i="69"/>
  <c r="S27" i="69"/>
  <c r="R27" i="69"/>
  <c r="Q27" i="69"/>
  <c r="P27" i="69"/>
  <c r="O27" i="69"/>
  <c r="N27" i="69"/>
  <c r="M27" i="69"/>
  <c r="L27" i="69"/>
  <c r="K27" i="69"/>
  <c r="J27" i="69"/>
  <c r="I27" i="69"/>
  <c r="H27" i="69"/>
  <c r="G27" i="69"/>
  <c r="F27" i="69"/>
  <c r="E27" i="69"/>
  <c r="D27" i="69"/>
  <c r="V26" i="69"/>
  <c r="U26" i="69"/>
  <c r="T26" i="69"/>
  <c r="S26" i="69"/>
  <c r="R26" i="69"/>
  <c r="Q26" i="69"/>
  <c r="P26" i="69"/>
  <c r="O26" i="69"/>
  <c r="N26" i="69"/>
  <c r="M26" i="69"/>
  <c r="L26" i="69"/>
  <c r="K26" i="69"/>
  <c r="J26" i="69"/>
  <c r="I26" i="69"/>
  <c r="H26" i="69"/>
  <c r="G26" i="69"/>
  <c r="F26" i="69"/>
  <c r="E26" i="69"/>
  <c r="D26" i="69"/>
  <c r="U25" i="69"/>
  <c r="T25" i="69"/>
  <c r="S25" i="69"/>
  <c r="R25" i="69"/>
  <c r="Q25" i="69"/>
  <c r="P25" i="69"/>
  <c r="O25" i="69"/>
  <c r="N25" i="69"/>
  <c r="M25" i="69"/>
  <c r="L25" i="69"/>
  <c r="K25" i="69"/>
  <c r="J25" i="69"/>
  <c r="I25" i="69"/>
  <c r="H25" i="69"/>
  <c r="G25" i="69"/>
  <c r="F25" i="69"/>
  <c r="E25" i="69"/>
  <c r="D25" i="69"/>
  <c r="T24" i="69"/>
  <c r="S24" i="69"/>
  <c r="R24" i="69"/>
  <c r="Q24" i="69"/>
  <c r="P24" i="69"/>
  <c r="O24" i="69"/>
  <c r="N24" i="69"/>
  <c r="M24" i="69"/>
  <c r="L24" i="69"/>
  <c r="K24" i="69"/>
  <c r="J24" i="69"/>
  <c r="I24" i="69"/>
  <c r="H24" i="69"/>
  <c r="G24" i="69"/>
  <c r="F24" i="69"/>
  <c r="E24" i="69"/>
  <c r="D24" i="69"/>
  <c r="S23" i="69"/>
  <c r="R23" i="69"/>
  <c r="Q23" i="69"/>
  <c r="P23" i="69"/>
  <c r="O23" i="69"/>
  <c r="N23" i="69"/>
  <c r="M23" i="69"/>
  <c r="L23" i="69"/>
  <c r="K23" i="69"/>
  <c r="J23" i="69"/>
  <c r="I23" i="69"/>
  <c r="H23" i="69"/>
  <c r="G23" i="69"/>
  <c r="F23" i="69"/>
  <c r="E23" i="69"/>
  <c r="D23" i="69"/>
  <c r="R22" i="69"/>
  <c r="Q22" i="69"/>
  <c r="P22" i="69"/>
  <c r="O22" i="69"/>
  <c r="N22" i="69"/>
  <c r="M22" i="69"/>
  <c r="L22" i="69"/>
  <c r="K22" i="69"/>
  <c r="J22" i="69"/>
  <c r="I22" i="69"/>
  <c r="H22" i="69"/>
  <c r="G22" i="69"/>
  <c r="F22" i="69"/>
  <c r="E22" i="69"/>
  <c r="D22" i="69"/>
  <c r="Q21" i="69"/>
  <c r="P21" i="69"/>
  <c r="O21" i="69"/>
  <c r="N21" i="69"/>
  <c r="M21" i="69"/>
  <c r="L21" i="69"/>
  <c r="K21" i="69"/>
  <c r="J21" i="69"/>
  <c r="I21" i="69"/>
  <c r="H21" i="69"/>
  <c r="G21" i="69"/>
  <c r="F21" i="69"/>
  <c r="E21" i="69"/>
  <c r="D21" i="69"/>
  <c r="P20" i="69"/>
  <c r="O20" i="69"/>
  <c r="N20" i="69"/>
  <c r="M20" i="69"/>
  <c r="L20" i="69"/>
  <c r="K20" i="69"/>
  <c r="J20" i="69"/>
  <c r="I20" i="69"/>
  <c r="H20" i="69"/>
  <c r="G20" i="69"/>
  <c r="F20" i="69"/>
  <c r="E20" i="69"/>
  <c r="D20" i="69"/>
  <c r="O19" i="69"/>
  <c r="N19" i="69"/>
  <c r="M19" i="69"/>
  <c r="L19" i="69"/>
  <c r="K19" i="69"/>
  <c r="J19" i="69"/>
  <c r="I19" i="69"/>
  <c r="H19" i="69"/>
  <c r="G19" i="69"/>
  <c r="F19" i="69"/>
  <c r="E19" i="69"/>
  <c r="D19" i="69"/>
  <c r="N18" i="69"/>
  <c r="M18" i="69"/>
  <c r="L18" i="69"/>
  <c r="K18" i="69"/>
  <c r="J18" i="69"/>
  <c r="I18" i="69"/>
  <c r="H18" i="69"/>
  <c r="G18" i="69"/>
  <c r="F18" i="69"/>
  <c r="E18" i="69"/>
  <c r="D18" i="69"/>
  <c r="M17" i="69"/>
  <c r="L17" i="69"/>
  <c r="K17" i="69"/>
  <c r="J17" i="69"/>
  <c r="I17" i="69"/>
  <c r="H17" i="69"/>
  <c r="G17" i="69"/>
  <c r="F17" i="69"/>
  <c r="E17" i="69"/>
  <c r="D17" i="69"/>
  <c r="L16" i="69"/>
  <c r="K16" i="69"/>
  <c r="J16" i="69"/>
  <c r="I16" i="69"/>
  <c r="H16" i="69"/>
  <c r="G16" i="69"/>
  <c r="F16" i="69"/>
  <c r="E16" i="69"/>
  <c r="D16" i="69"/>
  <c r="K15" i="69"/>
  <c r="J15" i="69"/>
  <c r="I15" i="69"/>
  <c r="H15" i="69"/>
  <c r="G15" i="69"/>
  <c r="F15" i="69"/>
  <c r="E15" i="69"/>
  <c r="D15" i="69"/>
  <c r="J14" i="69"/>
  <c r="I14" i="69"/>
  <c r="H14" i="69"/>
  <c r="G14" i="69"/>
  <c r="F14" i="69"/>
  <c r="E14" i="69"/>
  <c r="D14" i="69"/>
  <c r="I13" i="69"/>
  <c r="H13" i="69"/>
  <c r="G13" i="69"/>
  <c r="F13" i="69"/>
  <c r="E13" i="69"/>
  <c r="D13" i="69"/>
  <c r="H12" i="69"/>
  <c r="G12" i="69"/>
  <c r="F12" i="69"/>
  <c r="E12" i="69"/>
  <c r="D12" i="69"/>
  <c r="G11" i="69"/>
  <c r="F11" i="69"/>
  <c r="E11" i="69"/>
  <c r="D11" i="69"/>
  <c r="F10" i="69"/>
  <c r="E10" i="69"/>
  <c r="D10" i="69"/>
  <c r="E9" i="69"/>
  <c r="D9" i="69"/>
  <c r="B29" i="66" l="1"/>
  <c r="H10" i="66"/>
  <c r="I10" i="66" s="1"/>
  <c r="J10" i="66" s="1"/>
  <c r="K10" i="66" s="1"/>
  <c r="L10" i="66" s="1"/>
  <c r="M10" i="66" s="1"/>
  <c r="N10" i="66" s="1"/>
  <c r="O10" i="66" s="1"/>
  <c r="P10" i="66" s="1"/>
  <c r="Q10" i="66" s="1"/>
  <c r="R10" i="66" s="1"/>
  <c r="S10" i="66" s="1"/>
  <c r="T10" i="66" s="1"/>
  <c r="U10" i="66" s="1"/>
  <c r="V10" i="66" s="1"/>
  <c r="W10" i="66" s="1"/>
  <c r="X10" i="66" s="1"/>
  <c r="Y10" i="66" s="1"/>
  <c r="Z10" i="66" s="1"/>
  <c r="AA10" i="66" s="1"/>
  <c r="AB10" i="66" s="1"/>
  <c r="AC10" i="66" s="1"/>
  <c r="AD10" i="66" s="1"/>
  <c r="AE10" i="66" s="1"/>
  <c r="AF10" i="66" s="1"/>
  <c r="AG10" i="66" s="1"/>
  <c r="AH10" i="66" s="1"/>
  <c r="AI10" i="66" s="1"/>
  <c r="AJ10" i="66" s="1"/>
  <c r="AK10" i="66" s="1"/>
  <c r="AL10" i="66" s="1"/>
  <c r="E9" i="66"/>
  <c r="F9" i="66" s="1"/>
  <c r="G9" i="66" s="1"/>
  <c r="H9" i="66" s="1"/>
  <c r="I9" i="66" s="1"/>
  <c r="J9" i="66" s="1"/>
  <c r="K9" i="66" s="1"/>
  <c r="L9" i="66" s="1"/>
  <c r="M9" i="66" s="1"/>
  <c r="N9" i="66" s="1"/>
  <c r="O9" i="66" s="1"/>
  <c r="P9" i="66" s="1"/>
  <c r="Q9" i="66" s="1"/>
  <c r="R9" i="66" s="1"/>
  <c r="S9" i="66" s="1"/>
  <c r="T9" i="66" s="1"/>
  <c r="U9" i="66" s="1"/>
  <c r="V9" i="66" s="1"/>
  <c r="W9" i="66" s="1"/>
  <c r="X9" i="66" s="1"/>
  <c r="Y9" i="66" s="1"/>
  <c r="Z9" i="66" s="1"/>
  <c r="AA9" i="66" s="1"/>
  <c r="AB9" i="66" s="1"/>
  <c r="AC9" i="66" s="1"/>
  <c r="AD9" i="66" s="1"/>
  <c r="AE9" i="66" s="1"/>
  <c r="AF9" i="66" s="1"/>
  <c r="AG9" i="66" s="1"/>
  <c r="AH9" i="66" s="1"/>
  <c r="AI9" i="66" s="1"/>
  <c r="AJ9" i="66" s="1"/>
  <c r="AK9" i="66" s="1"/>
  <c r="AL9" i="66" s="1"/>
  <c r="H8" i="66"/>
  <c r="I8" i="66" s="1"/>
  <c r="J8" i="66" s="1"/>
  <c r="K8" i="66" s="1"/>
  <c r="L8" i="66" s="1"/>
  <c r="M8" i="66" s="1"/>
  <c r="N8" i="66" s="1"/>
  <c r="O8" i="66" s="1"/>
  <c r="P8" i="66" s="1"/>
  <c r="Q8" i="66" s="1"/>
  <c r="R8" i="66" s="1"/>
  <c r="S8" i="66" s="1"/>
  <c r="T8" i="66" s="1"/>
  <c r="U8" i="66" s="1"/>
  <c r="V8" i="66" s="1"/>
  <c r="W8" i="66" s="1"/>
  <c r="X8" i="66" s="1"/>
  <c r="Y8" i="66" s="1"/>
  <c r="Z8" i="66" s="1"/>
  <c r="AA8" i="66" s="1"/>
  <c r="AB8" i="66" s="1"/>
  <c r="AC8" i="66" s="1"/>
  <c r="AD8" i="66" s="1"/>
  <c r="AE8" i="66" s="1"/>
  <c r="AF8" i="66" s="1"/>
  <c r="AG8" i="66" s="1"/>
  <c r="AH8" i="66" s="1"/>
  <c r="AI8" i="66" s="1"/>
  <c r="AJ8" i="66" s="1"/>
  <c r="AK8" i="66" s="1"/>
  <c r="AL8" i="66" s="1"/>
  <c r="H7" i="66"/>
  <c r="I7" i="66" s="1"/>
  <c r="J7" i="66" s="1"/>
  <c r="K7" i="66" s="1"/>
  <c r="L7" i="66" s="1"/>
  <c r="M7" i="66" s="1"/>
  <c r="N7" i="66" s="1"/>
  <c r="O7" i="66" s="1"/>
  <c r="P7" i="66" s="1"/>
  <c r="Q7" i="66" s="1"/>
  <c r="R7" i="66" s="1"/>
  <c r="S7" i="66" s="1"/>
  <c r="T7" i="66" s="1"/>
  <c r="U7" i="66" s="1"/>
  <c r="V7" i="66" s="1"/>
  <c r="W7" i="66" s="1"/>
  <c r="X7" i="66" s="1"/>
  <c r="Y7" i="66" s="1"/>
  <c r="Z7" i="66" s="1"/>
  <c r="AA7" i="66" s="1"/>
  <c r="AB7" i="66" s="1"/>
  <c r="AC7" i="66" s="1"/>
  <c r="AD7" i="66" s="1"/>
  <c r="AE7" i="66" s="1"/>
  <c r="AF7" i="66" s="1"/>
  <c r="AG7" i="66" s="1"/>
  <c r="AH7" i="66" s="1"/>
  <c r="AI7" i="66" s="1"/>
  <c r="AJ7" i="66" s="1"/>
  <c r="AK7" i="66" s="1"/>
  <c r="AL7" i="66" s="1"/>
  <c r="H6" i="66"/>
  <c r="I6" i="66" s="1"/>
  <c r="J6" i="66" s="1"/>
  <c r="K6" i="66" s="1"/>
  <c r="L6" i="66" s="1"/>
  <c r="M6" i="66" s="1"/>
  <c r="N6" i="66" s="1"/>
  <c r="O6" i="66" s="1"/>
  <c r="P6" i="66" s="1"/>
  <c r="Q6" i="66" s="1"/>
  <c r="R6" i="66" s="1"/>
  <c r="S6" i="66" s="1"/>
  <c r="T6" i="66" s="1"/>
  <c r="U6" i="66" s="1"/>
  <c r="V6" i="66" s="1"/>
  <c r="W6" i="66" s="1"/>
  <c r="X6" i="66" s="1"/>
  <c r="Y6" i="66" s="1"/>
  <c r="Z6" i="66" s="1"/>
  <c r="AA6" i="66" s="1"/>
  <c r="AB6" i="66" s="1"/>
  <c r="AC6" i="66" s="1"/>
  <c r="AD6" i="66" s="1"/>
  <c r="AE6" i="66" s="1"/>
  <c r="AF6" i="66" s="1"/>
  <c r="AG6" i="66" s="1"/>
  <c r="AH6" i="66" s="1"/>
  <c r="AI6" i="66" s="1"/>
  <c r="AJ6" i="66" s="1"/>
  <c r="AK6" i="66" s="1"/>
  <c r="AL6" i="66" s="1"/>
  <c r="H5" i="66"/>
  <c r="I5" i="66" s="1"/>
  <c r="J5" i="66" s="1"/>
  <c r="K5" i="66" s="1"/>
  <c r="L5" i="66" s="1"/>
  <c r="M5" i="66" s="1"/>
  <c r="N5" i="66" s="1"/>
  <c r="O5" i="66" s="1"/>
  <c r="P5" i="66" s="1"/>
  <c r="Q5" i="66" s="1"/>
  <c r="R5" i="66" s="1"/>
  <c r="S5" i="66" s="1"/>
  <c r="T5" i="66" s="1"/>
  <c r="U5" i="66" s="1"/>
  <c r="V5" i="66" s="1"/>
  <c r="W5" i="66" s="1"/>
  <c r="X5" i="66" s="1"/>
  <c r="Y5" i="66" s="1"/>
  <c r="Z5" i="66" s="1"/>
  <c r="AA5" i="66" s="1"/>
  <c r="AB5" i="66" s="1"/>
  <c r="AC5" i="66" s="1"/>
  <c r="AD5" i="66" s="1"/>
  <c r="AE5" i="66" s="1"/>
  <c r="AF5" i="66" s="1"/>
  <c r="AG5" i="66" s="1"/>
  <c r="AH5" i="66" s="1"/>
  <c r="AI5" i="66" s="1"/>
  <c r="AJ5" i="66" s="1"/>
  <c r="AK5" i="66" s="1"/>
  <c r="AL5" i="66" s="1"/>
  <c r="H4" i="66"/>
  <c r="I4" i="66" s="1"/>
  <c r="J4" i="66" s="1"/>
  <c r="K4" i="66" s="1"/>
  <c r="L4" i="66" s="1"/>
  <c r="M4" i="66" s="1"/>
  <c r="N4" i="66" s="1"/>
  <c r="O4" i="66" s="1"/>
  <c r="P4" i="66" s="1"/>
  <c r="Q4" i="66" s="1"/>
  <c r="R4" i="66" s="1"/>
  <c r="S4" i="66" s="1"/>
  <c r="T4" i="66" s="1"/>
  <c r="U4" i="66" s="1"/>
  <c r="V4" i="66" s="1"/>
  <c r="W4" i="66" s="1"/>
  <c r="X4" i="66" s="1"/>
  <c r="Y4" i="66" s="1"/>
  <c r="Z4" i="66" s="1"/>
  <c r="AA4" i="66" s="1"/>
  <c r="AB4" i="66" s="1"/>
  <c r="AC4" i="66" s="1"/>
  <c r="AD4" i="66" s="1"/>
  <c r="AE4" i="66" s="1"/>
  <c r="AF4" i="66" s="1"/>
  <c r="AG4" i="66" s="1"/>
  <c r="AH4" i="66" s="1"/>
  <c r="AI4" i="66" s="1"/>
  <c r="AJ4" i="66" s="1"/>
  <c r="AK4" i="66" s="1"/>
  <c r="AL4" i="66" s="1"/>
  <c r="C33" i="63"/>
  <c r="C11" i="61"/>
  <c r="C13" i="61" s="1"/>
  <c r="B3" i="60"/>
  <c r="B5" i="26"/>
  <c r="G26" i="37"/>
  <c r="F26" i="37"/>
  <c r="E26" i="37"/>
  <c r="D26" i="37"/>
  <c r="C26" i="37"/>
  <c r="C24" i="37"/>
  <c r="AK21" i="37"/>
  <c r="AJ21" i="37"/>
  <c r="AI21" i="37"/>
  <c r="AH21" i="37"/>
  <c r="AG21" i="37"/>
  <c r="C4" i="37"/>
  <c r="C9" i="26" s="1"/>
  <c r="AL2" i="54"/>
  <c r="AK2" i="54"/>
  <c r="AJ2" i="54"/>
  <c r="AI2" i="54"/>
  <c r="AH2" i="54"/>
  <c r="AG2" i="54"/>
  <c r="AF2" i="54"/>
  <c r="AE2" i="54"/>
  <c r="AD2" i="54"/>
  <c r="AC2" i="54"/>
  <c r="AB2" i="54"/>
  <c r="AA2" i="54"/>
  <c r="Z2" i="54"/>
  <c r="Y2" i="54"/>
  <c r="X2" i="54"/>
  <c r="W2" i="54"/>
  <c r="V2" i="54"/>
  <c r="U2" i="54"/>
  <c r="T2" i="54"/>
  <c r="S2" i="54"/>
  <c r="R2" i="54"/>
  <c r="Q2" i="54"/>
  <c r="P2" i="54"/>
  <c r="O2" i="54"/>
  <c r="N2" i="54"/>
  <c r="M2" i="54"/>
  <c r="L2" i="54"/>
  <c r="K2" i="54"/>
  <c r="J2" i="54"/>
  <c r="I2" i="54"/>
  <c r="H2" i="54"/>
  <c r="G2" i="54"/>
  <c r="F2" i="54"/>
  <c r="E2" i="54"/>
  <c r="D2" i="54"/>
  <c r="AK6" i="64"/>
  <c r="AJ6" i="64"/>
  <c r="AI6" i="64"/>
  <c r="AH6" i="64"/>
  <c r="AG6" i="64"/>
  <c r="C53" i="63"/>
  <c r="C52" i="63"/>
  <c r="AK47" i="63"/>
  <c r="AK26" i="26" s="1"/>
  <c r="AJ47" i="63"/>
  <c r="AJ26" i="26" s="1"/>
  <c r="AI47" i="63"/>
  <c r="AI26" i="26" s="1"/>
  <c r="AH47" i="63"/>
  <c r="AH26" i="26" s="1"/>
  <c r="AF47" i="63"/>
  <c r="AF26" i="26" s="1"/>
  <c r="AE47" i="63"/>
  <c r="AE26" i="26" s="1"/>
  <c r="AD47" i="63"/>
  <c r="AD26" i="26" s="1"/>
  <c r="AC47" i="63"/>
  <c r="AC26" i="26" s="1"/>
  <c r="AB47" i="63"/>
  <c r="AB26" i="26" s="1"/>
  <c r="AA47" i="63"/>
  <c r="AA26" i="26" s="1"/>
  <c r="Z47" i="63"/>
  <c r="Z26" i="26" s="1"/>
  <c r="Y47" i="63"/>
  <c r="Y26" i="26" s="1"/>
  <c r="V47" i="63"/>
  <c r="V26" i="26" s="1"/>
  <c r="U47" i="63"/>
  <c r="U26" i="26" s="1"/>
  <c r="T47" i="63"/>
  <c r="T26" i="26" s="1"/>
  <c r="S47" i="63"/>
  <c r="S26" i="26" s="1"/>
  <c r="R47" i="63"/>
  <c r="R26" i="26" s="1"/>
  <c r="Q47" i="63"/>
  <c r="Q26" i="26" s="1"/>
  <c r="P47" i="63"/>
  <c r="P26" i="26" s="1"/>
  <c r="O47" i="63"/>
  <c r="O26" i="26" s="1"/>
  <c r="L47" i="63"/>
  <c r="L26" i="26" s="1"/>
  <c r="K47" i="63"/>
  <c r="K26" i="26" s="1"/>
  <c r="J47" i="63"/>
  <c r="J26" i="26" s="1"/>
  <c r="I47" i="63"/>
  <c r="I26" i="26" s="1"/>
  <c r="H47" i="63"/>
  <c r="H26" i="26" s="1"/>
  <c r="G47" i="63"/>
  <c r="G26" i="26" s="1"/>
  <c r="F47" i="63"/>
  <c r="F26" i="26" s="1"/>
  <c r="E47" i="63"/>
  <c r="E26" i="26" s="1"/>
  <c r="C45" i="63"/>
  <c r="C39" i="63"/>
  <c r="D39" i="63" s="1"/>
  <c r="E39" i="63" s="1"/>
  <c r="F39" i="63" s="1"/>
  <c r="G39" i="63" s="1"/>
  <c r="H39" i="63" s="1"/>
  <c r="I39" i="63" s="1"/>
  <c r="J39" i="63" s="1"/>
  <c r="K39" i="63" s="1"/>
  <c r="L39" i="63" s="1"/>
  <c r="M39" i="63" s="1"/>
  <c r="N39" i="63" s="1"/>
  <c r="O39" i="63" s="1"/>
  <c r="P39" i="63" s="1"/>
  <c r="Q39" i="63" s="1"/>
  <c r="R39" i="63" s="1"/>
  <c r="S39" i="63" s="1"/>
  <c r="T39" i="63" s="1"/>
  <c r="U39" i="63" s="1"/>
  <c r="V39" i="63" s="1"/>
  <c r="W39" i="63" s="1"/>
  <c r="X39" i="63" s="1"/>
  <c r="Y39" i="63" s="1"/>
  <c r="Z39" i="63" s="1"/>
  <c r="AA39" i="63" s="1"/>
  <c r="AB39" i="63" s="1"/>
  <c r="AC39" i="63" s="1"/>
  <c r="AD39" i="63" s="1"/>
  <c r="AE39" i="63" s="1"/>
  <c r="AF39" i="63" s="1"/>
  <c r="C32" i="63"/>
  <c r="C28" i="63"/>
  <c r="D28" i="63" s="1"/>
  <c r="E28" i="63" s="1"/>
  <c r="F28" i="63" s="1"/>
  <c r="G28" i="63" s="1"/>
  <c r="H28" i="63" s="1"/>
  <c r="I28" i="63" s="1"/>
  <c r="J28" i="63" s="1"/>
  <c r="K28" i="63" s="1"/>
  <c r="L28" i="63" s="1"/>
  <c r="M28" i="63" s="1"/>
  <c r="N28" i="63" s="1"/>
  <c r="O28" i="63" s="1"/>
  <c r="P28" i="63" s="1"/>
  <c r="Q28" i="63" s="1"/>
  <c r="R28" i="63" s="1"/>
  <c r="S28" i="63" s="1"/>
  <c r="T28" i="63" s="1"/>
  <c r="U28" i="63" s="1"/>
  <c r="V28" i="63" s="1"/>
  <c r="C21" i="63"/>
  <c r="C17" i="63"/>
  <c r="D17" i="63" s="1"/>
  <c r="E17" i="63" s="1"/>
  <c r="F17" i="63" s="1"/>
  <c r="G17" i="63" s="1"/>
  <c r="H17" i="63" s="1"/>
  <c r="I17" i="63" s="1"/>
  <c r="J17" i="63" s="1"/>
  <c r="K17" i="63" s="1"/>
  <c r="L17" i="63" s="1"/>
  <c r="C11" i="63"/>
  <c r="C10" i="63"/>
  <c r="C28" i="62"/>
  <c r="E181" i="55"/>
  <c r="F179" i="55"/>
  <c r="F178" i="55"/>
  <c r="F177" i="55"/>
  <c r="G177" i="55" s="1"/>
  <c r="H177" i="55" s="1"/>
  <c r="I177" i="55" s="1"/>
  <c r="J177" i="55" s="1"/>
  <c r="K177" i="55" s="1"/>
  <c r="L177" i="55" s="1"/>
  <c r="M177" i="55" s="1"/>
  <c r="N177" i="55" s="1"/>
  <c r="O177" i="55" s="1"/>
  <c r="P177" i="55" s="1"/>
  <c r="Q177" i="55" s="1"/>
  <c r="R177" i="55" s="1"/>
  <c r="S177" i="55" s="1"/>
  <c r="T177" i="55" s="1"/>
  <c r="U177" i="55" s="1"/>
  <c r="V177" i="55" s="1"/>
  <c r="W177" i="55" s="1"/>
  <c r="X177" i="55" s="1"/>
  <c r="Y177" i="55" s="1"/>
  <c r="Z177" i="55" s="1"/>
  <c r="AA177" i="55" s="1"/>
  <c r="AB177" i="55" s="1"/>
  <c r="AC177" i="55" s="1"/>
  <c r="AD177" i="55" s="1"/>
  <c r="AE177" i="55" s="1"/>
  <c r="AF177" i="55" s="1"/>
  <c r="AG177" i="55" s="1"/>
  <c r="AH177" i="55" s="1"/>
  <c r="AI177" i="55" s="1"/>
  <c r="AJ177" i="55" s="1"/>
  <c r="AK177" i="55" s="1"/>
  <c r="AL177" i="55" s="1"/>
  <c r="AM177" i="55" s="1"/>
  <c r="AN177" i="55" s="1"/>
  <c r="F176" i="55"/>
  <c r="G176" i="55" s="1"/>
  <c r="H176" i="55" s="1"/>
  <c r="I176" i="55" s="1"/>
  <c r="J176" i="55" s="1"/>
  <c r="K176" i="55" s="1"/>
  <c r="L176" i="55" s="1"/>
  <c r="M176" i="55" s="1"/>
  <c r="N176" i="55" s="1"/>
  <c r="F175" i="55"/>
  <c r="F174" i="55"/>
  <c r="F173" i="55"/>
  <c r="G173" i="55" s="1"/>
  <c r="H173" i="55" s="1"/>
  <c r="I173" i="55" s="1"/>
  <c r="J173" i="55" s="1"/>
  <c r="K173" i="55" s="1"/>
  <c r="L173" i="55" s="1"/>
  <c r="M173" i="55" s="1"/>
  <c r="N173" i="55" s="1"/>
  <c r="O173" i="55" s="1"/>
  <c r="P173" i="55" s="1"/>
  <c r="Q173" i="55" s="1"/>
  <c r="R173" i="55" s="1"/>
  <c r="S173" i="55" s="1"/>
  <c r="T173" i="55" s="1"/>
  <c r="U173" i="55" s="1"/>
  <c r="V173" i="55" s="1"/>
  <c r="W173" i="55" s="1"/>
  <c r="X173" i="55" s="1"/>
  <c r="Y173" i="55" s="1"/>
  <c r="Z173" i="55" s="1"/>
  <c r="AA173" i="55" s="1"/>
  <c r="AB173" i="55" s="1"/>
  <c r="AC173" i="55" s="1"/>
  <c r="AD173" i="55" s="1"/>
  <c r="AE173" i="55" s="1"/>
  <c r="AF173" i="55" s="1"/>
  <c r="AG173" i="55" s="1"/>
  <c r="AH173" i="55" s="1"/>
  <c r="AI173" i="55" s="1"/>
  <c r="AJ173" i="55" s="1"/>
  <c r="AK173" i="55" s="1"/>
  <c r="AL173" i="55" s="1"/>
  <c r="AM173" i="55" s="1"/>
  <c r="AN173" i="55" s="1"/>
  <c r="F172" i="55"/>
  <c r="G172" i="55" s="1"/>
  <c r="H172" i="55" s="1"/>
  <c r="F170" i="55"/>
  <c r="G170" i="55" s="1"/>
  <c r="H170" i="55" s="1"/>
  <c r="I170" i="55" s="1"/>
  <c r="J170" i="55" s="1"/>
  <c r="K170" i="55" s="1"/>
  <c r="L170" i="55" s="1"/>
  <c r="M170" i="55" s="1"/>
  <c r="N170" i="55" s="1"/>
  <c r="O170" i="55" s="1"/>
  <c r="P170" i="55" s="1"/>
  <c r="Q170" i="55" s="1"/>
  <c r="R170" i="55" s="1"/>
  <c r="S170" i="55" s="1"/>
  <c r="T170" i="55" s="1"/>
  <c r="U170" i="55" s="1"/>
  <c r="V170" i="55" s="1"/>
  <c r="W170" i="55" s="1"/>
  <c r="X170" i="55" s="1"/>
  <c r="Y170" i="55" s="1"/>
  <c r="Z170" i="55" s="1"/>
  <c r="AA170" i="55" s="1"/>
  <c r="AB170" i="55" s="1"/>
  <c r="AC170" i="55" s="1"/>
  <c r="AD170" i="55" s="1"/>
  <c r="AE170" i="55" s="1"/>
  <c r="AF170" i="55" s="1"/>
  <c r="AG170" i="55" s="1"/>
  <c r="AH170" i="55" s="1"/>
  <c r="AI170" i="55" s="1"/>
  <c r="AJ170" i="55" s="1"/>
  <c r="AK170" i="55" s="1"/>
  <c r="AL170" i="55" s="1"/>
  <c r="AM170" i="55" s="1"/>
  <c r="AN170" i="55" s="1"/>
  <c r="F169" i="55"/>
  <c r="G169" i="55" s="1"/>
  <c r="H169" i="55" s="1"/>
  <c r="I169" i="55" s="1"/>
  <c r="J169" i="55" s="1"/>
  <c r="K169" i="55" s="1"/>
  <c r="L169" i="55" s="1"/>
  <c r="M169" i="55" s="1"/>
  <c r="N169" i="55" s="1"/>
  <c r="O169" i="55" s="1"/>
  <c r="P169" i="55" s="1"/>
  <c r="Q169" i="55" s="1"/>
  <c r="R169" i="55" s="1"/>
  <c r="S169" i="55" s="1"/>
  <c r="T169" i="55" s="1"/>
  <c r="U169" i="55" s="1"/>
  <c r="V169" i="55" s="1"/>
  <c r="W169" i="55" s="1"/>
  <c r="X169" i="55" s="1"/>
  <c r="Y169" i="55" s="1"/>
  <c r="Z169" i="55" s="1"/>
  <c r="AA169" i="55" s="1"/>
  <c r="AB169" i="55" s="1"/>
  <c r="AC169" i="55" s="1"/>
  <c r="AD169" i="55" s="1"/>
  <c r="AE169" i="55" s="1"/>
  <c r="AF169" i="55" s="1"/>
  <c r="AG169" i="55" s="1"/>
  <c r="AH169" i="55" s="1"/>
  <c r="AI169" i="55" s="1"/>
  <c r="AJ169" i="55" s="1"/>
  <c r="AK169" i="55" s="1"/>
  <c r="AL169" i="55" s="1"/>
  <c r="AM169" i="55" s="1"/>
  <c r="AN169" i="55" s="1"/>
  <c r="F168" i="55"/>
  <c r="G168" i="55" s="1"/>
  <c r="H168" i="55" s="1"/>
  <c r="I168" i="55" s="1"/>
  <c r="J168" i="55" s="1"/>
  <c r="K168" i="55" s="1"/>
  <c r="L168" i="55" s="1"/>
  <c r="M168" i="55" s="1"/>
  <c r="N168" i="55" s="1"/>
  <c r="O168" i="55" s="1"/>
  <c r="P168" i="55" s="1"/>
  <c r="Q168" i="55" s="1"/>
  <c r="R168" i="55" s="1"/>
  <c r="S168" i="55" s="1"/>
  <c r="T168" i="55" s="1"/>
  <c r="U168" i="55" s="1"/>
  <c r="V168" i="55" s="1"/>
  <c r="W168" i="55" s="1"/>
  <c r="X168" i="55" s="1"/>
  <c r="Y168" i="55" s="1"/>
  <c r="Z168" i="55" s="1"/>
  <c r="AA168" i="55" s="1"/>
  <c r="AB168" i="55" s="1"/>
  <c r="AC168" i="55" s="1"/>
  <c r="AD168" i="55" s="1"/>
  <c r="AE168" i="55" s="1"/>
  <c r="AF168" i="55" s="1"/>
  <c r="AG168" i="55" s="1"/>
  <c r="AH168" i="55" s="1"/>
  <c r="AI168" i="55" s="1"/>
  <c r="AJ168" i="55" s="1"/>
  <c r="AK168" i="55" s="1"/>
  <c r="AL168" i="55" s="1"/>
  <c r="AM168" i="55" s="1"/>
  <c r="AN168" i="55" s="1"/>
  <c r="F167" i="55"/>
  <c r="G167" i="55" s="1"/>
  <c r="H167" i="55" s="1"/>
  <c r="I167" i="55" s="1"/>
  <c r="J167" i="55" s="1"/>
  <c r="K167" i="55" s="1"/>
  <c r="L167" i="55" s="1"/>
  <c r="M167" i="55" s="1"/>
  <c r="N167" i="55" s="1"/>
  <c r="O167" i="55" s="1"/>
  <c r="P167" i="55" s="1"/>
  <c r="Q167" i="55" s="1"/>
  <c r="R167" i="55" s="1"/>
  <c r="S167" i="55" s="1"/>
  <c r="T167" i="55" s="1"/>
  <c r="U167" i="55" s="1"/>
  <c r="V167" i="55" s="1"/>
  <c r="W167" i="55" s="1"/>
  <c r="X167" i="55" s="1"/>
  <c r="Y167" i="55" s="1"/>
  <c r="Z167" i="55" s="1"/>
  <c r="AA167" i="55" s="1"/>
  <c r="AB167" i="55" s="1"/>
  <c r="AC167" i="55" s="1"/>
  <c r="AD167" i="55" s="1"/>
  <c r="AE167" i="55" s="1"/>
  <c r="AF167" i="55" s="1"/>
  <c r="AG167" i="55" s="1"/>
  <c r="AH167" i="55" s="1"/>
  <c r="AI167" i="55" s="1"/>
  <c r="AJ167" i="55" s="1"/>
  <c r="AK167" i="55" s="1"/>
  <c r="AL167" i="55" s="1"/>
  <c r="AM167" i="55" s="1"/>
  <c r="AN167" i="55" s="1"/>
  <c r="F166" i="55"/>
  <c r="G166" i="55" s="1"/>
  <c r="H166" i="55" s="1"/>
  <c r="I166" i="55" s="1"/>
  <c r="J166" i="55" s="1"/>
  <c r="K166" i="55" s="1"/>
  <c r="L166" i="55" s="1"/>
  <c r="M166" i="55" s="1"/>
  <c r="N166" i="55" s="1"/>
  <c r="O166" i="55" s="1"/>
  <c r="P166" i="55" s="1"/>
  <c r="Q166" i="55" s="1"/>
  <c r="R166" i="55" s="1"/>
  <c r="S166" i="55" s="1"/>
  <c r="T166" i="55" s="1"/>
  <c r="U166" i="55" s="1"/>
  <c r="V166" i="55" s="1"/>
  <c r="W166" i="55" s="1"/>
  <c r="X166" i="55" s="1"/>
  <c r="Y166" i="55" s="1"/>
  <c r="Z166" i="55" s="1"/>
  <c r="AA166" i="55" s="1"/>
  <c r="AB166" i="55" s="1"/>
  <c r="AC166" i="55" s="1"/>
  <c r="AD166" i="55" s="1"/>
  <c r="AE166" i="55" s="1"/>
  <c r="AF166" i="55" s="1"/>
  <c r="AG166" i="55" s="1"/>
  <c r="AH166" i="55" s="1"/>
  <c r="AI166" i="55" s="1"/>
  <c r="AJ166" i="55" s="1"/>
  <c r="AK166" i="55" s="1"/>
  <c r="AL166" i="55" s="1"/>
  <c r="AM166" i="55" s="1"/>
  <c r="AN166" i="55" s="1"/>
  <c r="F165" i="55"/>
  <c r="G165" i="55" s="1"/>
  <c r="F163" i="55"/>
  <c r="G163" i="55" s="1"/>
  <c r="H163" i="55" s="1"/>
  <c r="I163" i="55" s="1"/>
  <c r="J163" i="55" s="1"/>
  <c r="K163" i="55" s="1"/>
  <c r="L163" i="55" s="1"/>
  <c r="M163" i="55" s="1"/>
  <c r="N163" i="55" s="1"/>
  <c r="O163" i="55" s="1"/>
  <c r="P163" i="55" s="1"/>
  <c r="Q163" i="55" s="1"/>
  <c r="R163" i="55" s="1"/>
  <c r="S163" i="55" s="1"/>
  <c r="T163" i="55" s="1"/>
  <c r="U163" i="55" s="1"/>
  <c r="V163" i="55" s="1"/>
  <c r="W163" i="55" s="1"/>
  <c r="X163" i="55" s="1"/>
  <c r="Y163" i="55" s="1"/>
  <c r="Z163" i="55" s="1"/>
  <c r="AA163" i="55" s="1"/>
  <c r="AB163" i="55" s="1"/>
  <c r="AC163" i="55" s="1"/>
  <c r="AD163" i="55" s="1"/>
  <c r="AE163" i="55" s="1"/>
  <c r="AF163" i="55" s="1"/>
  <c r="AG163" i="55" s="1"/>
  <c r="AH163" i="55" s="1"/>
  <c r="AI163" i="55" s="1"/>
  <c r="AJ163" i="55" s="1"/>
  <c r="AK163" i="55" s="1"/>
  <c r="AL163" i="55" s="1"/>
  <c r="AM163" i="55" s="1"/>
  <c r="AN163" i="55" s="1"/>
  <c r="F162" i="55"/>
  <c r="G162" i="55" s="1"/>
  <c r="H162" i="55" s="1"/>
  <c r="I162" i="55" s="1"/>
  <c r="J162" i="55" s="1"/>
  <c r="K162" i="55" s="1"/>
  <c r="L162" i="55" s="1"/>
  <c r="M162" i="55" s="1"/>
  <c r="N162" i="55" s="1"/>
  <c r="O162" i="55" s="1"/>
  <c r="P162" i="55" s="1"/>
  <c r="Q162" i="55" s="1"/>
  <c r="R162" i="55" s="1"/>
  <c r="S162" i="55" s="1"/>
  <c r="T162" i="55" s="1"/>
  <c r="U162" i="55" s="1"/>
  <c r="V162" i="55" s="1"/>
  <c r="W162" i="55" s="1"/>
  <c r="X162" i="55" s="1"/>
  <c r="Y162" i="55" s="1"/>
  <c r="Z162" i="55" s="1"/>
  <c r="AA162" i="55" s="1"/>
  <c r="AB162" i="55" s="1"/>
  <c r="AC162" i="55" s="1"/>
  <c r="AD162" i="55" s="1"/>
  <c r="AE162" i="55" s="1"/>
  <c r="AF162" i="55" s="1"/>
  <c r="AG162" i="55" s="1"/>
  <c r="AH162" i="55" s="1"/>
  <c r="AI162" i="55" s="1"/>
  <c r="AJ162" i="55" s="1"/>
  <c r="AK162" i="55" s="1"/>
  <c r="AL162" i="55" s="1"/>
  <c r="AM162" i="55" s="1"/>
  <c r="AN162" i="55" s="1"/>
  <c r="F161" i="55"/>
  <c r="G161" i="55" s="1"/>
  <c r="H161" i="55" s="1"/>
  <c r="I161" i="55" s="1"/>
  <c r="J161" i="55" s="1"/>
  <c r="K161" i="55" s="1"/>
  <c r="L161" i="55" s="1"/>
  <c r="M161" i="55" s="1"/>
  <c r="N161" i="55" s="1"/>
  <c r="O161" i="55" s="1"/>
  <c r="P161" i="55" s="1"/>
  <c r="Q161" i="55" s="1"/>
  <c r="R161" i="55" s="1"/>
  <c r="S161" i="55" s="1"/>
  <c r="T161" i="55" s="1"/>
  <c r="U161" i="55" s="1"/>
  <c r="V161" i="55" s="1"/>
  <c r="W161" i="55" s="1"/>
  <c r="X161" i="55" s="1"/>
  <c r="Y161" i="55" s="1"/>
  <c r="Z161" i="55" s="1"/>
  <c r="AA161" i="55" s="1"/>
  <c r="AB161" i="55" s="1"/>
  <c r="AC161" i="55" s="1"/>
  <c r="AD161" i="55" s="1"/>
  <c r="AE161" i="55" s="1"/>
  <c r="AF161" i="55" s="1"/>
  <c r="AG161" i="55" s="1"/>
  <c r="AH161" i="55" s="1"/>
  <c r="AI161" i="55" s="1"/>
  <c r="AJ161" i="55" s="1"/>
  <c r="AK161" i="55" s="1"/>
  <c r="AL161" i="55" s="1"/>
  <c r="AM161" i="55" s="1"/>
  <c r="AN161" i="55" s="1"/>
  <c r="F160" i="55"/>
  <c r="G160" i="55" s="1"/>
  <c r="H160" i="55" s="1"/>
  <c r="I160" i="55" s="1"/>
  <c r="J160" i="55" s="1"/>
  <c r="K160" i="55" s="1"/>
  <c r="L160" i="55" s="1"/>
  <c r="M160" i="55" s="1"/>
  <c r="N160" i="55" s="1"/>
  <c r="O160" i="55" s="1"/>
  <c r="P160" i="55" s="1"/>
  <c r="Q160" i="55" s="1"/>
  <c r="R160" i="55" s="1"/>
  <c r="S160" i="55" s="1"/>
  <c r="T160" i="55" s="1"/>
  <c r="U160" i="55" s="1"/>
  <c r="V160" i="55" s="1"/>
  <c r="W160" i="55" s="1"/>
  <c r="X160" i="55" s="1"/>
  <c r="Y160" i="55" s="1"/>
  <c r="Z160" i="55" s="1"/>
  <c r="AA160" i="55" s="1"/>
  <c r="AB160" i="55" s="1"/>
  <c r="AC160" i="55" s="1"/>
  <c r="AD160" i="55" s="1"/>
  <c r="AE160" i="55" s="1"/>
  <c r="AF160" i="55" s="1"/>
  <c r="AG160" i="55" s="1"/>
  <c r="AH160" i="55" s="1"/>
  <c r="AI160" i="55" s="1"/>
  <c r="AJ160" i="55" s="1"/>
  <c r="AK160" i="55" s="1"/>
  <c r="AL160" i="55" s="1"/>
  <c r="AM160" i="55" s="1"/>
  <c r="AN160" i="55" s="1"/>
  <c r="F159" i="55"/>
  <c r="G159" i="55" s="1"/>
  <c r="H159" i="55" s="1"/>
  <c r="I159" i="55" s="1"/>
  <c r="J159" i="55" s="1"/>
  <c r="K159" i="55" s="1"/>
  <c r="L159" i="55" s="1"/>
  <c r="M159" i="55" s="1"/>
  <c r="N159" i="55" s="1"/>
  <c r="O159" i="55" s="1"/>
  <c r="P159" i="55" s="1"/>
  <c r="Q159" i="55" s="1"/>
  <c r="R159" i="55" s="1"/>
  <c r="S159" i="55" s="1"/>
  <c r="T159" i="55" s="1"/>
  <c r="U159" i="55" s="1"/>
  <c r="V159" i="55" s="1"/>
  <c r="W159" i="55" s="1"/>
  <c r="X159" i="55" s="1"/>
  <c r="Y159" i="55" s="1"/>
  <c r="Z159" i="55" s="1"/>
  <c r="AA159" i="55" s="1"/>
  <c r="AB159" i="55" s="1"/>
  <c r="AC159" i="55" s="1"/>
  <c r="AD159" i="55" s="1"/>
  <c r="AE159" i="55" s="1"/>
  <c r="AF159" i="55" s="1"/>
  <c r="AG159" i="55" s="1"/>
  <c r="AH159" i="55" s="1"/>
  <c r="AI159" i="55" s="1"/>
  <c r="AJ159" i="55" s="1"/>
  <c r="AK159" i="55" s="1"/>
  <c r="AL159" i="55" s="1"/>
  <c r="AM159" i="55" s="1"/>
  <c r="AN159" i="55" s="1"/>
  <c r="F158" i="55"/>
  <c r="F157" i="55"/>
  <c r="F156" i="55"/>
  <c r="G156" i="55" s="1"/>
  <c r="H156" i="55" s="1"/>
  <c r="I156" i="55" s="1"/>
  <c r="J156" i="55" s="1"/>
  <c r="K156" i="55" s="1"/>
  <c r="L156" i="55" s="1"/>
  <c r="M156" i="55" s="1"/>
  <c r="N156" i="55" s="1"/>
  <c r="F154" i="55"/>
  <c r="G154" i="55" s="1"/>
  <c r="H154" i="55" s="1"/>
  <c r="I154" i="55" s="1"/>
  <c r="J154" i="55" s="1"/>
  <c r="K154" i="55" s="1"/>
  <c r="L154" i="55" s="1"/>
  <c r="M154" i="55" s="1"/>
  <c r="N154" i="55" s="1"/>
  <c r="O154" i="55" s="1"/>
  <c r="P154" i="55" s="1"/>
  <c r="Q154" i="55" s="1"/>
  <c r="R154" i="55" s="1"/>
  <c r="S154" i="55" s="1"/>
  <c r="T154" i="55" s="1"/>
  <c r="U154" i="55" s="1"/>
  <c r="V154" i="55" s="1"/>
  <c r="W154" i="55" s="1"/>
  <c r="X154" i="55" s="1"/>
  <c r="Y154" i="55" s="1"/>
  <c r="Z154" i="55" s="1"/>
  <c r="AA154" i="55" s="1"/>
  <c r="AB154" i="55" s="1"/>
  <c r="AC154" i="55" s="1"/>
  <c r="AD154" i="55" s="1"/>
  <c r="AE154" i="55" s="1"/>
  <c r="AF154" i="55" s="1"/>
  <c r="AG154" i="55" s="1"/>
  <c r="AH154" i="55" s="1"/>
  <c r="AI154" i="55" s="1"/>
  <c r="AJ154" i="55" s="1"/>
  <c r="AK154" i="55" s="1"/>
  <c r="AL154" i="55" s="1"/>
  <c r="AM154" i="55" s="1"/>
  <c r="AN154" i="55" s="1"/>
  <c r="F153" i="55"/>
  <c r="G153" i="55" s="1"/>
  <c r="AN150" i="55"/>
  <c r="AM150" i="55"/>
  <c r="AL150" i="55"/>
  <c r="AK150" i="55"/>
  <c r="AJ150" i="55"/>
  <c r="AI150" i="55"/>
  <c r="AH150" i="55"/>
  <c r="AG150" i="55"/>
  <c r="AF150" i="55"/>
  <c r="AE150" i="55"/>
  <c r="AD150" i="55"/>
  <c r="AC150" i="55"/>
  <c r="AB150" i="55"/>
  <c r="AA150" i="55"/>
  <c r="Z150" i="55"/>
  <c r="Y150" i="55"/>
  <c r="X150" i="55"/>
  <c r="W150" i="55"/>
  <c r="V150" i="55"/>
  <c r="U150" i="55"/>
  <c r="T150" i="55"/>
  <c r="S150" i="55"/>
  <c r="R150" i="55"/>
  <c r="Q150" i="55"/>
  <c r="P150" i="55"/>
  <c r="O150" i="55"/>
  <c r="N150" i="55"/>
  <c r="M150" i="55"/>
  <c r="L150" i="55"/>
  <c r="K150" i="55"/>
  <c r="J150" i="55"/>
  <c r="I150" i="55"/>
  <c r="H150" i="55"/>
  <c r="G150" i="55"/>
  <c r="F150" i="55"/>
  <c r="AN149" i="55"/>
  <c r="AM149" i="55"/>
  <c r="AL149" i="55"/>
  <c r="AK149" i="55"/>
  <c r="AJ149" i="55"/>
  <c r="AI149" i="55"/>
  <c r="AH149" i="55"/>
  <c r="AG149" i="55"/>
  <c r="AF149" i="55"/>
  <c r="AE149" i="55"/>
  <c r="AD149" i="55"/>
  <c r="AC149" i="55"/>
  <c r="AB149" i="55"/>
  <c r="AA149" i="55"/>
  <c r="Z149" i="55"/>
  <c r="Y149" i="55"/>
  <c r="X149" i="55"/>
  <c r="W149" i="55"/>
  <c r="V149" i="55"/>
  <c r="U149" i="55"/>
  <c r="T149" i="55"/>
  <c r="S149" i="55"/>
  <c r="R149" i="55"/>
  <c r="Q149" i="55"/>
  <c r="P149" i="55"/>
  <c r="O149" i="55"/>
  <c r="N149" i="55"/>
  <c r="M149" i="55"/>
  <c r="L149" i="55"/>
  <c r="K149" i="55"/>
  <c r="J149" i="55"/>
  <c r="I149" i="55"/>
  <c r="H149" i="55"/>
  <c r="G149" i="55"/>
  <c r="F149" i="55"/>
  <c r="AN148" i="55"/>
  <c r="AM148" i="55"/>
  <c r="AL148" i="55"/>
  <c r="AK148" i="55"/>
  <c r="AJ148" i="55"/>
  <c r="AI148" i="55"/>
  <c r="AH148" i="55"/>
  <c r="AG148" i="55"/>
  <c r="AF148" i="55"/>
  <c r="AE148" i="55"/>
  <c r="AD148" i="55"/>
  <c r="AC148" i="55"/>
  <c r="AB148" i="55"/>
  <c r="AA148" i="55"/>
  <c r="Z148" i="55"/>
  <c r="Y148" i="55"/>
  <c r="X148" i="55"/>
  <c r="W148" i="55"/>
  <c r="V148" i="55"/>
  <c r="U148" i="55"/>
  <c r="T148" i="55"/>
  <c r="S148" i="55"/>
  <c r="R148" i="55"/>
  <c r="Q148" i="55"/>
  <c r="P148" i="55"/>
  <c r="O148" i="55"/>
  <c r="N148" i="55"/>
  <c r="M148" i="55"/>
  <c r="L148" i="55"/>
  <c r="K148" i="55"/>
  <c r="J148" i="55"/>
  <c r="I148" i="55"/>
  <c r="H148" i="55"/>
  <c r="G148" i="55"/>
  <c r="F148" i="55"/>
  <c r="AN147" i="55"/>
  <c r="AM147" i="55"/>
  <c r="AL147" i="55"/>
  <c r="AK147" i="55"/>
  <c r="AJ147" i="55"/>
  <c r="AI147" i="55"/>
  <c r="AH147" i="55"/>
  <c r="AG147" i="55"/>
  <c r="AF147" i="55"/>
  <c r="AE147" i="55"/>
  <c r="AD147" i="55"/>
  <c r="AC147" i="55"/>
  <c r="AB147" i="55"/>
  <c r="AA147" i="55"/>
  <c r="Z147" i="55"/>
  <c r="Y147" i="55"/>
  <c r="X147" i="55"/>
  <c r="W147" i="55"/>
  <c r="V147" i="55"/>
  <c r="U147" i="55"/>
  <c r="T147" i="55"/>
  <c r="S147" i="55"/>
  <c r="R147" i="55"/>
  <c r="Q147" i="55"/>
  <c r="P147" i="55"/>
  <c r="O147" i="55"/>
  <c r="N147" i="55"/>
  <c r="M147" i="55"/>
  <c r="L147" i="55"/>
  <c r="K147" i="55"/>
  <c r="J147" i="55"/>
  <c r="I147" i="55"/>
  <c r="H147" i="55"/>
  <c r="G147" i="55"/>
  <c r="F147" i="55"/>
  <c r="AN146" i="55"/>
  <c r="AM146" i="55"/>
  <c r="AL146" i="55"/>
  <c r="AK146" i="55"/>
  <c r="AJ146" i="55"/>
  <c r="AI146" i="55"/>
  <c r="AH146" i="55"/>
  <c r="AG146" i="55"/>
  <c r="AF146" i="55"/>
  <c r="AE146" i="55"/>
  <c r="AD146" i="55"/>
  <c r="AC146" i="55"/>
  <c r="AB146" i="55"/>
  <c r="AA146" i="55"/>
  <c r="Z146" i="55"/>
  <c r="Y146" i="55"/>
  <c r="X146" i="55"/>
  <c r="W146" i="55"/>
  <c r="V146" i="55"/>
  <c r="U146" i="55"/>
  <c r="T146" i="55"/>
  <c r="S146" i="55"/>
  <c r="R146" i="55"/>
  <c r="Q146" i="55"/>
  <c r="P146" i="55"/>
  <c r="O146" i="55"/>
  <c r="N146" i="55"/>
  <c r="M146" i="55"/>
  <c r="L146" i="55"/>
  <c r="K146" i="55"/>
  <c r="J146" i="55"/>
  <c r="I146" i="55"/>
  <c r="H146" i="55"/>
  <c r="G146" i="55"/>
  <c r="F146" i="55"/>
  <c r="AN145" i="55"/>
  <c r="AM145" i="55"/>
  <c r="AL145" i="55"/>
  <c r="AK145" i="55"/>
  <c r="AJ145" i="55"/>
  <c r="AI145" i="55"/>
  <c r="AH145" i="55"/>
  <c r="AG145" i="55"/>
  <c r="AF145" i="55"/>
  <c r="AE145" i="55"/>
  <c r="AD145" i="55"/>
  <c r="AC145" i="55"/>
  <c r="AB145" i="55"/>
  <c r="AA145" i="55"/>
  <c r="Z145" i="55"/>
  <c r="Y145" i="55"/>
  <c r="X145" i="55"/>
  <c r="W145" i="55"/>
  <c r="V145" i="55"/>
  <c r="U145" i="55"/>
  <c r="T145" i="55"/>
  <c r="S145" i="55"/>
  <c r="R145" i="55"/>
  <c r="Q145" i="55"/>
  <c r="P145" i="55"/>
  <c r="O145" i="55"/>
  <c r="N145" i="55"/>
  <c r="M145" i="55"/>
  <c r="L145" i="55"/>
  <c r="K145" i="55"/>
  <c r="J145" i="55"/>
  <c r="I145" i="55"/>
  <c r="H145" i="55"/>
  <c r="G145" i="55"/>
  <c r="F145" i="55"/>
  <c r="AN144" i="55"/>
  <c r="AM144" i="55"/>
  <c r="AL144" i="55"/>
  <c r="AK144" i="55"/>
  <c r="AJ144" i="55"/>
  <c r="AI144" i="55"/>
  <c r="AH144" i="55"/>
  <c r="AG144" i="55"/>
  <c r="AF144" i="55"/>
  <c r="AE144" i="55"/>
  <c r="AD144" i="55"/>
  <c r="AC144" i="55"/>
  <c r="AB144" i="55"/>
  <c r="AA144" i="55"/>
  <c r="Z144" i="55"/>
  <c r="Y144" i="55"/>
  <c r="X144" i="55"/>
  <c r="W144" i="55"/>
  <c r="V144" i="55"/>
  <c r="U144" i="55"/>
  <c r="T144" i="55"/>
  <c r="S144" i="55"/>
  <c r="R144" i="55"/>
  <c r="Q144" i="55"/>
  <c r="P144" i="55"/>
  <c r="O144" i="55"/>
  <c r="N144" i="55"/>
  <c r="M144" i="55"/>
  <c r="L144" i="55"/>
  <c r="K144" i="55"/>
  <c r="J144" i="55"/>
  <c r="I144" i="55"/>
  <c r="H144" i="55"/>
  <c r="G144" i="55"/>
  <c r="F144" i="55"/>
  <c r="AN143" i="55"/>
  <c r="AM143" i="55"/>
  <c r="AL143" i="55"/>
  <c r="AK143" i="55"/>
  <c r="AJ143" i="55"/>
  <c r="AI143" i="55"/>
  <c r="AH143" i="55"/>
  <c r="AG143" i="55"/>
  <c r="AF143" i="55"/>
  <c r="AE143" i="55"/>
  <c r="AD143" i="55"/>
  <c r="AC143" i="55"/>
  <c r="AB143" i="55"/>
  <c r="AA143" i="55"/>
  <c r="Z143" i="55"/>
  <c r="Y143" i="55"/>
  <c r="X143" i="55"/>
  <c r="W143" i="55"/>
  <c r="V143" i="55"/>
  <c r="U143" i="55"/>
  <c r="T143" i="55"/>
  <c r="S143" i="55"/>
  <c r="R143" i="55"/>
  <c r="Q143" i="55"/>
  <c r="P143" i="55"/>
  <c r="O143" i="55"/>
  <c r="N143" i="55"/>
  <c r="M143" i="55"/>
  <c r="L143" i="55"/>
  <c r="K143" i="55"/>
  <c r="J143" i="55"/>
  <c r="I143" i="55"/>
  <c r="H143" i="55"/>
  <c r="G143" i="55"/>
  <c r="F143" i="55"/>
  <c r="AN142" i="55"/>
  <c r="AM142" i="55"/>
  <c r="AL142" i="55"/>
  <c r="AK142" i="55"/>
  <c r="AJ142" i="55"/>
  <c r="AI142" i="55"/>
  <c r="AH142" i="55"/>
  <c r="AG142" i="55"/>
  <c r="AF142" i="55"/>
  <c r="AE142" i="55"/>
  <c r="AD142" i="55"/>
  <c r="AC142" i="55"/>
  <c r="AB142" i="55"/>
  <c r="AA142" i="55"/>
  <c r="Z142" i="55"/>
  <c r="Y142" i="55"/>
  <c r="X142" i="55"/>
  <c r="W142" i="55"/>
  <c r="V142" i="55"/>
  <c r="U142" i="55"/>
  <c r="T142" i="55"/>
  <c r="S142" i="55"/>
  <c r="R142" i="55"/>
  <c r="Q142" i="55"/>
  <c r="P142" i="55"/>
  <c r="O142" i="55"/>
  <c r="N142" i="55"/>
  <c r="M142" i="55"/>
  <c r="L142" i="55"/>
  <c r="K142" i="55"/>
  <c r="J142" i="55"/>
  <c r="I142" i="55"/>
  <c r="H142" i="55"/>
  <c r="G142" i="55"/>
  <c r="F142" i="55"/>
  <c r="AN141" i="55"/>
  <c r="AM141" i="55"/>
  <c r="AL141" i="55"/>
  <c r="AK141" i="55"/>
  <c r="AJ141" i="55"/>
  <c r="AI141" i="55"/>
  <c r="AH141" i="55"/>
  <c r="AG141" i="55"/>
  <c r="AF141" i="55"/>
  <c r="AE141" i="55"/>
  <c r="AD141" i="55"/>
  <c r="AC141" i="55"/>
  <c r="AB141" i="55"/>
  <c r="AA141" i="55"/>
  <c r="Z141" i="55"/>
  <c r="Y141" i="55"/>
  <c r="X141" i="55"/>
  <c r="W141" i="55"/>
  <c r="V141" i="55"/>
  <c r="U141" i="55"/>
  <c r="T141" i="55"/>
  <c r="S141" i="55"/>
  <c r="R141" i="55"/>
  <c r="Q141" i="55"/>
  <c r="P141" i="55"/>
  <c r="O141" i="55"/>
  <c r="N141" i="55"/>
  <c r="M141" i="55"/>
  <c r="L141" i="55"/>
  <c r="K141" i="55"/>
  <c r="J141" i="55"/>
  <c r="I141" i="55"/>
  <c r="H141" i="55"/>
  <c r="G141" i="55"/>
  <c r="F141" i="55"/>
  <c r="AN136" i="55"/>
  <c r="AM136" i="55"/>
  <c r="AL136" i="55"/>
  <c r="AK136" i="55"/>
  <c r="AJ136" i="55"/>
  <c r="AI136" i="55"/>
  <c r="AH136" i="55"/>
  <c r="AG136" i="55"/>
  <c r="AF136" i="55"/>
  <c r="AE136" i="55"/>
  <c r="AD136" i="55"/>
  <c r="AC136" i="55"/>
  <c r="AB136" i="55"/>
  <c r="AA136" i="55"/>
  <c r="Z136" i="55"/>
  <c r="Y136" i="55"/>
  <c r="X136" i="55"/>
  <c r="W136" i="55"/>
  <c r="V136" i="55"/>
  <c r="U136" i="55"/>
  <c r="T136" i="55"/>
  <c r="S136" i="55"/>
  <c r="R136" i="55"/>
  <c r="Q136" i="55"/>
  <c r="P136" i="55"/>
  <c r="O136" i="55"/>
  <c r="N136" i="55"/>
  <c r="M136" i="55"/>
  <c r="L136" i="55"/>
  <c r="K136" i="55"/>
  <c r="J136" i="55"/>
  <c r="I136" i="55"/>
  <c r="H136" i="55"/>
  <c r="G136" i="55"/>
  <c r="F136" i="55"/>
  <c r="AN104" i="55"/>
  <c r="AM104" i="55"/>
  <c r="AL104" i="55"/>
  <c r="AK104" i="55"/>
  <c r="AJ104" i="55"/>
  <c r="AI104" i="55"/>
  <c r="AH104" i="55"/>
  <c r="AG104" i="55"/>
  <c r="AF104" i="55"/>
  <c r="AE104" i="55"/>
  <c r="AD104" i="55"/>
  <c r="AC104" i="55"/>
  <c r="AB104" i="55"/>
  <c r="AA104" i="55"/>
  <c r="Z104" i="55"/>
  <c r="Y104" i="55"/>
  <c r="X104" i="55"/>
  <c r="W104" i="55"/>
  <c r="V104" i="55"/>
  <c r="U104" i="55"/>
  <c r="T104" i="55"/>
  <c r="S104" i="55"/>
  <c r="R104" i="55"/>
  <c r="Q104" i="55"/>
  <c r="P104" i="55"/>
  <c r="O104" i="55"/>
  <c r="N104" i="55"/>
  <c r="M104" i="55"/>
  <c r="L104" i="55"/>
  <c r="K104" i="55"/>
  <c r="J104" i="55"/>
  <c r="I104" i="55"/>
  <c r="H104" i="55"/>
  <c r="G104" i="55"/>
  <c r="F104" i="55"/>
  <c r="AN69" i="55"/>
  <c r="AM69" i="55"/>
  <c r="AL69" i="55"/>
  <c r="AK69" i="55"/>
  <c r="AJ69" i="55"/>
  <c r="AI69" i="55"/>
  <c r="AH69" i="55"/>
  <c r="AG69" i="55"/>
  <c r="AF69" i="55"/>
  <c r="AE69" i="55"/>
  <c r="AD69" i="55"/>
  <c r="AC69" i="55"/>
  <c r="AB69" i="55"/>
  <c r="AA69" i="55"/>
  <c r="Z69" i="55"/>
  <c r="Y69" i="55"/>
  <c r="X69" i="55"/>
  <c r="W69" i="55"/>
  <c r="V69" i="55"/>
  <c r="U69" i="55"/>
  <c r="T69" i="55"/>
  <c r="S69" i="55"/>
  <c r="R69" i="55"/>
  <c r="Q69" i="55"/>
  <c r="P69" i="55"/>
  <c r="O69" i="55"/>
  <c r="N69" i="55"/>
  <c r="M69" i="55"/>
  <c r="L69" i="55"/>
  <c r="K69" i="55"/>
  <c r="J69" i="55"/>
  <c r="I69" i="55"/>
  <c r="H69" i="55"/>
  <c r="G69" i="55"/>
  <c r="F69" i="55"/>
  <c r="AN62" i="55"/>
  <c r="AM62" i="55"/>
  <c r="AL62" i="55"/>
  <c r="AK62" i="55"/>
  <c r="AJ62" i="55"/>
  <c r="AI62" i="55"/>
  <c r="AH62" i="55"/>
  <c r="AG62" i="55"/>
  <c r="AF62" i="55"/>
  <c r="AE62" i="55"/>
  <c r="AD62" i="55"/>
  <c r="AC62" i="55"/>
  <c r="AB62" i="55"/>
  <c r="AA62" i="55"/>
  <c r="Z62" i="55"/>
  <c r="Y62" i="55"/>
  <c r="X62" i="55"/>
  <c r="W62" i="55"/>
  <c r="V62" i="55"/>
  <c r="U62" i="55"/>
  <c r="T62" i="55"/>
  <c r="S62" i="55"/>
  <c r="R62" i="55"/>
  <c r="Q62" i="55"/>
  <c r="P62" i="55"/>
  <c r="O62" i="55"/>
  <c r="N62" i="55"/>
  <c r="M62" i="55"/>
  <c r="L62" i="55"/>
  <c r="K62" i="55"/>
  <c r="J62" i="55"/>
  <c r="I62" i="55"/>
  <c r="H62" i="55"/>
  <c r="G62" i="55"/>
  <c r="F62" i="55"/>
  <c r="AN61" i="55"/>
  <c r="AM61" i="55"/>
  <c r="AL61" i="55"/>
  <c r="AK61" i="55"/>
  <c r="AJ61" i="55"/>
  <c r="AI61" i="55"/>
  <c r="AH61" i="55"/>
  <c r="AG61" i="55"/>
  <c r="AF61" i="55"/>
  <c r="AE61" i="55"/>
  <c r="AD61" i="55"/>
  <c r="AC61" i="55"/>
  <c r="AB61" i="55"/>
  <c r="AA61" i="55"/>
  <c r="Z61" i="55"/>
  <c r="Y61" i="55"/>
  <c r="X61" i="55"/>
  <c r="W61" i="55"/>
  <c r="V61" i="55"/>
  <c r="U61" i="55"/>
  <c r="T61" i="55"/>
  <c r="S61" i="55"/>
  <c r="R61" i="55"/>
  <c r="Q61" i="55"/>
  <c r="P61" i="55"/>
  <c r="O61" i="55"/>
  <c r="N61" i="55"/>
  <c r="M61" i="55"/>
  <c r="L61" i="55"/>
  <c r="K61" i="55"/>
  <c r="J61" i="55"/>
  <c r="I61" i="55"/>
  <c r="H61" i="55"/>
  <c r="G61" i="55"/>
  <c r="F61" i="55"/>
  <c r="AN43" i="55"/>
  <c r="AM43" i="55"/>
  <c r="AL43" i="55"/>
  <c r="AK43" i="55"/>
  <c r="AJ43" i="55"/>
  <c r="AI43" i="55"/>
  <c r="AH43" i="55"/>
  <c r="AG43" i="55"/>
  <c r="AF43" i="55"/>
  <c r="AE43" i="55"/>
  <c r="AD43" i="55"/>
  <c r="AC43" i="55"/>
  <c r="AB43" i="55"/>
  <c r="AA43" i="55"/>
  <c r="Z43" i="55"/>
  <c r="Y43" i="55"/>
  <c r="X43" i="55"/>
  <c r="W43" i="55"/>
  <c r="V43" i="55"/>
  <c r="U43" i="55"/>
  <c r="T43" i="55"/>
  <c r="S43" i="55"/>
  <c r="R43" i="55"/>
  <c r="Q43" i="55"/>
  <c r="P43" i="55"/>
  <c r="O43" i="55"/>
  <c r="N43" i="55"/>
  <c r="AM45" i="57"/>
  <c r="AL45" i="57"/>
  <c r="AK45" i="57"/>
  <c r="AJ45" i="57"/>
  <c r="AI45" i="57"/>
  <c r="AM43" i="57"/>
  <c r="AL43" i="57"/>
  <c r="AK43" i="57"/>
  <c r="AJ43" i="57"/>
  <c r="AI43" i="57"/>
  <c r="AM41" i="57"/>
  <c r="AL41" i="57"/>
  <c r="AK41" i="57"/>
  <c r="AJ41" i="57"/>
  <c r="AI41" i="57"/>
  <c r="AM39" i="57"/>
  <c r="AL39" i="57"/>
  <c r="AK39" i="57"/>
  <c r="AJ39" i="57"/>
  <c r="AI39" i="57"/>
  <c r="B35" i="58"/>
  <c r="D17" i="58"/>
  <c r="E17" i="58" s="1"/>
  <c r="F17" i="58" s="1"/>
  <c r="C15" i="58"/>
  <c r="F19" i="58" s="1"/>
  <c r="C7" i="58"/>
  <c r="AH18" i="37" s="1"/>
  <c r="J188" i="68"/>
  <c r="I188" i="68"/>
  <c r="H188" i="68"/>
  <c r="G188" i="68"/>
  <c r="F188" i="68"/>
  <c r="E188" i="68"/>
  <c r="J187" i="68"/>
  <c r="I187" i="68"/>
  <c r="H187" i="68"/>
  <c r="G187" i="68"/>
  <c r="F187" i="68"/>
  <c r="E187" i="68"/>
  <c r="D181" i="68"/>
  <c r="AH180" i="68"/>
  <c r="AG180" i="68"/>
  <c r="AF180" i="68"/>
  <c r="AE180" i="68"/>
  <c r="AD180" i="68"/>
  <c r="AC180" i="68"/>
  <c r="AB180" i="68"/>
  <c r="AA180" i="68"/>
  <c r="Z180" i="68"/>
  <c r="Y180" i="68"/>
  <c r="X180" i="68"/>
  <c r="W180" i="68"/>
  <c r="V180" i="68"/>
  <c r="U180" i="68"/>
  <c r="T180" i="68"/>
  <c r="S180" i="68"/>
  <c r="R180" i="68"/>
  <c r="Q180" i="68"/>
  <c r="P180" i="68"/>
  <c r="O180" i="68"/>
  <c r="N180" i="68"/>
  <c r="M180" i="68"/>
  <c r="L180" i="68"/>
  <c r="K180" i="68"/>
  <c r="J180" i="68"/>
  <c r="I180" i="68"/>
  <c r="H180" i="68"/>
  <c r="G180" i="68"/>
  <c r="F180" i="68"/>
  <c r="E180" i="68"/>
  <c r="D171" i="68"/>
  <c r="D161" i="68"/>
  <c r="AG142" i="68"/>
  <c r="AF142" i="68"/>
  <c r="AE142" i="68"/>
  <c r="AD142" i="68"/>
  <c r="AC142" i="68"/>
  <c r="AB142" i="68"/>
  <c r="AA142" i="68"/>
  <c r="Z142" i="68"/>
  <c r="Y142" i="68"/>
  <c r="X142" i="68"/>
  <c r="W142" i="68"/>
  <c r="V142" i="68"/>
  <c r="U142" i="68"/>
  <c r="T142" i="68"/>
  <c r="S142" i="68"/>
  <c r="R142" i="68"/>
  <c r="Q142" i="68"/>
  <c r="P142" i="68"/>
  <c r="O142" i="68"/>
  <c r="N142" i="68"/>
  <c r="M142" i="68"/>
  <c r="L142" i="68"/>
  <c r="K142" i="68"/>
  <c r="J142" i="68"/>
  <c r="I142" i="68"/>
  <c r="H142" i="68"/>
  <c r="G142" i="68"/>
  <c r="F142" i="68"/>
  <c r="E142" i="68"/>
  <c r="C142" i="68"/>
  <c r="D142" i="68" s="1"/>
  <c r="AF141" i="68"/>
  <c r="AE141" i="68"/>
  <c r="AD141" i="68"/>
  <c r="AC141" i="68"/>
  <c r="AB141" i="68"/>
  <c r="AA141" i="68"/>
  <c r="Z141" i="68"/>
  <c r="Y141" i="68"/>
  <c r="X141" i="68"/>
  <c r="W141" i="68"/>
  <c r="V141" i="68"/>
  <c r="U141" i="68"/>
  <c r="T141" i="68"/>
  <c r="S141" i="68"/>
  <c r="R141" i="68"/>
  <c r="Q141" i="68"/>
  <c r="P141" i="68"/>
  <c r="O141" i="68"/>
  <c r="N141" i="68"/>
  <c r="M141" i="68"/>
  <c r="L141" i="68"/>
  <c r="K141" i="68"/>
  <c r="J141" i="68"/>
  <c r="I141" i="68"/>
  <c r="H141" i="68"/>
  <c r="G141" i="68"/>
  <c r="F141" i="68"/>
  <c r="E141" i="68"/>
  <c r="C141" i="68"/>
  <c r="D141" i="68" s="1"/>
  <c r="AE140" i="68"/>
  <c r="AD140" i="68"/>
  <c r="AC140" i="68"/>
  <c r="AB140" i="68"/>
  <c r="AA140" i="68"/>
  <c r="Z140" i="68"/>
  <c r="Y140" i="68"/>
  <c r="X140" i="68"/>
  <c r="W140" i="68"/>
  <c r="V140" i="68"/>
  <c r="U140" i="68"/>
  <c r="T140" i="68"/>
  <c r="S140" i="68"/>
  <c r="R140" i="68"/>
  <c r="Q140" i="68"/>
  <c r="P140" i="68"/>
  <c r="O140" i="68"/>
  <c r="N140" i="68"/>
  <c r="M140" i="68"/>
  <c r="L140" i="68"/>
  <c r="K140" i="68"/>
  <c r="J140" i="68"/>
  <c r="I140" i="68"/>
  <c r="H140" i="68"/>
  <c r="G140" i="68"/>
  <c r="F140" i="68"/>
  <c r="E140" i="68"/>
  <c r="C140" i="68"/>
  <c r="D140" i="68" s="1"/>
  <c r="AD139" i="68"/>
  <c r="AC139" i="68"/>
  <c r="AB139" i="68"/>
  <c r="AA139" i="68"/>
  <c r="Z139" i="68"/>
  <c r="Y139" i="68"/>
  <c r="X139" i="68"/>
  <c r="W139" i="68"/>
  <c r="V139" i="68"/>
  <c r="U139" i="68"/>
  <c r="T139" i="68"/>
  <c r="S139" i="68"/>
  <c r="R139" i="68"/>
  <c r="Q139" i="68"/>
  <c r="P139" i="68"/>
  <c r="O139" i="68"/>
  <c r="N139" i="68"/>
  <c r="M139" i="68"/>
  <c r="L139" i="68"/>
  <c r="K139" i="68"/>
  <c r="J139" i="68"/>
  <c r="I139" i="68"/>
  <c r="H139" i="68"/>
  <c r="G139" i="68"/>
  <c r="F139" i="68"/>
  <c r="E139" i="68"/>
  <c r="C139" i="68"/>
  <c r="D139" i="68" s="1"/>
  <c r="AC138" i="68"/>
  <c r="AB138" i="68"/>
  <c r="AA138" i="68"/>
  <c r="Z138" i="68"/>
  <c r="Y138" i="68"/>
  <c r="X138" i="68"/>
  <c r="W138" i="68"/>
  <c r="V138" i="68"/>
  <c r="U138" i="68"/>
  <c r="T138" i="68"/>
  <c r="S138" i="68"/>
  <c r="R138" i="68"/>
  <c r="Q138" i="68"/>
  <c r="P138" i="68"/>
  <c r="O138" i="68"/>
  <c r="N138" i="68"/>
  <c r="M138" i="68"/>
  <c r="L138" i="68"/>
  <c r="K138" i="68"/>
  <c r="J138" i="68"/>
  <c r="I138" i="68"/>
  <c r="H138" i="68"/>
  <c r="G138" i="68"/>
  <c r="F138" i="68"/>
  <c r="E138" i="68"/>
  <c r="C138" i="68"/>
  <c r="D138" i="68" s="1"/>
  <c r="AB137" i="68"/>
  <c r="AA137" i="68"/>
  <c r="Z137" i="68"/>
  <c r="Y137" i="68"/>
  <c r="X137" i="68"/>
  <c r="W137" i="68"/>
  <c r="V137" i="68"/>
  <c r="U137" i="68"/>
  <c r="T137" i="68"/>
  <c r="S137" i="68"/>
  <c r="R137" i="68"/>
  <c r="Q137" i="68"/>
  <c r="P137" i="68"/>
  <c r="O137" i="68"/>
  <c r="N137" i="68"/>
  <c r="M137" i="68"/>
  <c r="L137" i="68"/>
  <c r="K137" i="68"/>
  <c r="J137" i="68"/>
  <c r="I137" i="68"/>
  <c r="H137" i="68"/>
  <c r="G137" i="68"/>
  <c r="F137" i="68"/>
  <c r="E137" i="68"/>
  <c r="C137" i="68"/>
  <c r="D137" i="68" s="1"/>
  <c r="AA136" i="68"/>
  <c r="Z136" i="68"/>
  <c r="Y136" i="68"/>
  <c r="X136" i="68"/>
  <c r="W136" i="68"/>
  <c r="V136" i="68"/>
  <c r="U136" i="68"/>
  <c r="T136" i="68"/>
  <c r="S136" i="68"/>
  <c r="R136" i="68"/>
  <c r="Q136" i="68"/>
  <c r="P136" i="68"/>
  <c r="O136" i="68"/>
  <c r="N136" i="68"/>
  <c r="M136" i="68"/>
  <c r="L136" i="68"/>
  <c r="K136" i="68"/>
  <c r="J136" i="68"/>
  <c r="I136" i="68"/>
  <c r="H136" i="68"/>
  <c r="G136" i="68"/>
  <c r="F136" i="68"/>
  <c r="E136" i="68"/>
  <c r="C136" i="68"/>
  <c r="D136" i="68" s="1"/>
  <c r="Z135" i="68"/>
  <c r="Y135" i="68"/>
  <c r="X135" i="68"/>
  <c r="W135" i="68"/>
  <c r="V135" i="68"/>
  <c r="U135" i="68"/>
  <c r="T135" i="68"/>
  <c r="S135" i="68"/>
  <c r="R135" i="68"/>
  <c r="Q135" i="68"/>
  <c r="P135" i="68"/>
  <c r="O135" i="68"/>
  <c r="N135" i="68"/>
  <c r="M135" i="68"/>
  <c r="L135" i="68"/>
  <c r="K135" i="68"/>
  <c r="J135" i="68"/>
  <c r="I135" i="68"/>
  <c r="H135" i="68"/>
  <c r="G135" i="68"/>
  <c r="F135" i="68"/>
  <c r="E135" i="68"/>
  <c r="C135" i="68"/>
  <c r="D135" i="68" s="1"/>
  <c r="Y134" i="68"/>
  <c r="X134" i="68"/>
  <c r="W134" i="68"/>
  <c r="V134" i="68"/>
  <c r="U134" i="68"/>
  <c r="T134" i="68"/>
  <c r="S134" i="68"/>
  <c r="R134" i="68"/>
  <c r="Q134" i="68"/>
  <c r="P134" i="68"/>
  <c r="O134" i="68"/>
  <c r="N134" i="68"/>
  <c r="M134" i="68"/>
  <c r="L134" i="68"/>
  <c r="K134" i="68"/>
  <c r="J134" i="68"/>
  <c r="I134" i="68"/>
  <c r="H134" i="68"/>
  <c r="G134" i="68"/>
  <c r="F134" i="68"/>
  <c r="E134" i="68"/>
  <c r="C134" i="68"/>
  <c r="D134" i="68" s="1"/>
  <c r="X133" i="68"/>
  <c r="W133" i="68"/>
  <c r="V133" i="68"/>
  <c r="U133" i="68"/>
  <c r="T133" i="68"/>
  <c r="S133" i="68"/>
  <c r="R133" i="68"/>
  <c r="Q133" i="68"/>
  <c r="P133" i="68"/>
  <c r="O133" i="68"/>
  <c r="N133" i="68"/>
  <c r="M133" i="68"/>
  <c r="L133" i="68"/>
  <c r="K133" i="68"/>
  <c r="J133" i="68"/>
  <c r="I133" i="68"/>
  <c r="H133" i="68"/>
  <c r="G133" i="68"/>
  <c r="F133" i="68"/>
  <c r="E133" i="68"/>
  <c r="C133" i="68"/>
  <c r="D133" i="68" s="1"/>
  <c r="W132" i="68"/>
  <c r="V132" i="68"/>
  <c r="U132" i="68"/>
  <c r="T132" i="68"/>
  <c r="S132" i="68"/>
  <c r="R132" i="68"/>
  <c r="Q132" i="68"/>
  <c r="P132" i="68"/>
  <c r="O132" i="68"/>
  <c r="N132" i="68"/>
  <c r="M132" i="68"/>
  <c r="L132" i="68"/>
  <c r="K132" i="68"/>
  <c r="J132" i="68"/>
  <c r="I132" i="68"/>
  <c r="H132" i="68"/>
  <c r="G132" i="68"/>
  <c r="F132" i="68"/>
  <c r="E132" i="68"/>
  <c r="C132" i="68"/>
  <c r="D132" i="68" s="1"/>
  <c r="V131" i="68"/>
  <c r="U131" i="68"/>
  <c r="T131" i="68"/>
  <c r="S131" i="68"/>
  <c r="R131" i="68"/>
  <c r="Q131" i="68"/>
  <c r="P131" i="68"/>
  <c r="O131" i="68"/>
  <c r="N131" i="68"/>
  <c r="M131" i="68"/>
  <c r="L131" i="68"/>
  <c r="K131" i="68"/>
  <c r="J131" i="68"/>
  <c r="I131" i="68"/>
  <c r="H131" i="68"/>
  <c r="G131" i="68"/>
  <c r="F131" i="68"/>
  <c r="E131" i="68"/>
  <c r="C131" i="68"/>
  <c r="D131" i="68" s="1"/>
  <c r="U130" i="68"/>
  <c r="T130" i="68"/>
  <c r="S130" i="68"/>
  <c r="R130" i="68"/>
  <c r="Q130" i="68"/>
  <c r="P130" i="68"/>
  <c r="O130" i="68"/>
  <c r="N130" i="68"/>
  <c r="M130" i="68"/>
  <c r="L130" i="68"/>
  <c r="K130" i="68"/>
  <c r="J130" i="68"/>
  <c r="I130" i="68"/>
  <c r="H130" i="68"/>
  <c r="G130" i="68"/>
  <c r="F130" i="68"/>
  <c r="E130" i="68"/>
  <c r="C130" i="68"/>
  <c r="D130" i="68" s="1"/>
  <c r="T129" i="68"/>
  <c r="S129" i="68"/>
  <c r="R129" i="68"/>
  <c r="Q129" i="68"/>
  <c r="P129" i="68"/>
  <c r="O129" i="68"/>
  <c r="N129" i="68"/>
  <c r="M129" i="68"/>
  <c r="L129" i="68"/>
  <c r="K129" i="68"/>
  <c r="J129" i="68"/>
  <c r="I129" i="68"/>
  <c r="H129" i="68"/>
  <c r="G129" i="68"/>
  <c r="F129" i="68"/>
  <c r="E129" i="68"/>
  <c r="C129" i="68"/>
  <c r="D129" i="68" s="1"/>
  <c r="S128" i="68"/>
  <c r="R128" i="68"/>
  <c r="Q128" i="68"/>
  <c r="P128" i="68"/>
  <c r="O128" i="68"/>
  <c r="N128" i="68"/>
  <c r="M128" i="68"/>
  <c r="L128" i="68"/>
  <c r="K128" i="68"/>
  <c r="J128" i="68"/>
  <c r="I128" i="68"/>
  <c r="H128" i="68"/>
  <c r="G128" i="68"/>
  <c r="F128" i="68"/>
  <c r="E128" i="68"/>
  <c r="C128" i="68"/>
  <c r="D128" i="68" s="1"/>
  <c r="R127" i="68"/>
  <c r="Q127" i="68"/>
  <c r="P127" i="68"/>
  <c r="O127" i="68"/>
  <c r="N127" i="68"/>
  <c r="M127" i="68"/>
  <c r="L127" i="68"/>
  <c r="K127" i="68"/>
  <c r="J127" i="68"/>
  <c r="I127" i="68"/>
  <c r="H127" i="68"/>
  <c r="G127" i="68"/>
  <c r="F127" i="68"/>
  <c r="E127" i="68"/>
  <c r="C127" i="68"/>
  <c r="D127" i="68" s="1"/>
  <c r="Q126" i="68"/>
  <c r="P126" i="68"/>
  <c r="O126" i="68"/>
  <c r="N126" i="68"/>
  <c r="M126" i="68"/>
  <c r="L126" i="68"/>
  <c r="K126" i="68"/>
  <c r="J126" i="68"/>
  <c r="I126" i="68"/>
  <c r="H126" i="68"/>
  <c r="G126" i="68"/>
  <c r="F126" i="68"/>
  <c r="E126" i="68"/>
  <c r="C126" i="68"/>
  <c r="D126" i="68" s="1"/>
  <c r="P125" i="68"/>
  <c r="O125" i="68"/>
  <c r="N125" i="68"/>
  <c r="M125" i="68"/>
  <c r="L125" i="68"/>
  <c r="K125" i="68"/>
  <c r="J125" i="68"/>
  <c r="I125" i="68"/>
  <c r="H125" i="68"/>
  <c r="G125" i="68"/>
  <c r="F125" i="68"/>
  <c r="E125" i="68"/>
  <c r="C125" i="68"/>
  <c r="D125" i="68" s="1"/>
  <c r="O124" i="68"/>
  <c r="N124" i="68"/>
  <c r="M124" i="68"/>
  <c r="L124" i="68"/>
  <c r="K124" i="68"/>
  <c r="J124" i="68"/>
  <c r="I124" i="68"/>
  <c r="H124" i="68"/>
  <c r="G124" i="68"/>
  <c r="F124" i="68"/>
  <c r="E124" i="68"/>
  <c r="C124" i="68"/>
  <c r="D124" i="68" s="1"/>
  <c r="N123" i="68"/>
  <c r="M123" i="68"/>
  <c r="L123" i="68"/>
  <c r="K123" i="68"/>
  <c r="J123" i="68"/>
  <c r="I123" i="68"/>
  <c r="H123" i="68"/>
  <c r="G123" i="68"/>
  <c r="F123" i="68"/>
  <c r="E123" i="68"/>
  <c r="C123" i="68"/>
  <c r="D123" i="68" s="1"/>
  <c r="M122" i="68"/>
  <c r="L122" i="68"/>
  <c r="K122" i="68"/>
  <c r="J122" i="68"/>
  <c r="I122" i="68"/>
  <c r="H122" i="68"/>
  <c r="G122" i="68"/>
  <c r="F122" i="68"/>
  <c r="E122" i="68"/>
  <c r="C122" i="68"/>
  <c r="D122" i="68" s="1"/>
  <c r="L121" i="68"/>
  <c r="K121" i="68"/>
  <c r="J121" i="68"/>
  <c r="I121" i="68"/>
  <c r="H121" i="68"/>
  <c r="G121" i="68"/>
  <c r="F121" i="68"/>
  <c r="E121" i="68"/>
  <c r="C121" i="68"/>
  <c r="D121" i="68" s="1"/>
  <c r="K120" i="68"/>
  <c r="J120" i="68"/>
  <c r="I120" i="68"/>
  <c r="H120" i="68"/>
  <c r="G120" i="68"/>
  <c r="F120" i="68"/>
  <c r="E120" i="68"/>
  <c r="C120" i="68"/>
  <c r="D120" i="68" s="1"/>
  <c r="J119" i="68"/>
  <c r="I119" i="68"/>
  <c r="H119" i="68"/>
  <c r="G119" i="68"/>
  <c r="F119" i="68"/>
  <c r="E119" i="68"/>
  <c r="C119" i="68"/>
  <c r="D119" i="68" s="1"/>
  <c r="I118" i="68"/>
  <c r="H118" i="68"/>
  <c r="G118" i="68"/>
  <c r="F118" i="68"/>
  <c r="E118" i="68"/>
  <c r="C118" i="68"/>
  <c r="D118" i="68" s="1"/>
  <c r="H117" i="68"/>
  <c r="G117" i="68"/>
  <c r="F117" i="68"/>
  <c r="E117" i="68"/>
  <c r="C117" i="68"/>
  <c r="D117" i="68" s="1"/>
  <c r="G116" i="68"/>
  <c r="F116" i="68"/>
  <c r="E116" i="68"/>
  <c r="C116" i="68"/>
  <c r="D116" i="68" s="1"/>
  <c r="F115" i="68"/>
  <c r="E115" i="68"/>
  <c r="C115" i="68"/>
  <c r="D115" i="68" s="1"/>
  <c r="E114" i="68"/>
  <c r="C114" i="68"/>
  <c r="D114" i="68" s="1"/>
  <c r="C113" i="68"/>
  <c r="AG106" i="68"/>
  <c r="AF106" i="68"/>
  <c r="AE106" i="68"/>
  <c r="AD106" i="68"/>
  <c r="AC106" i="68"/>
  <c r="AB106" i="68"/>
  <c r="AA106" i="68"/>
  <c r="Z106" i="68"/>
  <c r="Y106" i="68"/>
  <c r="X106" i="68"/>
  <c r="W106" i="68"/>
  <c r="V106" i="68"/>
  <c r="U106" i="68"/>
  <c r="T106" i="68"/>
  <c r="S106" i="68"/>
  <c r="R106" i="68"/>
  <c r="Q106" i="68"/>
  <c r="P106" i="68"/>
  <c r="O106" i="68"/>
  <c r="N106" i="68"/>
  <c r="M106" i="68"/>
  <c r="L106" i="68"/>
  <c r="K106" i="68"/>
  <c r="J106" i="68"/>
  <c r="I106" i="68"/>
  <c r="H106" i="68"/>
  <c r="G106" i="68"/>
  <c r="F106" i="68"/>
  <c r="E106" i="68"/>
  <c r="AF105" i="68"/>
  <c r="AE105" i="68"/>
  <c r="AD105" i="68"/>
  <c r="AC105" i="68"/>
  <c r="AB105" i="68"/>
  <c r="AA105" i="68"/>
  <c r="Z105" i="68"/>
  <c r="Y105" i="68"/>
  <c r="X105" i="68"/>
  <c r="W105" i="68"/>
  <c r="V105" i="68"/>
  <c r="U105" i="68"/>
  <c r="T105" i="68"/>
  <c r="S105" i="68"/>
  <c r="R105" i="68"/>
  <c r="Q105" i="68"/>
  <c r="P105" i="68"/>
  <c r="O105" i="68"/>
  <c r="N105" i="68"/>
  <c r="M105" i="68"/>
  <c r="L105" i="68"/>
  <c r="K105" i="68"/>
  <c r="J105" i="68"/>
  <c r="I105" i="68"/>
  <c r="H105" i="68"/>
  <c r="G105" i="68"/>
  <c r="F105" i="68"/>
  <c r="E105" i="68"/>
  <c r="AE104" i="68"/>
  <c r="AD104" i="68"/>
  <c r="AC104" i="68"/>
  <c r="AB104" i="68"/>
  <c r="AA104" i="68"/>
  <c r="Z104" i="68"/>
  <c r="Y104" i="68"/>
  <c r="X104" i="68"/>
  <c r="W104" i="68"/>
  <c r="V104" i="68"/>
  <c r="U104" i="68"/>
  <c r="T104" i="68"/>
  <c r="S104" i="68"/>
  <c r="R104" i="68"/>
  <c r="Q104" i="68"/>
  <c r="P104" i="68"/>
  <c r="O104" i="68"/>
  <c r="N104" i="68"/>
  <c r="M104" i="68"/>
  <c r="L104" i="68"/>
  <c r="K104" i="68"/>
  <c r="J104" i="68"/>
  <c r="I104" i="68"/>
  <c r="H104" i="68"/>
  <c r="G104" i="68"/>
  <c r="F104" i="68"/>
  <c r="E104" i="68"/>
  <c r="AD103" i="68"/>
  <c r="AC103" i="68"/>
  <c r="AB103" i="68"/>
  <c r="AA103" i="68"/>
  <c r="Z103" i="68"/>
  <c r="Y103" i="68"/>
  <c r="X103" i="68"/>
  <c r="W103" i="68"/>
  <c r="V103" i="68"/>
  <c r="U103" i="68"/>
  <c r="T103" i="68"/>
  <c r="S103" i="68"/>
  <c r="R103" i="68"/>
  <c r="Q103" i="68"/>
  <c r="P103" i="68"/>
  <c r="O103" i="68"/>
  <c r="N103" i="68"/>
  <c r="M103" i="68"/>
  <c r="L103" i="68"/>
  <c r="K103" i="68"/>
  <c r="J103" i="68"/>
  <c r="I103" i="68"/>
  <c r="H103" i="68"/>
  <c r="G103" i="68"/>
  <c r="F103" i="68"/>
  <c r="E103" i="68"/>
  <c r="AC102" i="68"/>
  <c r="AB102" i="68"/>
  <c r="AA102" i="68"/>
  <c r="Z102" i="68"/>
  <c r="Y102" i="68"/>
  <c r="X102" i="68"/>
  <c r="W102" i="68"/>
  <c r="V102" i="68"/>
  <c r="U102" i="68"/>
  <c r="T102" i="68"/>
  <c r="S102" i="68"/>
  <c r="R102" i="68"/>
  <c r="Q102" i="68"/>
  <c r="P102" i="68"/>
  <c r="O102" i="68"/>
  <c r="N102" i="68"/>
  <c r="M102" i="68"/>
  <c r="L102" i="68"/>
  <c r="K102" i="68"/>
  <c r="J102" i="68"/>
  <c r="I102" i="68"/>
  <c r="H102" i="68"/>
  <c r="G102" i="68"/>
  <c r="F102" i="68"/>
  <c r="E102" i="68"/>
  <c r="AB101" i="68"/>
  <c r="AA101" i="68"/>
  <c r="Z101" i="68"/>
  <c r="Y101" i="68"/>
  <c r="X101" i="68"/>
  <c r="W101" i="68"/>
  <c r="V101" i="68"/>
  <c r="U101" i="68"/>
  <c r="T101" i="68"/>
  <c r="S101" i="68"/>
  <c r="R101" i="68"/>
  <c r="Q101" i="68"/>
  <c r="P101" i="68"/>
  <c r="O101" i="68"/>
  <c r="N101" i="68"/>
  <c r="M101" i="68"/>
  <c r="L101" i="68"/>
  <c r="K101" i="68"/>
  <c r="J101" i="68"/>
  <c r="I101" i="68"/>
  <c r="H101" i="68"/>
  <c r="G101" i="68"/>
  <c r="F101" i="68"/>
  <c r="E101" i="68"/>
  <c r="AA100" i="68"/>
  <c r="Z100" i="68"/>
  <c r="Y100" i="68"/>
  <c r="X100" i="68"/>
  <c r="W100" i="68"/>
  <c r="V100" i="68"/>
  <c r="U100" i="68"/>
  <c r="T100" i="68"/>
  <c r="S100" i="68"/>
  <c r="R100" i="68"/>
  <c r="Q100" i="68"/>
  <c r="P100" i="68"/>
  <c r="O100" i="68"/>
  <c r="N100" i="68"/>
  <c r="M100" i="68"/>
  <c r="L100" i="68"/>
  <c r="K100" i="68"/>
  <c r="J100" i="68"/>
  <c r="I100" i="68"/>
  <c r="H100" i="68"/>
  <c r="G100" i="68"/>
  <c r="F100" i="68"/>
  <c r="E100" i="68"/>
  <c r="Z99" i="68"/>
  <c r="Y99" i="68"/>
  <c r="X99" i="68"/>
  <c r="W99" i="68"/>
  <c r="V99" i="68"/>
  <c r="U99" i="68"/>
  <c r="T99" i="68"/>
  <c r="S99" i="68"/>
  <c r="R99" i="68"/>
  <c r="Q99" i="68"/>
  <c r="P99" i="68"/>
  <c r="O99" i="68"/>
  <c r="N99" i="68"/>
  <c r="M99" i="68"/>
  <c r="L99" i="68"/>
  <c r="K99" i="68"/>
  <c r="J99" i="68"/>
  <c r="I99" i="68"/>
  <c r="H99" i="68"/>
  <c r="G99" i="68"/>
  <c r="F99" i="68"/>
  <c r="E99" i="68"/>
  <c r="Y98" i="68"/>
  <c r="X98" i="68"/>
  <c r="W98" i="68"/>
  <c r="V98" i="68"/>
  <c r="U98" i="68"/>
  <c r="T98" i="68"/>
  <c r="S98" i="68"/>
  <c r="R98" i="68"/>
  <c r="Q98" i="68"/>
  <c r="P98" i="68"/>
  <c r="O98" i="68"/>
  <c r="N98" i="68"/>
  <c r="M98" i="68"/>
  <c r="L98" i="68"/>
  <c r="K98" i="68"/>
  <c r="J98" i="68"/>
  <c r="I98" i="68"/>
  <c r="H98" i="68"/>
  <c r="G98" i="68"/>
  <c r="F98" i="68"/>
  <c r="E98" i="68"/>
  <c r="X97" i="68"/>
  <c r="W97" i="68"/>
  <c r="V97" i="68"/>
  <c r="U97" i="68"/>
  <c r="T97" i="68"/>
  <c r="S97" i="68"/>
  <c r="R97" i="68"/>
  <c r="Q97" i="68"/>
  <c r="P97" i="68"/>
  <c r="O97" i="68"/>
  <c r="N97" i="68"/>
  <c r="M97" i="68"/>
  <c r="L97" i="68"/>
  <c r="K97" i="68"/>
  <c r="J97" i="68"/>
  <c r="I97" i="68"/>
  <c r="H97" i="68"/>
  <c r="G97" i="68"/>
  <c r="F97" i="68"/>
  <c r="E97" i="68"/>
  <c r="W96" i="68"/>
  <c r="V96" i="68"/>
  <c r="U96" i="68"/>
  <c r="T96" i="68"/>
  <c r="S96" i="68"/>
  <c r="R96" i="68"/>
  <c r="Q96" i="68"/>
  <c r="P96" i="68"/>
  <c r="O96" i="68"/>
  <c r="N96" i="68"/>
  <c r="M96" i="68"/>
  <c r="L96" i="68"/>
  <c r="K96" i="68"/>
  <c r="J96" i="68"/>
  <c r="I96" i="68"/>
  <c r="H96" i="68"/>
  <c r="G96" i="68"/>
  <c r="F96" i="68"/>
  <c r="E96" i="68"/>
  <c r="V95" i="68"/>
  <c r="U95" i="68"/>
  <c r="T95" i="68"/>
  <c r="S95" i="68"/>
  <c r="R95" i="68"/>
  <c r="Q95" i="68"/>
  <c r="P95" i="68"/>
  <c r="O95" i="68"/>
  <c r="N95" i="68"/>
  <c r="M95" i="68"/>
  <c r="L95" i="68"/>
  <c r="K95" i="68"/>
  <c r="J95" i="68"/>
  <c r="I95" i="68"/>
  <c r="H95" i="68"/>
  <c r="G95" i="68"/>
  <c r="F95" i="68"/>
  <c r="E95" i="68"/>
  <c r="U94" i="68"/>
  <c r="T94" i="68"/>
  <c r="S94" i="68"/>
  <c r="R94" i="68"/>
  <c r="Q94" i="68"/>
  <c r="P94" i="68"/>
  <c r="O94" i="68"/>
  <c r="N94" i="68"/>
  <c r="M94" i="68"/>
  <c r="L94" i="68"/>
  <c r="K94" i="68"/>
  <c r="J94" i="68"/>
  <c r="I94" i="68"/>
  <c r="H94" i="68"/>
  <c r="G94" i="68"/>
  <c r="F94" i="68"/>
  <c r="E94" i="68"/>
  <c r="T93" i="68"/>
  <c r="S93" i="68"/>
  <c r="R93" i="68"/>
  <c r="Q93" i="68"/>
  <c r="P93" i="68"/>
  <c r="O93" i="68"/>
  <c r="N93" i="68"/>
  <c r="M93" i="68"/>
  <c r="L93" i="68"/>
  <c r="K93" i="68"/>
  <c r="J93" i="68"/>
  <c r="I93" i="68"/>
  <c r="H93" i="68"/>
  <c r="G93" i="68"/>
  <c r="F93" i="68"/>
  <c r="E93" i="68"/>
  <c r="S92" i="68"/>
  <c r="R92" i="68"/>
  <c r="Q92" i="68"/>
  <c r="P92" i="68"/>
  <c r="O92" i="68"/>
  <c r="N92" i="68"/>
  <c r="M92" i="68"/>
  <c r="L92" i="68"/>
  <c r="K92" i="68"/>
  <c r="J92" i="68"/>
  <c r="I92" i="68"/>
  <c r="H92" i="68"/>
  <c r="G92" i="68"/>
  <c r="F92" i="68"/>
  <c r="E92" i="68"/>
  <c r="R91" i="68"/>
  <c r="Q91" i="68"/>
  <c r="P91" i="68"/>
  <c r="O91" i="68"/>
  <c r="N91" i="68"/>
  <c r="M91" i="68"/>
  <c r="L91" i="68"/>
  <c r="K91" i="68"/>
  <c r="J91" i="68"/>
  <c r="I91" i="68"/>
  <c r="H91" i="68"/>
  <c r="G91" i="68"/>
  <c r="F91" i="68"/>
  <c r="E91" i="68"/>
  <c r="Q90" i="68"/>
  <c r="P90" i="68"/>
  <c r="O90" i="68"/>
  <c r="N90" i="68"/>
  <c r="M90" i="68"/>
  <c r="L90" i="68"/>
  <c r="K90" i="68"/>
  <c r="J90" i="68"/>
  <c r="I90" i="68"/>
  <c r="H90" i="68"/>
  <c r="G90" i="68"/>
  <c r="F90" i="68"/>
  <c r="E90" i="68"/>
  <c r="P89" i="68"/>
  <c r="O89" i="68"/>
  <c r="N89" i="68"/>
  <c r="M89" i="68"/>
  <c r="L89" i="68"/>
  <c r="K89" i="68"/>
  <c r="J89" i="68"/>
  <c r="I89" i="68"/>
  <c r="H89" i="68"/>
  <c r="G89" i="68"/>
  <c r="F89" i="68"/>
  <c r="E89" i="68"/>
  <c r="O88" i="68"/>
  <c r="N88" i="68"/>
  <c r="M88" i="68"/>
  <c r="L88" i="68"/>
  <c r="K88" i="68"/>
  <c r="J88" i="68"/>
  <c r="I88" i="68"/>
  <c r="H88" i="68"/>
  <c r="G88" i="68"/>
  <c r="F88" i="68"/>
  <c r="E88" i="68"/>
  <c r="N87" i="68"/>
  <c r="M87" i="68"/>
  <c r="L87" i="68"/>
  <c r="K87" i="68"/>
  <c r="J87" i="68"/>
  <c r="I87" i="68"/>
  <c r="H87" i="68"/>
  <c r="G87" i="68"/>
  <c r="F87" i="68"/>
  <c r="E87" i="68"/>
  <c r="M86" i="68"/>
  <c r="L86" i="68"/>
  <c r="K86" i="68"/>
  <c r="J86" i="68"/>
  <c r="I86" i="68"/>
  <c r="H86" i="68"/>
  <c r="G86" i="68"/>
  <c r="F86" i="68"/>
  <c r="E86" i="68"/>
  <c r="L85" i="68"/>
  <c r="K85" i="68"/>
  <c r="J85" i="68"/>
  <c r="I85" i="68"/>
  <c r="H85" i="68"/>
  <c r="G85" i="68"/>
  <c r="F85" i="68"/>
  <c r="E85" i="68"/>
  <c r="K84" i="68"/>
  <c r="J84" i="68"/>
  <c r="I84" i="68"/>
  <c r="H84" i="68"/>
  <c r="G84" i="68"/>
  <c r="F84" i="68"/>
  <c r="E84" i="68"/>
  <c r="J83" i="68"/>
  <c r="I83" i="68"/>
  <c r="H83" i="68"/>
  <c r="G83" i="68"/>
  <c r="F83" i="68"/>
  <c r="E83" i="68"/>
  <c r="I82" i="68"/>
  <c r="H82" i="68"/>
  <c r="G82" i="68"/>
  <c r="F82" i="68"/>
  <c r="E82" i="68"/>
  <c r="H81" i="68"/>
  <c r="G81" i="68"/>
  <c r="F81" i="68"/>
  <c r="E81" i="68"/>
  <c r="G80" i="68"/>
  <c r="F80" i="68"/>
  <c r="E80" i="68"/>
  <c r="F79" i="68"/>
  <c r="E79" i="68"/>
  <c r="E78" i="68"/>
  <c r="AG70" i="68"/>
  <c r="AF70" i="68"/>
  <c r="AE70" i="68"/>
  <c r="AD70" i="68"/>
  <c r="AC70" i="68"/>
  <c r="AB70" i="68"/>
  <c r="AA70" i="68"/>
  <c r="Z70" i="68"/>
  <c r="Y70" i="68"/>
  <c r="X70" i="68"/>
  <c r="W70" i="68"/>
  <c r="V70" i="68"/>
  <c r="U70" i="68"/>
  <c r="T70" i="68"/>
  <c r="S70" i="68"/>
  <c r="R70" i="68"/>
  <c r="Q70" i="68"/>
  <c r="P70" i="68"/>
  <c r="O70" i="68"/>
  <c r="N70" i="68"/>
  <c r="M70" i="68"/>
  <c r="L70" i="68"/>
  <c r="K70" i="68"/>
  <c r="J70" i="68"/>
  <c r="I70" i="68"/>
  <c r="H70" i="68"/>
  <c r="G70" i="68"/>
  <c r="F70" i="68"/>
  <c r="E70" i="68"/>
  <c r="AF69" i="68"/>
  <c r="AE69" i="68"/>
  <c r="AD69" i="68"/>
  <c r="AC69" i="68"/>
  <c r="AB69" i="68"/>
  <c r="AA69" i="68"/>
  <c r="Z69" i="68"/>
  <c r="Y69" i="68"/>
  <c r="X69" i="68"/>
  <c r="W69" i="68"/>
  <c r="V69" i="68"/>
  <c r="U69" i="68"/>
  <c r="T69" i="68"/>
  <c r="S69" i="68"/>
  <c r="R69" i="68"/>
  <c r="Q69" i="68"/>
  <c r="P69" i="68"/>
  <c r="O69" i="68"/>
  <c r="N69" i="68"/>
  <c r="M69" i="68"/>
  <c r="L69" i="68"/>
  <c r="K69" i="68"/>
  <c r="J69" i="68"/>
  <c r="I69" i="68"/>
  <c r="H69" i="68"/>
  <c r="G69" i="68"/>
  <c r="F69" i="68"/>
  <c r="E69" i="68"/>
  <c r="AE68" i="68"/>
  <c r="AD68" i="68"/>
  <c r="AC68" i="68"/>
  <c r="AB68" i="68"/>
  <c r="AA68" i="68"/>
  <c r="Z68" i="68"/>
  <c r="Y68" i="68"/>
  <c r="X68" i="68"/>
  <c r="W68" i="68"/>
  <c r="V68" i="68"/>
  <c r="U68" i="68"/>
  <c r="T68" i="68"/>
  <c r="S68" i="68"/>
  <c r="R68" i="68"/>
  <c r="Q68" i="68"/>
  <c r="P68" i="68"/>
  <c r="O68" i="68"/>
  <c r="N68" i="68"/>
  <c r="M68" i="68"/>
  <c r="L68" i="68"/>
  <c r="K68" i="68"/>
  <c r="J68" i="68"/>
  <c r="I68" i="68"/>
  <c r="H68" i="68"/>
  <c r="G68" i="68"/>
  <c r="F68" i="68"/>
  <c r="E68" i="68"/>
  <c r="AD67" i="68"/>
  <c r="AC67" i="68"/>
  <c r="AB67" i="68"/>
  <c r="AA67" i="68"/>
  <c r="Z67" i="68"/>
  <c r="Y67" i="68"/>
  <c r="X67" i="68"/>
  <c r="W67" i="68"/>
  <c r="V67" i="68"/>
  <c r="U67" i="68"/>
  <c r="T67" i="68"/>
  <c r="S67" i="68"/>
  <c r="R67" i="68"/>
  <c r="Q67" i="68"/>
  <c r="P67" i="68"/>
  <c r="O67" i="68"/>
  <c r="N67" i="68"/>
  <c r="M67" i="68"/>
  <c r="L67" i="68"/>
  <c r="K67" i="68"/>
  <c r="J67" i="68"/>
  <c r="I67" i="68"/>
  <c r="H67" i="68"/>
  <c r="G67" i="68"/>
  <c r="F67" i="68"/>
  <c r="E67" i="68"/>
  <c r="AC66" i="68"/>
  <c r="AB66" i="68"/>
  <c r="AA66" i="68"/>
  <c r="Z66" i="68"/>
  <c r="Y66" i="68"/>
  <c r="X66" i="68"/>
  <c r="W66" i="68"/>
  <c r="V66" i="68"/>
  <c r="U66" i="68"/>
  <c r="T66" i="68"/>
  <c r="S66" i="68"/>
  <c r="R66" i="68"/>
  <c r="Q66" i="68"/>
  <c r="P66" i="68"/>
  <c r="O66" i="68"/>
  <c r="N66" i="68"/>
  <c r="M66" i="68"/>
  <c r="L66" i="68"/>
  <c r="K66" i="68"/>
  <c r="J66" i="68"/>
  <c r="I66" i="68"/>
  <c r="H66" i="68"/>
  <c r="G66" i="68"/>
  <c r="F66" i="68"/>
  <c r="E66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AA64" i="68"/>
  <c r="Z64" i="68"/>
  <c r="Y64" i="68"/>
  <c r="X64" i="68"/>
  <c r="W64" i="68"/>
  <c r="V64" i="68"/>
  <c r="U64" i="68"/>
  <c r="T64" i="68"/>
  <c r="S64" i="68"/>
  <c r="R64" i="68"/>
  <c r="Q64" i="68"/>
  <c r="P64" i="68"/>
  <c r="O64" i="68"/>
  <c r="N64" i="68"/>
  <c r="M64" i="68"/>
  <c r="L64" i="68"/>
  <c r="K64" i="68"/>
  <c r="J64" i="68"/>
  <c r="I64" i="68"/>
  <c r="H64" i="68"/>
  <c r="G64" i="68"/>
  <c r="F64" i="68"/>
  <c r="E64" i="68"/>
  <c r="Z63" i="68"/>
  <c r="Y63" i="68"/>
  <c r="X63" i="68"/>
  <c r="W63" i="68"/>
  <c r="V63" i="68"/>
  <c r="U63" i="68"/>
  <c r="T63" i="68"/>
  <c r="S63" i="68"/>
  <c r="R63" i="68"/>
  <c r="Q63" i="68"/>
  <c r="P63" i="68"/>
  <c r="O63" i="68"/>
  <c r="N63" i="68"/>
  <c r="M63" i="68"/>
  <c r="L63" i="68"/>
  <c r="K63" i="68"/>
  <c r="J63" i="68"/>
  <c r="I63" i="68"/>
  <c r="H63" i="68"/>
  <c r="G63" i="68"/>
  <c r="F63" i="68"/>
  <c r="E63" i="68"/>
  <c r="Y62" i="68"/>
  <c r="X62" i="68"/>
  <c r="W62" i="68"/>
  <c r="V62" i="68"/>
  <c r="U62" i="68"/>
  <c r="T62" i="68"/>
  <c r="S62" i="68"/>
  <c r="R62" i="68"/>
  <c r="Q62" i="68"/>
  <c r="P62" i="68"/>
  <c r="O62" i="68"/>
  <c r="N62" i="68"/>
  <c r="M62" i="68"/>
  <c r="L62" i="68"/>
  <c r="K62" i="68"/>
  <c r="J62" i="68"/>
  <c r="I62" i="68"/>
  <c r="H62" i="68"/>
  <c r="G62" i="68"/>
  <c r="F62" i="68"/>
  <c r="E62" i="68"/>
  <c r="X61" i="68"/>
  <c r="W61" i="68"/>
  <c r="V61" i="68"/>
  <c r="U61" i="68"/>
  <c r="T61" i="68"/>
  <c r="S61" i="68"/>
  <c r="R61" i="68"/>
  <c r="Q61" i="68"/>
  <c r="P61" i="68"/>
  <c r="O61" i="68"/>
  <c r="N61" i="68"/>
  <c r="M61" i="68"/>
  <c r="L61" i="68"/>
  <c r="K61" i="68"/>
  <c r="J61" i="68"/>
  <c r="I61" i="68"/>
  <c r="H61" i="68"/>
  <c r="G61" i="68"/>
  <c r="F61" i="68"/>
  <c r="E61" i="68"/>
  <c r="W60" i="68"/>
  <c r="V60" i="68"/>
  <c r="U60" i="68"/>
  <c r="T60" i="68"/>
  <c r="S60" i="68"/>
  <c r="R60" i="68"/>
  <c r="Q60" i="68"/>
  <c r="P60" i="68"/>
  <c r="O60" i="68"/>
  <c r="N60" i="68"/>
  <c r="M60" i="68"/>
  <c r="L60" i="68"/>
  <c r="K60" i="68"/>
  <c r="J60" i="68"/>
  <c r="I60" i="68"/>
  <c r="H60" i="68"/>
  <c r="G60" i="68"/>
  <c r="F60" i="68"/>
  <c r="E60" i="68"/>
  <c r="V59" i="68"/>
  <c r="U59" i="68"/>
  <c r="T59" i="68"/>
  <c r="S59" i="68"/>
  <c r="R59" i="68"/>
  <c r="Q59" i="68"/>
  <c r="P59" i="68"/>
  <c r="O59" i="68"/>
  <c r="N59" i="68"/>
  <c r="M59" i="68"/>
  <c r="L59" i="68"/>
  <c r="K59" i="68"/>
  <c r="J59" i="68"/>
  <c r="I59" i="68"/>
  <c r="H59" i="68"/>
  <c r="G59" i="68"/>
  <c r="F59" i="68"/>
  <c r="E59" i="68"/>
  <c r="U58" i="68"/>
  <c r="T58" i="68"/>
  <c r="S58" i="68"/>
  <c r="R58" i="68"/>
  <c r="Q58" i="68"/>
  <c r="P58" i="68"/>
  <c r="O58" i="68"/>
  <c r="N58" i="68"/>
  <c r="M58" i="68"/>
  <c r="L58" i="68"/>
  <c r="K58" i="68"/>
  <c r="J58" i="68"/>
  <c r="I58" i="68"/>
  <c r="H58" i="68"/>
  <c r="G58" i="68"/>
  <c r="F58" i="68"/>
  <c r="E58" i="68"/>
  <c r="T57" i="68"/>
  <c r="S57" i="68"/>
  <c r="R57" i="68"/>
  <c r="Q57" i="68"/>
  <c r="P57" i="68"/>
  <c r="O57" i="68"/>
  <c r="N57" i="68"/>
  <c r="M57" i="68"/>
  <c r="L57" i="68"/>
  <c r="K57" i="68"/>
  <c r="J57" i="68"/>
  <c r="I57" i="68"/>
  <c r="H57" i="68"/>
  <c r="G57" i="68"/>
  <c r="F57" i="68"/>
  <c r="E57" i="68"/>
  <c r="S56" i="68"/>
  <c r="R56" i="68"/>
  <c r="Q56" i="68"/>
  <c r="P56" i="68"/>
  <c r="O56" i="68"/>
  <c r="N56" i="68"/>
  <c r="M56" i="68"/>
  <c r="L56" i="68"/>
  <c r="K56" i="68"/>
  <c r="J56" i="68"/>
  <c r="I56" i="68"/>
  <c r="H56" i="68"/>
  <c r="G56" i="68"/>
  <c r="F56" i="68"/>
  <c r="E56" i="68"/>
  <c r="R55" i="68"/>
  <c r="Q55" i="68"/>
  <c r="P55" i="68"/>
  <c r="O55" i="68"/>
  <c r="N55" i="68"/>
  <c r="M55" i="68"/>
  <c r="L55" i="68"/>
  <c r="K55" i="68"/>
  <c r="J55" i="68"/>
  <c r="I55" i="68"/>
  <c r="H55" i="68"/>
  <c r="G55" i="68"/>
  <c r="F55" i="68"/>
  <c r="E55" i="68"/>
  <c r="Q54" i="68"/>
  <c r="P54" i="68"/>
  <c r="O54" i="68"/>
  <c r="N54" i="68"/>
  <c r="M54" i="68"/>
  <c r="L54" i="68"/>
  <c r="K54" i="68"/>
  <c r="J54" i="68"/>
  <c r="I54" i="68"/>
  <c r="H54" i="68"/>
  <c r="G54" i="68"/>
  <c r="F54" i="68"/>
  <c r="E54" i="68"/>
  <c r="P53" i="68"/>
  <c r="O53" i="68"/>
  <c r="N53" i="68"/>
  <c r="M53" i="68"/>
  <c r="L53" i="68"/>
  <c r="K53" i="68"/>
  <c r="J53" i="68"/>
  <c r="I53" i="68"/>
  <c r="H53" i="68"/>
  <c r="G53" i="68"/>
  <c r="F53" i="68"/>
  <c r="E53" i="68"/>
  <c r="O52" i="68"/>
  <c r="N52" i="68"/>
  <c r="M52" i="68"/>
  <c r="L52" i="68"/>
  <c r="K52" i="68"/>
  <c r="J52" i="68"/>
  <c r="I52" i="68"/>
  <c r="H52" i="68"/>
  <c r="G52" i="68"/>
  <c r="F52" i="68"/>
  <c r="E52" i="68"/>
  <c r="N51" i="68"/>
  <c r="M51" i="68"/>
  <c r="L51" i="68"/>
  <c r="K51" i="68"/>
  <c r="J51" i="68"/>
  <c r="I51" i="68"/>
  <c r="H51" i="68"/>
  <c r="G51" i="68"/>
  <c r="F51" i="68"/>
  <c r="E51" i="68"/>
  <c r="M50" i="68"/>
  <c r="L50" i="68"/>
  <c r="K50" i="68"/>
  <c r="J50" i="68"/>
  <c r="I50" i="68"/>
  <c r="H50" i="68"/>
  <c r="G50" i="68"/>
  <c r="F50" i="68"/>
  <c r="E50" i="68"/>
  <c r="L49" i="68"/>
  <c r="K49" i="68"/>
  <c r="J49" i="68"/>
  <c r="I49" i="68"/>
  <c r="H49" i="68"/>
  <c r="G49" i="68"/>
  <c r="F49" i="68"/>
  <c r="E49" i="68"/>
  <c r="K48" i="68"/>
  <c r="J48" i="68"/>
  <c r="I48" i="68"/>
  <c r="H48" i="68"/>
  <c r="G48" i="68"/>
  <c r="F48" i="68"/>
  <c r="E48" i="68"/>
  <c r="J47" i="68"/>
  <c r="I47" i="68"/>
  <c r="H47" i="68"/>
  <c r="G47" i="68"/>
  <c r="F47" i="68"/>
  <c r="E47" i="68"/>
  <c r="I46" i="68"/>
  <c r="H46" i="68"/>
  <c r="G46" i="68"/>
  <c r="F46" i="68"/>
  <c r="E46" i="68"/>
  <c r="H45" i="68"/>
  <c r="G45" i="68"/>
  <c r="F45" i="68"/>
  <c r="E45" i="68"/>
  <c r="G44" i="68"/>
  <c r="F44" i="68"/>
  <c r="E44" i="68"/>
  <c r="F43" i="68"/>
  <c r="E43" i="68"/>
  <c r="E42" i="68"/>
  <c r="AG34" i="68"/>
  <c r="AF34" i="68"/>
  <c r="AE34" i="68"/>
  <c r="AD34" i="68"/>
  <c r="AC34" i="68"/>
  <c r="AB34" i="68"/>
  <c r="AA34" i="68"/>
  <c r="Z34" i="68"/>
  <c r="Y34" i="68"/>
  <c r="X34" i="68"/>
  <c r="W34" i="68"/>
  <c r="V34" i="68"/>
  <c r="U34" i="68"/>
  <c r="T34" i="68"/>
  <c r="S34" i="68"/>
  <c r="R34" i="68"/>
  <c r="Q34" i="68"/>
  <c r="P34" i="68"/>
  <c r="O34" i="68"/>
  <c r="N34" i="68"/>
  <c r="M34" i="68"/>
  <c r="L34" i="68"/>
  <c r="K34" i="68"/>
  <c r="J34" i="68"/>
  <c r="I34" i="68"/>
  <c r="H34" i="68"/>
  <c r="G34" i="68"/>
  <c r="F34" i="68"/>
  <c r="E34" i="68"/>
  <c r="AF33" i="68"/>
  <c r="AE33" i="68"/>
  <c r="AD33" i="68"/>
  <c r="AC33" i="68"/>
  <c r="AB33" i="68"/>
  <c r="AA33" i="68"/>
  <c r="Z33" i="68"/>
  <c r="Y33" i="68"/>
  <c r="X33" i="68"/>
  <c r="W33" i="68"/>
  <c r="V33" i="68"/>
  <c r="U33" i="68"/>
  <c r="T33" i="68"/>
  <c r="S33" i="68"/>
  <c r="R33" i="68"/>
  <c r="Q33" i="68"/>
  <c r="P33" i="68"/>
  <c r="O33" i="68"/>
  <c r="N33" i="68"/>
  <c r="M33" i="68"/>
  <c r="L33" i="68"/>
  <c r="K33" i="68"/>
  <c r="J33" i="68"/>
  <c r="I33" i="68"/>
  <c r="H33" i="68"/>
  <c r="G33" i="68"/>
  <c r="F33" i="68"/>
  <c r="E33" i="68"/>
  <c r="AE32" i="68"/>
  <c r="AD32" i="68"/>
  <c r="AC32" i="68"/>
  <c r="AB32" i="68"/>
  <c r="AA32" i="68"/>
  <c r="Z32" i="68"/>
  <c r="Y32" i="68"/>
  <c r="X32" i="68"/>
  <c r="W32" i="68"/>
  <c r="V32" i="68"/>
  <c r="U32" i="68"/>
  <c r="T32" i="68"/>
  <c r="S32" i="68"/>
  <c r="R32" i="68"/>
  <c r="Q32" i="68"/>
  <c r="P32" i="68"/>
  <c r="O32" i="68"/>
  <c r="N32" i="68"/>
  <c r="M32" i="68"/>
  <c r="L32" i="68"/>
  <c r="K32" i="68"/>
  <c r="J32" i="68"/>
  <c r="I32" i="68"/>
  <c r="H32" i="68"/>
  <c r="G32" i="68"/>
  <c r="F32" i="68"/>
  <c r="E32" i="68"/>
  <c r="AD31" i="68"/>
  <c r="AC31" i="68"/>
  <c r="AB31" i="68"/>
  <c r="AA31" i="68"/>
  <c r="Z31" i="68"/>
  <c r="Y31" i="68"/>
  <c r="X31" i="68"/>
  <c r="W31" i="68"/>
  <c r="V31" i="68"/>
  <c r="U31" i="68"/>
  <c r="T31" i="68"/>
  <c r="S31" i="68"/>
  <c r="R31" i="68"/>
  <c r="Q31" i="68"/>
  <c r="P31" i="68"/>
  <c r="O31" i="68"/>
  <c r="N31" i="68"/>
  <c r="M31" i="68"/>
  <c r="L31" i="68"/>
  <c r="K31" i="68"/>
  <c r="J31" i="68"/>
  <c r="I31" i="68"/>
  <c r="H31" i="68"/>
  <c r="G31" i="68"/>
  <c r="F31" i="68"/>
  <c r="E31" i="68"/>
  <c r="AC30" i="68"/>
  <c r="AB30" i="68"/>
  <c r="AA30" i="68"/>
  <c r="Z30" i="68"/>
  <c r="Y30" i="68"/>
  <c r="X30" i="68"/>
  <c r="W30" i="68"/>
  <c r="V30" i="68"/>
  <c r="U30" i="68"/>
  <c r="T30" i="68"/>
  <c r="S30" i="68"/>
  <c r="R30" i="68"/>
  <c r="Q30" i="68"/>
  <c r="P30" i="68"/>
  <c r="O30" i="68"/>
  <c r="N30" i="68"/>
  <c r="M30" i="68"/>
  <c r="L30" i="68"/>
  <c r="K30" i="68"/>
  <c r="J30" i="68"/>
  <c r="I30" i="68"/>
  <c r="H30" i="68"/>
  <c r="G30" i="68"/>
  <c r="F30" i="68"/>
  <c r="E30" i="68"/>
  <c r="AB29" i="68"/>
  <c r="AA29" i="68"/>
  <c r="Z29" i="68"/>
  <c r="Y29" i="68"/>
  <c r="X29" i="68"/>
  <c r="W29" i="68"/>
  <c r="V29" i="68"/>
  <c r="U29" i="68"/>
  <c r="T29" i="68"/>
  <c r="S29" i="68"/>
  <c r="R29" i="68"/>
  <c r="Q29" i="68"/>
  <c r="P29" i="68"/>
  <c r="O29" i="68"/>
  <c r="N29" i="68"/>
  <c r="M29" i="68"/>
  <c r="L29" i="68"/>
  <c r="K29" i="68"/>
  <c r="J29" i="68"/>
  <c r="I29" i="68"/>
  <c r="H29" i="68"/>
  <c r="G29" i="68"/>
  <c r="F29" i="68"/>
  <c r="E29" i="68"/>
  <c r="AA28" i="68"/>
  <c r="Z28" i="68"/>
  <c r="Y28" i="68"/>
  <c r="X28" i="68"/>
  <c r="W28" i="68"/>
  <c r="V28" i="68"/>
  <c r="U28" i="68"/>
  <c r="T28" i="68"/>
  <c r="S28" i="68"/>
  <c r="R28" i="68"/>
  <c r="Q28" i="68"/>
  <c r="P28" i="68"/>
  <c r="O28" i="68"/>
  <c r="N28" i="68"/>
  <c r="M28" i="68"/>
  <c r="L28" i="68"/>
  <c r="K28" i="68"/>
  <c r="J28" i="68"/>
  <c r="I28" i="68"/>
  <c r="H28" i="68"/>
  <c r="G28" i="68"/>
  <c r="F28" i="68"/>
  <c r="E28" i="68"/>
  <c r="Z27" i="68"/>
  <c r="Y27" i="68"/>
  <c r="X27" i="68"/>
  <c r="W27" i="68"/>
  <c r="V27" i="68"/>
  <c r="U27" i="68"/>
  <c r="T27" i="68"/>
  <c r="S27" i="68"/>
  <c r="R27" i="68"/>
  <c r="Q27" i="68"/>
  <c r="P27" i="68"/>
  <c r="O27" i="68"/>
  <c r="N27" i="68"/>
  <c r="M27" i="68"/>
  <c r="L27" i="68"/>
  <c r="K27" i="68"/>
  <c r="J27" i="68"/>
  <c r="I27" i="68"/>
  <c r="H27" i="68"/>
  <c r="G27" i="68"/>
  <c r="F27" i="68"/>
  <c r="E27" i="68"/>
  <c r="Y26" i="68"/>
  <c r="X26" i="68"/>
  <c r="W26" i="68"/>
  <c r="V26" i="68"/>
  <c r="U26" i="68"/>
  <c r="T26" i="68"/>
  <c r="S26" i="68"/>
  <c r="R26" i="68"/>
  <c r="Q26" i="68"/>
  <c r="P26" i="68"/>
  <c r="O26" i="68"/>
  <c r="N26" i="68"/>
  <c r="M26" i="68"/>
  <c r="L26" i="68"/>
  <c r="K26" i="68"/>
  <c r="J26" i="68"/>
  <c r="I26" i="68"/>
  <c r="H26" i="68"/>
  <c r="G26" i="68"/>
  <c r="F26" i="68"/>
  <c r="E26" i="68"/>
  <c r="X25" i="68"/>
  <c r="W25" i="68"/>
  <c r="V25" i="68"/>
  <c r="U25" i="68"/>
  <c r="T25" i="68"/>
  <c r="S25" i="68"/>
  <c r="R25" i="68"/>
  <c r="Q25" i="68"/>
  <c r="P25" i="68"/>
  <c r="O25" i="68"/>
  <c r="N25" i="68"/>
  <c r="M25" i="68"/>
  <c r="L25" i="68"/>
  <c r="K25" i="68"/>
  <c r="J25" i="68"/>
  <c r="I25" i="68"/>
  <c r="H25" i="68"/>
  <c r="G25" i="68"/>
  <c r="F25" i="68"/>
  <c r="E25" i="68"/>
  <c r="W24" i="68"/>
  <c r="V24" i="68"/>
  <c r="U24" i="68"/>
  <c r="T24" i="68"/>
  <c r="S24" i="68"/>
  <c r="R24" i="68"/>
  <c r="Q24" i="68"/>
  <c r="P24" i="68"/>
  <c r="O24" i="68"/>
  <c r="N24" i="68"/>
  <c r="M24" i="68"/>
  <c r="L24" i="68"/>
  <c r="K24" i="68"/>
  <c r="J24" i="68"/>
  <c r="I24" i="68"/>
  <c r="H24" i="68"/>
  <c r="G24" i="68"/>
  <c r="F24" i="68"/>
  <c r="E24" i="68"/>
  <c r="V23" i="68"/>
  <c r="U23" i="68"/>
  <c r="T23" i="68"/>
  <c r="S23" i="68"/>
  <c r="R23" i="68"/>
  <c r="Q23" i="68"/>
  <c r="P23" i="68"/>
  <c r="O23" i="68"/>
  <c r="N23" i="68"/>
  <c r="M23" i="68"/>
  <c r="L23" i="68"/>
  <c r="K23" i="68"/>
  <c r="J23" i="68"/>
  <c r="I23" i="68"/>
  <c r="H23" i="68"/>
  <c r="G23" i="68"/>
  <c r="F23" i="68"/>
  <c r="E23" i="68"/>
  <c r="U22" i="68"/>
  <c r="T22" i="68"/>
  <c r="S22" i="68"/>
  <c r="R22" i="68"/>
  <c r="Q22" i="68"/>
  <c r="P22" i="68"/>
  <c r="O22" i="68"/>
  <c r="N22" i="68"/>
  <c r="M22" i="68"/>
  <c r="L22" i="68"/>
  <c r="K22" i="68"/>
  <c r="J22" i="68"/>
  <c r="I22" i="68"/>
  <c r="H22" i="68"/>
  <c r="G22" i="68"/>
  <c r="F22" i="68"/>
  <c r="E22" i="68"/>
  <c r="T21" i="68"/>
  <c r="S21" i="68"/>
  <c r="R21" i="68"/>
  <c r="Q21" i="68"/>
  <c r="P21" i="68"/>
  <c r="O21" i="68"/>
  <c r="N21" i="68"/>
  <c r="M21" i="68"/>
  <c r="L21" i="68"/>
  <c r="K21" i="68"/>
  <c r="J21" i="68"/>
  <c r="I21" i="68"/>
  <c r="H21" i="68"/>
  <c r="G21" i="68"/>
  <c r="F21" i="68"/>
  <c r="E21" i="68"/>
  <c r="S20" i="68"/>
  <c r="R20" i="68"/>
  <c r="Q20" i="68"/>
  <c r="P20" i="68"/>
  <c r="O20" i="68"/>
  <c r="N20" i="68"/>
  <c r="M20" i="68"/>
  <c r="L20" i="68"/>
  <c r="K20" i="68"/>
  <c r="J20" i="68"/>
  <c r="I20" i="68"/>
  <c r="H20" i="68"/>
  <c r="G20" i="68"/>
  <c r="F20" i="68"/>
  <c r="E20" i="68"/>
  <c r="R19" i="68"/>
  <c r="Q19" i="68"/>
  <c r="P19" i="68"/>
  <c r="O19" i="68"/>
  <c r="N19" i="68"/>
  <c r="M19" i="68"/>
  <c r="L19" i="68"/>
  <c r="K19" i="68"/>
  <c r="J19" i="68"/>
  <c r="I19" i="68"/>
  <c r="H19" i="68"/>
  <c r="G19" i="68"/>
  <c r="F19" i="68"/>
  <c r="E19" i="68"/>
  <c r="Q18" i="68"/>
  <c r="P18" i="68"/>
  <c r="O18" i="68"/>
  <c r="N18" i="68"/>
  <c r="M18" i="68"/>
  <c r="L18" i="68"/>
  <c r="K18" i="68"/>
  <c r="J18" i="68"/>
  <c r="I18" i="68"/>
  <c r="H18" i="68"/>
  <c r="G18" i="68"/>
  <c r="F18" i="68"/>
  <c r="E18" i="68"/>
  <c r="P17" i="68"/>
  <c r="O17" i="68"/>
  <c r="N17" i="68"/>
  <c r="M17" i="68"/>
  <c r="L17" i="68"/>
  <c r="K17" i="68"/>
  <c r="J17" i="68"/>
  <c r="I17" i="68"/>
  <c r="H17" i="68"/>
  <c r="G17" i="68"/>
  <c r="F17" i="68"/>
  <c r="E17" i="68"/>
  <c r="O16" i="68"/>
  <c r="N16" i="68"/>
  <c r="M16" i="68"/>
  <c r="L16" i="68"/>
  <c r="K16" i="68"/>
  <c r="J16" i="68"/>
  <c r="I16" i="68"/>
  <c r="H16" i="68"/>
  <c r="G16" i="68"/>
  <c r="F16" i="68"/>
  <c r="E16" i="68"/>
  <c r="N15" i="68"/>
  <c r="M15" i="68"/>
  <c r="L15" i="68"/>
  <c r="K15" i="68"/>
  <c r="J15" i="68"/>
  <c r="I15" i="68"/>
  <c r="H15" i="68"/>
  <c r="G15" i="68"/>
  <c r="F15" i="68"/>
  <c r="E15" i="68"/>
  <c r="M14" i="68"/>
  <c r="L14" i="68"/>
  <c r="K14" i="68"/>
  <c r="J14" i="68"/>
  <c r="I14" i="68"/>
  <c r="H14" i="68"/>
  <c r="G14" i="68"/>
  <c r="F14" i="68"/>
  <c r="E14" i="68"/>
  <c r="L13" i="68"/>
  <c r="K13" i="68"/>
  <c r="J13" i="68"/>
  <c r="I13" i="68"/>
  <c r="H13" i="68"/>
  <c r="G13" i="68"/>
  <c r="F13" i="68"/>
  <c r="E13" i="68"/>
  <c r="K12" i="68"/>
  <c r="J12" i="68"/>
  <c r="I12" i="68"/>
  <c r="H12" i="68"/>
  <c r="G12" i="68"/>
  <c r="F12" i="68"/>
  <c r="E12" i="68"/>
  <c r="J11" i="68"/>
  <c r="I11" i="68"/>
  <c r="H11" i="68"/>
  <c r="G11" i="68"/>
  <c r="F11" i="68"/>
  <c r="E11" i="68"/>
  <c r="I10" i="68"/>
  <c r="H10" i="68"/>
  <c r="G10" i="68"/>
  <c r="F10" i="68"/>
  <c r="E10" i="68"/>
  <c r="H9" i="68"/>
  <c r="G9" i="68"/>
  <c r="F9" i="68"/>
  <c r="E9" i="68"/>
  <c r="G8" i="68"/>
  <c r="F8" i="68"/>
  <c r="E8" i="68"/>
  <c r="F7" i="68"/>
  <c r="E7" i="68"/>
  <c r="E6" i="68"/>
  <c r="G38" i="56"/>
  <c r="G37" i="56"/>
  <c r="E36" i="56"/>
  <c r="G36" i="56" s="1"/>
  <c r="G33" i="56"/>
  <c r="G34" i="56" s="1"/>
  <c r="G30" i="56"/>
  <c r="G29" i="56"/>
  <c r="G28" i="56"/>
  <c r="G25" i="56"/>
  <c r="G26" i="56" s="1"/>
  <c r="F19" i="56"/>
  <c r="E19" i="56"/>
  <c r="G14" i="56"/>
  <c r="G10" i="56"/>
  <c r="G9" i="56"/>
  <c r="G8" i="56"/>
  <c r="G7" i="56"/>
  <c r="G6" i="56"/>
  <c r="I41" i="67"/>
  <c r="E43" i="67" s="1"/>
  <c r="F43" i="67" s="1"/>
  <c r="F44" i="67" s="1"/>
  <c r="J40" i="67"/>
  <c r="E40" i="67" s="1"/>
  <c r="F40" i="67" s="1"/>
  <c r="J39" i="67"/>
  <c r="E39" i="67" s="1"/>
  <c r="F39" i="67" s="1"/>
  <c r="J38" i="67"/>
  <c r="E38" i="67" s="1"/>
  <c r="F38" i="67" s="1"/>
  <c r="J37" i="67"/>
  <c r="E37" i="67" s="1"/>
  <c r="F37" i="67" s="1"/>
  <c r="J36" i="67"/>
  <c r="E36" i="67" s="1"/>
  <c r="D36" i="67"/>
  <c r="J35" i="67"/>
  <c r="E35" i="67" s="1"/>
  <c r="F35" i="67" s="1"/>
  <c r="F32" i="67"/>
  <c r="F31" i="67"/>
  <c r="F30" i="67"/>
  <c r="F29" i="67"/>
  <c r="D28" i="67"/>
  <c r="F28" i="67" s="1"/>
  <c r="F27" i="67"/>
  <c r="D24" i="67"/>
  <c r="D23" i="67"/>
  <c r="D22" i="67"/>
  <c r="D21" i="67"/>
  <c r="M18" i="67"/>
  <c r="M19" i="67" s="1"/>
  <c r="E18" i="67"/>
  <c r="D18" i="67"/>
  <c r="E17" i="67"/>
  <c r="D17" i="67"/>
  <c r="F17" i="67" s="1"/>
  <c r="E16" i="67"/>
  <c r="D16" i="67"/>
  <c r="M15" i="67"/>
  <c r="E15" i="67"/>
  <c r="D15" i="67"/>
  <c r="M14" i="67"/>
  <c r="M13" i="67"/>
  <c r="M12" i="67"/>
  <c r="M11" i="67"/>
  <c r="M10" i="67"/>
  <c r="M9" i="67"/>
  <c r="F9" i="67"/>
  <c r="M8" i="67"/>
  <c r="F8" i="67"/>
  <c r="M7" i="67"/>
  <c r="F7" i="67"/>
  <c r="M6" i="67"/>
  <c r="F6" i="67"/>
  <c r="M5" i="67"/>
  <c r="D10" i="49"/>
  <c r="E10" i="49" s="1"/>
  <c r="F10" i="49" s="1"/>
  <c r="G10" i="49" s="1"/>
  <c r="H10" i="49" s="1"/>
  <c r="I10" i="49" s="1"/>
  <c r="J10" i="49" s="1"/>
  <c r="K10" i="49" s="1"/>
  <c r="L10" i="49" s="1"/>
  <c r="M10" i="49" s="1"/>
  <c r="N10" i="49" s="1"/>
  <c r="O10" i="49" s="1"/>
  <c r="P10" i="49" s="1"/>
  <c r="Q10" i="49" s="1"/>
  <c r="R10" i="49" s="1"/>
  <c r="S10" i="49" s="1"/>
  <c r="T10" i="49" s="1"/>
  <c r="U10" i="49" s="1"/>
  <c r="V10" i="49" s="1"/>
  <c r="W10" i="49" s="1"/>
  <c r="X10" i="49" s="1"/>
  <c r="Y10" i="49" s="1"/>
  <c r="Z10" i="49" s="1"/>
  <c r="AA10" i="49" s="1"/>
  <c r="AB10" i="49" s="1"/>
  <c r="AC10" i="49" s="1"/>
  <c r="AD10" i="49" s="1"/>
  <c r="AE10" i="49" s="1"/>
  <c r="AF10" i="49" s="1"/>
  <c r="AG10" i="49" s="1"/>
  <c r="AH10" i="49" s="1"/>
  <c r="AI10" i="49" s="1"/>
  <c r="AJ10" i="49" s="1"/>
  <c r="AK10" i="49" s="1"/>
  <c r="G14" i="47"/>
  <c r="G13" i="47" s="1"/>
  <c r="E38" i="66" s="1"/>
  <c r="D38" i="66"/>
  <c r="C34" i="28"/>
  <c r="C33" i="28"/>
  <c r="K34" i="28"/>
  <c r="C32" i="28"/>
  <c r="K33" i="28"/>
  <c r="C31" i="28"/>
  <c r="C30" i="28"/>
  <c r="C29" i="28"/>
  <c r="K28" i="28"/>
  <c r="C37" i="28" s="1"/>
  <c r="C28" i="28"/>
  <c r="C27" i="28"/>
  <c r="C26" i="28"/>
  <c r="C25" i="28"/>
  <c r="C24" i="28"/>
  <c r="D15" i="28"/>
  <c r="D14" i="28"/>
  <c r="D13" i="28"/>
  <c r="D10" i="28"/>
  <c r="AN21" i="36"/>
  <c r="AM21" i="36"/>
  <c r="AL21" i="36"/>
  <c r="AK21" i="36"/>
  <c r="AJ21" i="36"/>
  <c r="AN15" i="36"/>
  <c r="AM15" i="36"/>
  <c r="AL15" i="36"/>
  <c r="AK15" i="36"/>
  <c r="AJ15" i="36"/>
  <c r="AI15" i="36"/>
  <c r="AH15" i="36"/>
  <c r="AG15" i="36"/>
  <c r="AF15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G15" i="36"/>
  <c r="F15" i="36"/>
  <c r="A11" i="53"/>
  <c r="A10" i="53"/>
  <c r="A7" i="53"/>
  <c r="A5" i="53"/>
  <c r="A4" i="53"/>
  <c r="A3" i="53"/>
  <c r="A2" i="53"/>
  <c r="D72" i="33"/>
  <c r="D71" i="33"/>
  <c r="E31" i="33"/>
  <c r="F29" i="55" s="1"/>
  <c r="F24" i="55"/>
  <c r="C36" i="50"/>
  <c r="B35" i="50"/>
  <c r="C34" i="50"/>
  <c r="F34" i="50" s="1"/>
  <c r="C33" i="50"/>
  <c r="F33" i="50" s="1"/>
  <c r="G33" i="50" s="1"/>
  <c r="H33" i="50" s="1"/>
  <c r="I33" i="50" s="1"/>
  <c r="J33" i="50" s="1"/>
  <c r="K33" i="50" s="1"/>
  <c r="L33" i="50" s="1"/>
  <c r="M33" i="50" s="1"/>
  <c r="N33" i="50" s="1"/>
  <c r="O33" i="50" s="1"/>
  <c r="P33" i="50" s="1"/>
  <c r="Q33" i="50" s="1"/>
  <c r="R33" i="50" s="1"/>
  <c r="S33" i="50" s="1"/>
  <c r="T33" i="50" s="1"/>
  <c r="U33" i="50" s="1"/>
  <c r="V33" i="50" s="1"/>
  <c r="W33" i="50" s="1"/>
  <c r="X33" i="50" s="1"/>
  <c r="Y33" i="50" s="1"/>
  <c r="Z33" i="50" s="1"/>
  <c r="AA33" i="50" s="1"/>
  <c r="AB33" i="50" s="1"/>
  <c r="AC33" i="50" s="1"/>
  <c r="AD33" i="50" s="1"/>
  <c r="AE33" i="50" s="1"/>
  <c r="AF33" i="50" s="1"/>
  <c r="AG33" i="50" s="1"/>
  <c r="AH33" i="50" s="1"/>
  <c r="AI33" i="50" s="1"/>
  <c r="AJ33" i="50" s="1"/>
  <c r="AK33" i="50" s="1"/>
  <c r="AL33" i="50" s="1"/>
  <c r="AM33" i="50" s="1"/>
  <c r="AN33" i="50" s="1"/>
  <c r="C32" i="50"/>
  <c r="F32" i="50" s="1"/>
  <c r="B31" i="50"/>
  <c r="C31" i="50" s="1"/>
  <c r="F31" i="50" s="1"/>
  <c r="B30" i="50"/>
  <c r="C30" i="50" s="1"/>
  <c r="F30" i="50" s="1"/>
  <c r="C29" i="50"/>
  <c r="F29" i="50" s="1"/>
  <c r="C28" i="50"/>
  <c r="F28" i="50" s="1"/>
  <c r="G28" i="50" s="1"/>
  <c r="H28" i="50" s="1"/>
  <c r="C27" i="50"/>
  <c r="C25" i="50"/>
  <c r="F25" i="50" s="1"/>
  <c r="G25" i="50" s="1"/>
  <c r="H25" i="50" s="1"/>
  <c r="I25" i="50" s="1"/>
  <c r="J25" i="50" s="1"/>
  <c r="K25" i="50" s="1"/>
  <c r="L25" i="50" s="1"/>
  <c r="M25" i="50" s="1"/>
  <c r="N25" i="50" s="1"/>
  <c r="O25" i="50" s="1"/>
  <c r="P25" i="50" s="1"/>
  <c r="Q25" i="50" s="1"/>
  <c r="R25" i="50" s="1"/>
  <c r="S25" i="50" s="1"/>
  <c r="T25" i="50" s="1"/>
  <c r="U25" i="50" s="1"/>
  <c r="V25" i="50" s="1"/>
  <c r="W25" i="50" s="1"/>
  <c r="X25" i="50" s="1"/>
  <c r="Y25" i="50" s="1"/>
  <c r="Z25" i="50" s="1"/>
  <c r="AA25" i="50" s="1"/>
  <c r="AB25" i="50" s="1"/>
  <c r="AC25" i="50" s="1"/>
  <c r="AD25" i="50" s="1"/>
  <c r="AE25" i="50" s="1"/>
  <c r="AF25" i="50" s="1"/>
  <c r="AG25" i="50" s="1"/>
  <c r="AH25" i="50" s="1"/>
  <c r="AI25" i="50" s="1"/>
  <c r="AJ25" i="50" s="1"/>
  <c r="AK25" i="50" s="1"/>
  <c r="AL25" i="50" s="1"/>
  <c r="AM25" i="50" s="1"/>
  <c r="AN25" i="50" s="1"/>
  <c r="C24" i="50"/>
  <c r="F24" i="50" s="1"/>
  <c r="C23" i="50"/>
  <c r="F23" i="50" s="1"/>
  <c r="C22" i="50"/>
  <c r="F22" i="50" s="1"/>
  <c r="G22" i="50" s="1"/>
  <c r="H22" i="50" s="1"/>
  <c r="I22" i="50" s="1"/>
  <c r="J22" i="50" s="1"/>
  <c r="K22" i="50" s="1"/>
  <c r="L22" i="50" s="1"/>
  <c r="M22" i="50" s="1"/>
  <c r="N22" i="50" s="1"/>
  <c r="O22" i="50" s="1"/>
  <c r="P22" i="50" s="1"/>
  <c r="Q22" i="50" s="1"/>
  <c r="R22" i="50" s="1"/>
  <c r="S22" i="50" s="1"/>
  <c r="T22" i="50" s="1"/>
  <c r="U22" i="50" s="1"/>
  <c r="V22" i="50" s="1"/>
  <c r="W22" i="50" s="1"/>
  <c r="X22" i="50" s="1"/>
  <c r="Y22" i="50" s="1"/>
  <c r="Z22" i="50" s="1"/>
  <c r="AA22" i="50" s="1"/>
  <c r="AB22" i="50" s="1"/>
  <c r="AC22" i="50" s="1"/>
  <c r="AD22" i="50" s="1"/>
  <c r="AE22" i="50" s="1"/>
  <c r="AF22" i="50" s="1"/>
  <c r="AG22" i="50" s="1"/>
  <c r="AH22" i="50" s="1"/>
  <c r="AI22" i="50" s="1"/>
  <c r="AJ22" i="50" s="1"/>
  <c r="AK22" i="50" s="1"/>
  <c r="AL22" i="50" s="1"/>
  <c r="AM22" i="50" s="1"/>
  <c r="AN22" i="50" s="1"/>
  <c r="C21" i="50"/>
  <c r="F21" i="50" s="1"/>
  <c r="C18" i="50"/>
  <c r="F18" i="50" s="1"/>
  <c r="C17" i="50"/>
  <c r="F17" i="50" s="1"/>
  <c r="B16" i="50"/>
  <c r="C16" i="50" s="1"/>
  <c r="F16" i="50" s="1"/>
  <c r="G16" i="50" s="1"/>
  <c r="H16" i="50" s="1"/>
  <c r="I16" i="50" s="1"/>
  <c r="J16" i="50" s="1"/>
  <c r="K16" i="50" s="1"/>
  <c r="L16" i="50" s="1"/>
  <c r="M16" i="50" s="1"/>
  <c r="N16" i="50" s="1"/>
  <c r="O16" i="50" s="1"/>
  <c r="P16" i="50" s="1"/>
  <c r="Q16" i="50" s="1"/>
  <c r="R16" i="50" s="1"/>
  <c r="S16" i="50" s="1"/>
  <c r="T16" i="50" s="1"/>
  <c r="U16" i="50" s="1"/>
  <c r="V16" i="50" s="1"/>
  <c r="W16" i="50" s="1"/>
  <c r="X16" i="50" s="1"/>
  <c r="Y16" i="50" s="1"/>
  <c r="Z16" i="50" s="1"/>
  <c r="AA16" i="50" s="1"/>
  <c r="AB16" i="50" s="1"/>
  <c r="AC16" i="50" s="1"/>
  <c r="AD16" i="50" s="1"/>
  <c r="AE16" i="50" s="1"/>
  <c r="AF16" i="50" s="1"/>
  <c r="AG16" i="50" s="1"/>
  <c r="AH16" i="50" s="1"/>
  <c r="AI16" i="50" s="1"/>
  <c r="AJ16" i="50" s="1"/>
  <c r="AK16" i="50" s="1"/>
  <c r="AL16" i="50" s="1"/>
  <c r="AM16" i="50" s="1"/>
  <c r="AN16" i="50" s="1"/>
  <c r="B15" i="50"/>
  <c r="C15" i="50" s="1"/>
  <c r="F15" i="50" s="1"/>
  <c r="B14" i="50"/>
  <c r="C14" i="50" s="1"/>
  <c r="F14" i="50" s="1"/>
  <c r="G14" i="50" s="1"/>
  <c r="H14" i="50" s="1"/>
  <c r="I14" i="50" s="1"/>
  <c r="J14" i="50" s="1"/>
  <c r="K14" i="50" s="1"/>
  <c r="L14" i="50" s="1"/>
  <c r="M14" i="50" s="1"/>
  <c r="N14" i="50" s="1"/>
  <c r="O14" i="50" s="1"/>
  <c r="P14" i="50" s="1"/>
  <c r="Q14" i="50" s="1"/>
  <c r="R14" i="50" s="1"/>
  <c r="S14" i="50" s="1"/>
  <c r="T14" i="50" s="1"/>
  <c r="U14" i="50" s="1"/>
  <c r="V14" i="50" s="1"/>
  <c r="W14" i="50" s="1"/>
  <c r="X14" i="50" s="1"/>
  <c r="Y14" i="50" s="1"/>
  <c r="Z14" i="50" s="1"/>
  <c r="AA14" i="50" s="1"/>
  <c r="AB14" i="50" s="1"/>
  <c r="AC14" i="50" s="1"/>
  <c r="AD14" i="50" s="1"/>
  <c r="AE14" i="50" s="1"/>
  <c r="AF14" i="50" s="1"/>
  <c r="AG14" i="50" s="1"/>
  <c r="AH14" i="50" s="1"/>
  <c r="AI14" i="50" s="1"/>
  <c r="AJ14" i="50" s="1"/>
  <c r="AK14" i="50" s="1"/>
  <c r="AL14" i="50" s="1"/>
  <c r="AM14" i="50" s="1"/>
  <c r="AN14" i="50" s="1"/>
  <c r="C13" i="50"/>
  <c r="F13" i="50" s="1"/>
  <c r="C12" i="50"/>
  <c r="F12" i="50" s="1"/>
  <c r="G12" i="50" s="1"/>
  <c r="H12" i="50" s="1"/>
  <c r="I12" i="50" s="1"/>
  <c r="J12" i="50" s="1"/>
  <c r="K12" i="50" s="1"/>
  <c r="L12" i="50" s="1"/>
  <c r="M12" i="50" s="1"/>
  <c r="N12" i="50" s="1"/>
  <c r="O12" i="50" s="1"/>
  <c r="P12" i="50" s="1"/>
  <c r="Q12" i="50" s="1"/>
  <c r="R12" i="50" s="1"/>
  <c r="S12" i="50" s="1"/>
  <c r="T12" i="50" s="1"/>
  <c r="U12" i="50" s="1"/>
  <c r="V12" i="50" s="1"/>
  <c r="W12" i="50" s="1"/>
  <c r="X12" i="50" s="1"/>
  <c r="Y12" i="50" s="1"/>
  <c r="Z12" i="50" s="1"/>
  <c r="AA12" i="50" s="1"/>
  <c r="AB12" i="50" s="1"/>
  <c r="AC12" i="50" s="1"/>
  <c r="AD12" i="50" s="1"/>
  <c r="AE12" i="50" s="1"/>
  <c r="AF12" i="50" s="1"/>
  <c r="AG12" i="50" s="1"/>
  <c r="AH12" i="50" s="1"/>
  <c r="AI12" i="50" s="1"/>
  <c r="AJ12" i="50" s="1"/>
  <c r="AK12" i="50" s="1"/>
  <c r="AL12" i="50" s="1"/>
  <c r="AM12" i="50" s="1"/>
  <c r="AN12" i="50" s="1"/>
  <c r="C11" i="50"/>
  <c r="F11" i="50" s="1"/>
  <c r="C10" i="50"/>
  <c r="F155" i="55" s="1"/>
  <c r="G155" i="55" s="1"/>
  <c r="H155" i="55" s="1"/>
  <c r="I155" i="55" s="1"/>
  <c r="J155" i="55" s="1"/>
  <c r="K155" i="55" s="1"/>
  <c r="L155" i="55" s="1"/>
  <c r="M155" i="55" s="1"/>
  <c r="N155" i="55" s="1"/>
  <c r="O155" i="55" s="1"/>
  <c r="P155" i="55" s="1"/>
  <c r="Q155" i="55" s="1"/>
  <c r="R155" i="55" s="1"/>
  <c r="S155" i="55" s="1"/>
  <c r="T155" i="55" s="1"/>
  <c r="U155" i="55" s="1"/>
  <c r="V155" i="55" s="1"/>
  <c r="W155" i="55" s="1"/>
  <c r="X155" i="55" s="1"/>
  <c r="Y155" i="55" s="1"/>
  <c r="Z155" i="55" s="1"/>
  <c r="AA155" i="55" s="1"/>
  <c r="AB155" i="55" s="1"/>
  <c r="AC155" i="55" s="1"/>
  <c r="AD155" i="55" s="1"/>
  <c r="AE155" i="55" s="1"/>
  <c r="AF155" i="55" s="1"/>
  <c r="AG155" i="55" s="1"/>
  <c r="AH155" i="55" s="1"/>
  <c r="AI155" i="55" s="1"/>
  <c r="AJ155" i="55" s="1"/>
  <c r="AK155" i="55" s="1"/>
  <c r="AL155" i="55" s="1"/>
  <c r="AM155" i="55" s="1"/>
  <c r="AN155" i="55" s="1"/>
  <c r="C9" i="50"/>
  <c r="F9" i="50" s="1"/>
  <c r="B8" i="50"/>
  <c r="C20" i="50" s="1"/>
  <c r="B39" i="52"/>
  <c r="B37" i="52"/>
  <c r="B36" i="52"/>
  <c r="B34" i="52"/>
  <c r="B33" i="52"/>
  <c r="B32" i="52"/>
  <c r="B30" i="52"/>
  <c r="B29" i="52"/>
  <c r="B28" i="52"/>
  <c r="B27" i="52"/>
  <c r="B25" i="52"/>
  <c r="B23" i="52"/>
  <c r="B22" i="52"/>
  <c r="L22" i="52" s="1"/>
  <c r="B21" i="52"/>
  <c r="B20" i="52"/>
  <c r="B18" i="52"/>
  <c r="B17" i="52"/>
  <c r="B15" i="52"/>
  <c r="B13" i="52"/>
  <c r="B12" i="52"/>
  <c r="B11" i="52"/>
  <c r="B10" i="52"/>
  <c r="B9" i="52"/>
  <c r="B8" i="52"/>
  <c r="C34" i="41"/>
  <c r="AK24" i="41"/>
  <c r="AN132" i="55" s="1"/>
  <c r="AJ24" i="41"/>
  <c r="AM132" i="55" s="1"/>
  <c r="AI24" i="41"/>
  <c r="AL132" i="55" s="1"/>
  <c r="AH24" i="41"/>
  <c r="AK132" i="55" s="1"/>
  <c r="AG24" i="41"/>
  <c r="AJ132" i="55" s="1"/>
  <c r="AF24" i="41"/>
  <c r="AI132" i="55" s="1"/>
  <c r="AE24" i="41"/>
  <c r="AH132" i="55" s="1"/>
  <c r="AD24" i="41"/>
  <c r="AG132" i="55" s="1"/>
  <c r="AC24" i="41"/>
  <c r="AF132" i="55" s="1"/>
  <c r="AB24" i="41"/>
  <c r="AE132" i="55" s="1"/>
  <c r="AA24" i="41"/>
  <c r="AD132" i="55" s="1"/>
  <c r="Z24" i="41"/>
  <c r="AC132" i="55" s="1"/>
  <c r="Y24" i="41"/>
  <c r="AB132" i="55" s="1"/>
  <c r="X24" i="41"/>
  <c r="AA132" i="55" s="1"/>
  <c r="W24" i="41"/>
  <c r="Z132" i="55" s="1"/>
  <c r="V24" i="41"/>
  <c r="Y132" i="55" s="1"/>
  <c r="U24" i="41"/>
  <c r="X132" i="55" s="1"/>
  <c r="T24" i="41"/>
  <c r="W132" i="55" s="1"/>
  <c r="S24" i="41"/>
  <c r="V132" i="55" s="1"/>
  <c r="R24" i="41"/>
  <c r="U132" i="55" s="1"/>
  <c r="Q24" i="41"/>
  <c r="T132" i="55" s="1"/>
  <c r="P24" i="41"/>
  <c r="S132" i="55" s="1"/>
  <c r="O24" i="41"/>
  <c r="R132" i="55" s="1"/>
  <c r="N24" i="41"/>
  <c r="Q132" i="55" s="1"/>
  <c r="M24" i="41"/>
  <c r="P132" i="55" s="1"/>
  <c r="L24" i="41"/>
  <c r="O132" i="55" s="1"/>
  <c r="K24" i="41"/>
  <c r="N132" i="55" s="1"/>
  <c r="J24" i="41"/>
  <c r="M132" i="55" s="1"/>
  <c r="I24" i="41"/>
  <c r="L132" i="55" s="1"/>
  <c r="H24" i="41"/>
  <c r="K132" i="55" s="1"/>
  <c r="G24" i="41"/>
  <c r="J132" i="55" s="1"/>
  <c r="F24" i="41"/>
  <c r="I132" i="55" s="1"/>
  <c r="E24" i="41"/>
  <c r="H132" i="55" s="1"/>
  <c r="D24" i="41"/>
  <c r="C24" i="41"/>
  <c r="F132" i="55" s="1"/>
  <c r="B7" i="41"/>
  <c r="B91" i="40"/>
  <c r="B87" i="40"/>
  <c r="B83" i="40"/>
  <c r="B63" i="40"/>
  <c r="B59" i="40"/>
  <c r="B55" i="40"/>
  <c r="B51" i="40"/>
  <c r="B47" i="40"/>
  <c r="B43" i="40"/>
  <c r="B35" i="40"/>
  <c r="B31" i="40"/>
  <c r="B27" i="40"/>
  <c r="B23" i="40"/>
  <c r="B19" i="40"/>
  <c r="B15" i="40"/>
  <c r="B11" i="40"/>
  <c r="B7" i="40"/>
  <c r="B125" i="39"/>
  <c r="B115" i="39"/>
  <c r="B111" i="39"/>
  <c r="B63" i="39"/>
  <c r="B59" i="39"/>
  <c r="B55" i="39"/>
  <c r="B43" i="39"/>
  <c r="B39" i="39"/>
  <c r="B35" i="39"/>
  <c r="B31" i="39"/>
  <c r="B27" i="39"/>
  <c r="B23" i="39"/>
  <c r="B19" i="39"/>
  <c r="B15" i="39"/>
  <c r="B11" i="39"/>
  <c r="B7" i="39"/>
  <c r="B69" i="45"/>
  <c r="B68" i="45"/>
  <c r="B67" i="45"/>
  <c r="B66" i="45"/>
  <c r="B65" i="45"/>
  <c r="B64" i="45"/>
  <c r="B63" i="45"/>
  <c r="B62" i="45"/>
  <c r="S62" i="45" s="1"/>
  <c r="R62" i="45" s="1"/>
  <c r="B61" i="45"/>
  <c r="B60" i="45"/>
  <c r="B59" i="45"/>
  <c r="R58" i="45"/>
  <c r="B58" i="45"/>
  <c r="B57" i="45"/>
  <c r="B56" i="45"/>
  <c r="B55" i="45"/>
  <c r="R54" i="45"/>
  <c r="B54" i="45"/>
  <c r="R53" i="45"/>
  <c r="B53" i="45"/>
  <c r="B52" i="45"/>
  <c r="AT52" i="45" s="1"/>
  <c r="B51" i="45"/>
  <c r="AT51" i="45" s="1"/>
  <c r="B50" i="45"/>
  <c r="B49" i="45"/>
  <c r="B48" i="45"/>
  <c r="AD48" i="45" s="1"/>
  <c r="R47" i="45"/>
  <c r="B47" i="45"/>
  <c r="B46" i="45"/>
  <c r="B45" i="45"/>
  <c r="AZ43" i="45"/>
  <c r="R38" i="45"/>
  <c r="AN37" i="45"/>
  <c r="R31" i="45"/>
  <c r="B29" i="45"/>
  <c r="R28" i="45"/>
  <c r="B28" i="45"/>
  <c r="BA26" i="45"/>
  <c r="AQ25" i="45"/>
  <c r="AZ24" i="45"/>
  <c r="AL13" i="45"/>
  <c r="S11" i="45"/>
  <c r="BA10" i="45"/>
  <c r="N1" i="45"/>
  <c r="D50" i="35"/>
  <c r="E50" i="35" s="1"/>
  <c r="F50" i="35" s="1"/>
  <c r="G50" i="35" s="1"/>
  <c r="H50" i="35" s="1"/>
  <c r="I50" i="35" s="1"/>
  <c r="J50" i="35" s="1"/>
  <c r="K50" i="35" s="1"/>
  <c r="L50" i="35" s="1"/>
  <c r="M50" i="35" s="1"/>
  <c r="N50" i="35" s="1"/>
  <c r="O50" i="35" s="1"/>
  <c r="P50" i="35" s="1"/>
  <c r="Q50" i="35" s="1"/>
  <c r="R50" i="35" s="1"/>
  <c r="S50" i="35" s="1"/>
  <c r="T50" i="35" s="1"/>
  <c r="U50" i="35" s="1"/>
  <c r="V50" i="35" s="1"/>
  <c r="W50" i="35" s="1"/>
  <c r="X50" i="35" s="1"/>
  <c r="Y50" i="35" s="1"/>
  <c r="Z50" i="35" s="1"/>
  <c r="AA50" i="35" s="1"/>
  <c r="AB50" i="35" s="1"/>
  <c r="AC50" i="35" s="1"/>
  <c r="AD50" i="35" s="1"/>
  <c r="AE50" i="35" s="1"/>
  <c r="AF50" i="35" s="1"/>
  <c r="D45" i="35"/>
  <c r="E45" i="35" s="1"/>
  <c r="F45" i="35" s="1"/>
  <c r="G45" i="35" s="1"/>
  <c r="H45" i="35" s="1"/>
  <c r="I45" i="35" s="1"/>
  <c r="J45" i="35" s="1"/>
  <c r="K45" i="35" s="1"/>
  <c r="L45" i="35" s="1"/>
  <c r="M45" i="35" s="1"/>
  <c r="N45" i="35" s="1"/>
  <c r="O45" i="35" s="1"/>
  <c r="P45" i="35" s="1"/>
  <c r="Q45" i="35" s="1"/>
  <c r="R45" i="35" s="1"/>
  <c r="S45" i="35" s="1"/>
  <c r="T45" i="35" s="1"/>
  <c r="U45" i="35" s="1"/>
  <c r="V45" i="35" s="1"/>
  <c r="W45" i="35" s="1"/>
  <c r="X45" i="35" s="1"/>
  <c r="Y45" i="35" s="1"/>
  <c r="Z45" i="35" s="1"/>
  <c r="AA45" i="35" s="1"/>
  <c r="AB45" i="35" s="1"/>
  <c r="AC45" i="35" s="1"/>
  <c r="AD45" i="35" s="1"/>
  <c r="AE45" i="35" s="1"/>
  <c r="AF45" i="35" s="1"/>
  <c r="J63" i="44"/>
  <c r="H63" i="44"/>
  <c r="D63" i="44"/>
  <c r="G63" i="44" s="1"/>
  <c r="J62" i="44"/>
  <c r="H62" i="44"/>
  <c r="G62" i="44"/>
  <c r="J61" i="44"/>
  <c r="H61" i="44"/>
  <c r="G61" i="44"/>
  <c r="J60" i="44"/>
  <c r="H60" i="44"/>
  <c r="D60" i="44"/>
  <c r="G60" i="44" s="1"/>
  <c r="J59" i="44"/>
  <c r="H59" i="44"/>
  <c r="D59" i="44"/>
  <c r="G59" i="44" s="1"/>
  <c r="J56" i="44"/>
  <c r="H56" i="44"/>
  <c r="G56" i="44"/>
  <c r="J55" i="44"/>
  <c r="H55" i="44"/>
  <c r="G55" i="44"/>
  <c r="J54" i="44"/>
  <c r="H54" i="44"/>
  <c r="G54" i="44"/>
  <c r="J53" i="44"/>
  <c r="H53" i="44"/>
  <c r="G53" i="44"/>
  <c r="J52" i="44"/>
  <c r="H52" i="44"/>
  <c r="G52" i="44"/>
  <c r="J50" i="44"/>
  <c r="H50" i="44"/>
  <c r="D50" i="44"/>
  <c r="G50" i="44" s="1"/>
  <c r="J48" i="44"/>
  <c r="H48" i="44"/>
  <c r="D48" i="44"/>
  <c r="G48" i="44" s="1"/>
  <c r="J47" i="44"/>
  <c r="H47" i="44"/>
  <c r="D47" i="44"/>
  <c r="G47" i="44" s="1"/>
  <c r="J45" i="44"/>
  <c r="H45" i="44"/>
  <c r="D45" i="44"/>
  <c r="G45" i="44" s="1"/>
  <c r="J44" i="44"/>
  <c r="D44" i="44"/>
  <c r="G44" i="44" s="1"/>
  <c r="J43" i="44"/>
  <c r="H43" i="44"/>
  <c r="D43" i="44"/>
  <c r="G43" i="44" s="1"/>
  <c r="J41" i="44"/>
  <c r="H41" i="44"/>
  <c r="G41" i="44"/>
  <c r="J40" i="44"/>
  <c r="H40" i="44"/>
  <c r="D40" i="44"/>
  <c r="G40" i="44" s="1"/>
  <c r="J39" i="44"/>
  <c r="H39" i="44"/>
  <c r="H44" i="44" s="1"/>
  <c r="D39" i="44"/>
  <c r="G39" i="44" s="1"/>
  <c r="J38" i="44"/>
  <c r="H38" i="44"/>
  <c r="D38" i="44"/>
  <c r="G38" i="44" s="1"/>
  <c r="J36" i="44"/>
  <c r="H36" i="44"/>
  <c r="G36" i="44"/>
  <c r="J33" i="44"/>
  <c r="H33" i="44"/>
  <c r="G33" i="44"/>
  <c r="J32" i="44"/>
  <c r="H32" i="44"/>
  <c r="G32" i="44"/>
  <c r="J31" i="44"/>
  <c r="H31" i="44"/>
  <c r="G31" i="44"/>
  <c r="H30" i="44"/>
  <c r="H29" i="44"/>
  <c r="J28" i="44"/>
  <c r="H28" i="44"/>
  <c r="G28" i="44"/>
  <c r="J25" i="44"/>
  <c r="H25" i="44"/>
  <c r="G25" i="44"/>
  <c r="J24" i="44"/>
  <c r="H24" i="44"/>
  <c r="G24" i="44"/>
  <c r="J23" i="44"/>
  <c r="H23" i="44"/>
  <c r="G23" i="44"/>
  <c r="J22" i="44"/>
  <c r="H22" i="44"/>
  <c r="G22" i="44"/>
  <c r="J21" i="44"/>
  <c r="H21" i="44"/>
  <c r="G21" i="44"/>
  <c r="J20" i="44"/>
  <c r="H20" i="44"/>
  <c r="G20" i="44"/>
  <c r="J19" i="44"/>
  <c r="H19" i="44"/>
  <c r="G19" i="44"/>
  <c r="J18" i="44"/>
  <c r="H18" i="44"/>
  <c r="G18" i="44"/>
  <c r="J17" i="44"/>
  <c r="H17" i="44"/>
  <c r="G17" i="44"/>
  <c r="J16" i="44"/>
  <c r="H16" i="44"/>
  <c r="G16" i="44"/>
  <c r="J15" i="44"/>
  <c r="H15" i="44"/>
  <c r="G15" i="44"/>
  <c r="J14" i="44"/>
  <c r="H14" i="44"/>
  <c r="G14" i="44"/>
  <c r="J13" i="44"/>
  <c r="H13" i="44"/>
  <c r="G13" i="44"/>
  <c r="J12" i="44"/>
  <c r="H12" i="44"/>
  <c r="G12" i="44"/>
  <c r="J11" i="44"/>
  <c r="H11" i="44"/>
  <c r="G11" i="44"/>
  <c r="J10" i="44"/>
  <c r="H10" i="44"/>
  <c r="G10" i="44"/>
  <c r="J9" i="44"/>
  <c r="H9" i="44"/>
  <c r="G9" i="44"/>
  <c r="J8" i="44"/>
  <c r="H8" i="44"/>
  <c r="G8" i="44"/>
  <c r="J7" i="44"/>
  <c r="H7" i="44"/>
  <c r="G7" i="44"/>
  <c r="J6" i="44"/>
  <c r="H6" i="44"/>
  <c r="G6" i="44"/>
  <c r="AJ84" i="30"/>
  <c r="AI84" i="30"/>
  <c r="AI75" i="32" s="1"/>
  <c r="AI76" i="32" s="1"/>
  <c r="AH84" i="30"/>
  <c r="AG84" i="30"/>
  <c r="AG85" i="30" s="1"/>
  <c r="AF84" i="30"/>
  <c r="AF85" i="30" s="1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B9" i="30"/>
  <c r="AJ48" i="30"/>
  <c r="AI48" i="30"/>
  <c r="AH48" i="30"/>
  <c r="AG48" i="30"/>
  <c r="AF48" i="30"/>
  <c r="AE48" i="30"/>
  <c r="AD48" i="30"/>
  <c r="AC48" i="30"/>
  <c r="AB48" i="30"/>
  <c r="AA48" i="30"/>
  <c r="Z48" i="30"/>
  <c r="Y48" i="30"/>
  <c r="X48" i="30"/>
  <c r="W48" i="30"/>
  <c r="V48" i="30"/>
  <c r="U48" i="30"/>
  <c r="T48" i="30"/>
  <c r="S48" i="30"/>
  <c r="R48" i="30"/>
  <c r="Q48" i="30"/>
  <c r="P48" i="30"/>
  <c r="O48" i="30"/>
  <c r="N48" i="30"/>
  <c r="M48" i="30"/>
  <c r="L48" i="30"/>
  <c r="K48" i="30"/>
  <c r="J48" i="30"/>
  <c r="I48" i="30"/>
  <c r="H48" i="30"/>
  <c r="G48" i="30"/>
  <c r="F48" i="30"/>
  <c r="E48" i="30"/>
  <c r="D48" i="30"/>
  <c r="C48" i="30"/>
  <c r="B48" i="30"/>
  <c r="C44" i="30"/>
  <c r="D44" i="30" s="1"/>
  <c r="E44" i="30" s="1"/>
  <c r="C41" i="30"/>
  <c r="C27" i="32" s="1"/>
  <c r="C35" i="30"/>
  <c r="D35" i="30" s="1"/>
  <c r="E35" i="30" s="1"/>
  <c r="F35" i="30" s="1"/>
  <c r="G35" i="30" s="1"/>
  <c r="H35" i="30" s="1"/>
  <c r="I35" i="30" s="1"/>
  <c r="J35" i="30" s="1"/>
  <c r="K35" i="30" s="1"/>
  <c r="C34" i="30"/>
  <c r="D34" i="30" s="1"/>
  <c r="E34" i="30" s="1"/>
  <c r="F34" i="30" s="1"/>
  <c r="G34" i="30" s="1"/>
  <c r="H34" i="30" s="1"/>
  <c r="I34" i="30" s="1"/>
  <c r="J34" i="30" s="1"/>
  <c r="K34" i="30" s="1"/>
  <c r="L34" i="30" s="1"/>
  <c r="M34" i="30" s="1"/>
  <c r="N34" i="30" s="1"/>
  <c r="O34" i="30" s="1"/>
  <c r="P34" i="30" s="1"/>
  <c r="Q34" i="30" s="1"/>
  <c r="R34" i="30" s="1"/>
  <c r="S34" i="30" s="1"/>
  <c r="T34" i="30" s="1"/>
  <c r="U34" i="30" s="1"/>
  <c r="V34" i="30" s="1"/>
  <c r="W34" i="30" s="1"/>
  <c r="X34" i="30" s="1"/>
  <c r="Y34" i="30" s="1"/>
  <c r="Z34" i="30" s="1"/>
  <c r="AA34" i="30" s="1"/>
  <c r="AB34" i="30" s="1"/>
  <c r="AC34" i="30" s="1"/>
  <c r="AD34" i="30" s="1"/>
  <c r="AE34" i="30" s="1"/>
  <c r="AF34" i="30" s="1"/>
  <c r="AG34" i="30" s="1"/>
  <c r="AH34" i="30" s="1"/>
  <c r="AI34" i="30" s="1"/>
  <c r="AJ34" i="30" s="1"/>
  <c r="C33" i="30"/>
  <c r="D33" i="30" s="1"/>
  <c r="E33" i="30" s="1"/>
  <c r="F33" i="30" s="1"/>
  <c r="G33" i="30" s="1"/>
  <c r="H33" i="30" s="1"/>
  <c r="I33" i="30" s="1"/>
  <c r="J33" i="30" s="1"/>
  <c r="K33" i="30" s="1"/>
  <c r="L33" i="30" s="1"/>
  <c r="M33" i="30" s="1"/>
  <c r="N33" i="30" s="1"/>
  <c r="O33" i="30" s="1"/>
  <c r="P33" i="30" s="1"/>
  <c r="Q33" i="30" s="1"/>
  <c r="R33" i="30" s="1"/>
  <c r="S33" i="30" s="1"/>
  <c r="T33" i="30" s="1"/>
  <c r="U33" i="30" s="1"/>
  <c r="V33" i="30" s="1"/>
  <c r="W33" i="30" s="1"/>
  <c r="X33" i="30" s="1"/>
  <c r="Y33" i="30" s="1"/>
  <c r="Z33" i="30" s="1"/>
  <c r="AA33" i="30" s="1"/>
  <c r="AB33" i="30" s="1"/>
  <c r="AC33" i="30" s="1"/>
  <c r="AD33" i="30" s="1"/>
  <c r="AE33" i="30" s="1"/>
  <c r="AF33" i="30" s="1"/>
  <c r="AG33" i="30" s="1"/>
  <c r="AH33" i="30" s="1"/>
  <c r="AI33" i="30" s="1"/>
  <c r="AJ33" i="30" s="1"/>
  <c r="C32" i="30"/>
  <c r="D32" i="30" s="1"/>
  <c r="E32" i="30" s="1"/>
  <c r="F32" i="30" s="1"/>
  <c r="G32" i="30" s="1"/>
  <c r="H32" i="30" s="1"/>
  <c r="I32" i="30" s="1"/>
  <c r="J32" i="30" s="1"/>
  <c r="C31" i="30"/>
  <c r="D31" i="30" s="1"/>
  <c r="E31" i="30" s="1"/>
  <c r="F31" i="30" s="1"/>
  <c r="G31" i="30" s="1"/>
  <c r="H31" i="30" s="1"/>
  <c r="I31" i="30" s="1"/>
  <c r="J31" i="30" s="1"/>
  <c r="C30" i="30"/>
  <c r="D30" i="30" s="1"/>
  <c r="E30" i="30" s="1"/>
  <c r="F30" i="30" s="1"/>
  <c r="G30" i="30" s="1"/>
  <c r="H30" i="30" s="1"/>
  <c r="I30" i="30" s="1"/>
  <c r="J30" i="30" s="1"/>
  <c r="K30" i="30" s="1"/>
  <c r="L30" i="30" s="1"/>
  <c r="M30" i="30" s="1"/>
  <c r="C29" i="30"/>
  <c r="D29" i="30" s="1"/>
  <c r="E29" i="30" s="1"/>
  <c r="F29" i="30" s="1"/>
  <c r="G29" i="30" s="1"/>
  <c r="H29" i="30" s="1"/>
  <c r="I29" i="30" s="1"/>
  <c r="C28" i="30"/>
  <c r="D28" i="30" s="1"/>
  <c r="E28" i="30" s="1"/>
  <c r="F28" i="30" s="1"/>
  <c r="G28" i="30" s="1"/>
  <c r="H28" i="30" s="1"/>
  <c r="I28" i="30" s="1"/>
  <c r="J28" i="30" s="1"/>
  <c r="K28" i="30" s="1"/>
  <c r="L28" i="30" s="1"/>
  <c r="M28" i="30" s="1"/>
  <c r="N28" i="30" s="1"/>
  <c r="O28" i="30" s="1"/>
  <c r="P28" i="30" s="1"/>
  <c r="Q28" i="30" s="1"/>
  <c r="R28" i="30" s="1"/>
  <c r="S28" i="30" s="1"/>
  <c r="T28" i="30" s="1"/>
  <c r="U28" i="30" s="1"/>
  <c r="V28" i="30" s="1"/>
  <c r="W28" i="30" s="1"/>
  <c r="X28" i="30" s="1"/>
  <c r="Y28" i="30" s="1"/>
  <c r="C27" i="30"/>
  <c r="D27" i="30" s="1"/>
  <c r="C26" i="30"/>
  <c r="D26" i="30" s="1"/>
  <c r="E26" i="30" s="1"/>
  <c r="F26" i="30" s="1"/>
  <c r="G26" i="30" s="1"/>
  <c r="H26" i="30" s="1"/>
  <c r="I26" i="30" s="1"/>
  <c r="J26" i="30" s="1"/>
  <c r="K26" i="30" s="1"/>
  <c r="L26" i="30" s="1"/>
  <c r="M26" i="30" s="1"/>
  <c r="N26" i="30" s="1"/>
  <c r="O26" i="30" s="1"/>
  <c r="P26" i="30" s="1"/>
  <c r="Q26" i="30" s="1"/>
  <c r="R26" i="30" s="1"/>
  <c r="S26" i="30" s="1"/>
  <c r="T26" i="30" s="1"/>
  <c r="U26" i="30" s="1"/>
  <c r="V26" i="30" s="1"/>
  <c r="W26" i="30" s="1"/>
  <c r="X26" i="30" s="1"/>
  <c r="Y26" i="30" s="1"/>
  <c r="Z26" i="30" s="1"/>
  <c r="AA26" i="30" s="1"/>
  <c r="AB26" i="30" s="1"/>
  <c r="AC26" i="30" s="1"/>
  <c r="AD26" i="30" s="1"/>
  <c r="AE26" i="30" s="1"/>
  <c r="AF26" i="30" s="1"/>
  <c r="AG26" i="30" s="1"/>
  <c r="AH26" i="30" s="1"/>
  <c r="AI26" i="30" s="1"/>
  <c r="AJ26" i="30" s="1"/>
  <c r="C24" i="30"/>
  <c r="D24" i="30" s="1"/>
  <c r="E24" i="30" s="1"/>
  <c r="C23" i="30"/>
  <c r="D23" i="30" s="1"/>
  <c r="E23" i="30" s="1"/>
  <c r="F23" i="30" s="1"/>
  <c r="G23" i="30" s="1"/>
  <c r="H23" i="30" s="1"/>
  <c r="I23" i="30" s="1"/>
  <c r="J23" i="30" s="1"/>
  <c r="K23" i="30" s="1"/>
  <c r="L23" i="30" s="1"/>
  <c r="M23" i="30" s="1"/>
  <c r="N23" i="30" s="1"/>
  <c r="O23" i="30" s="1"/>
  <c r="P23" i="30" s="1"/>
  <c r="Q23" i="30" s="1"/>
  <c r="R23" i="30" s="1"/>
  <c r="S23" i="30" s="1"/>
  <c r="T23" i="30" s="1"/>
  <c r="U23" i="30" s="1"/>
  <c r="V23" i="30" s="1"/>
  <c r="W23" i="30" s="1"/>
  <c r="C21" i="30"/>
  <c r="D21" i="30" s="1"/>
  <c r="E21" i="30" s="1"/>
  <c r="F21" i="30" s="1"/>
  <c r="G21" i="30" s="1"/>
  <c r="H21" i="30" s="1"/>
  <c r="I21" i="30" s="1"/>
  <c r="J21" i="30" s="1"/>
  <c r="K21" i="30" s="1"/>
  <c r="L21" i="30" s="1"/>
  <c r="C20" i="30"/>
  <c r="D20" i="30" s="1"/>
  <c r="E20" i="30" s="1"/>
  <c r="F20" i="30" s="1"/>
  <c r="G20" i="30" s="1"/>
  <c r="H20" i="30" s="1"/>
  <c r="I20" i="30" s="1"/>
  <c r="J20" i="30" s="1"/>
  <c r="K20" i="30" s="1"/>
  <c r="L20" i="30" s="1"/>
  <c r="M20" i="30" s="1"/>
  <c r="N20" i="30" s="1"/>
  <c r="O20" i="30" s="1"/>
  <c r="P20" i="30" s="1"/>
  <c r="Q20" i="30" s="1"/>
  <c r="R20" i="30" s="1"/>
  <c r="S20" i="30" s="1"/>
  <c r="T20" i="30" s="1"/>
  <c r="U20" i="30" s="1"/>
  <c r="V20" i="30" s="1"/>
  <c r="W20" i="30" s="1"/>
  <c r="X20" i="30" s="1"/>
  <c r="Y20" i="30" s="1"/>
  <c r="Z20" i="30" s="1"/>
  <c r="AA20" i="30" s="1"/>
  <c r="AB20" i="30" s="1"/>
  <c r="AC20" i="30" s="1"/>
  <c r="AD20" i="30" s="1"/>
  <c r="AE20" i="30" s="1"/>
  <c r="AF20" i="30" s="1"/>
  <c r="AG20" i="30" s="1"/>
  <c r="AH20" i="30" s="1"/>
  <c r="AI20" i="30" s="1"/>
  <c r="AJ20" i="30" s="1"/>
  <c r="C19" i="30"/>
  <c r="D19" i="30" s="1"/>
  <c r="C7" i="30"/>
  <c r="B7" i="30"/>
  <c r="B6" i="30"/>
  <c r="AJ71" i="32"/>
  <c r="AJ72" i="32" s="1"/>
  <c r="AI71" i="32"/>
  <c r="AH71" i="32"/>
  <c r="AG71" i="32"/>
  <c r="AF71" i="32"/>
  <c r="AF72" i="32" s="1"/>
  <c r="AE71" i="32"/>
  <c r="AE72" i="32" s="1"/>
  <c r="AD71" i="32"/>
  <c r="AD72" i="32" s="1"/>
  <c r="AC71" i="32"/>
  <c r="AC72" i="32" s="1"/>
  <c r="AB71" i="32"/>
  <c r="AB72" i="32" s="1"/>
  <c r="AA71" i="32"/>
  <c r="Z71" i="32"/>
  <c r="Y71" i="32"/>
  <c r="X71" i="32"/>
  <c r="X72" i="32" s="1"/>
  <c r="W71" i="32"/>
  <c r="W72" i="32" s="1"/>
  <c r="V71" i="32"/>
  <c r="V72" i="32" s="1"/>
  <c r="U71" i="32"/>
  <c r="U72" i="32" s="1"/>
  <c r="T71" i="32"/>
  <c r="T72" i="32" s="1"/>
  <c r="S71" i="32"/>
  <c r="R71" i="32"/>
  <c r="Q71" i="32"/>
  <c r="P71" i="32"/>
  <c r="P72" i="32" s="1"/>
  <c r="O71" i="32"/>
  <c r="O72" i="32" s="1"/>
  <c r="N71" i="32"/>
  <c r="N72" i="32" s="1"/>
  <c r="M71" i="32"/>
  <c r="M72" i="32" s="1"/>
  <c r="L71" i="32"/>
  <c r="L72" i="32" s="1"/>
  <c r="K71" i="32"/>
  <c r="J71" i="32"/>
  <c r="I71" i="32"/>
  <c r="H71" i="32"/>
  <c r="H72" i="32" s="1"/>
  <c r="G71" i="32"/>
  <c r="G72" i="32" s="1"/>
  <c r="F71" i="32"/>
  <c r="F72" i="32" s="1"/>
  <c r="E71" i="32"/>
  <c r="E72" i="32" s="1"/>
  <c r="D71" i="32"/>
  <c r="D72" i="32" s="1"/>
  <c r="C71" i="32"/>
  <c r="B71" i="32"/>
  <c r="AJ69" i="32"/>
  <c r="AJ70" i="32" s="1"/>
  <c r="AI69" i="32"/>
  <c r="AI70" i="32" s="1"/>
  <c r="AH69" i="32"/>
  <c r="AH70" i="32" s="1"/>
  <c r="AG69" i="32"/>
  <c r="AF69" i="32"/>
  <c r="AE69" i="32"/>
  <c r="AD69" i="32"/>
  <c r="AD70" i="32" s="1"/>
  <c r="AC69" i="32"/>
  <c r="AC70" i="32" s="1"/>
  <c r="AB69" i="32"/>
  <c r="AB70" i="32" s="1"/>
  <c r="AA69" i="32"/>
  <c r="AA70" i="32" s="1"/>
  <c r="Z69" i="32"/>
  <c r="Z70" i="32" s="1"/>
  <c r="Y69" i="32"/>
  <c r="X69" i="32"/>
  <c r="W69" i="32"/>
  <c r="V69" i="32"/>
  <c r="V70" i="32" s="1"/>
  <c r="U69" i="32"/>
  <c r="U70" i="32" s="1"/>
  <c r="T69" i="32"/>
  <c r="T70" i="32" s="1"/>
  <c r="S69" i="32"/>
  <c r="S70" i="32" s="1"/>
  <c r="R69" i="32"/>
  <c r="R70" i="32" s="1"/>
  <c r="Q69" i="32"/>
  <c r="P69" i="32"/>
  <c r="O69" i="32"/>
  <c r="N69" i="32"/>
  <c r="N70" i="32" s="1"/>
  <c r="M69" i="32"/>
  <c r="M70" i="32" s="1"/>
  <c r="L69" i="32"/>
  <c r="L70" i="32" s="1"/>
  <c r="K69" i="32"/>
  <c r="K70" i="32" s="1"/>
  <c r="J69" i="32"/>
  <c r="J70" i="32" s="1"/>
  <c r="I69" i="32"/>
  <c r="H69" i="32"/>
  <c r="G69" i="32"/>
  <c r="F69" i="32"/>
  <c r="F70" i="32" s="1"/>
  <c r="E69" i="32"/>
  <c r="E70" i="32" s="1"/>
  <c r="D69" i="32"/>
  <c r="D70" i="32" s="1"/>
  <c r="C69" i="32"/>
  <c r="C70" i="32" s="1"/>
  <c r="B69" i="32"/>
  <c r="B70" i="32" s="1"/>
  <c r="E64" i="33" s="1"/>
  <c r="AJ67" i="32"/>
  <c r="AJ68" i="32" s="1"/>
  <c r="AI67" i="32"/>
  <c r="AI68" i="32" s="1"/>
  <c r="AH67" i="32"/>
  <c r="AH68" i="32" s="1"/>
  <c r="AG67" i="32"/>
  <c r="AG68" i="32" s="1"/>
  <c r="AF67" i="32"/>
  <c r="AF68" i="32" s="1"/>
  <c r="AE67" i="32"/>
  <c r="AD67" i="32"/>
  <c r="AC67" i="32"/>
  <c r="AB67" i="32"/>
  <c r="AB68" i="32" s="1"/>
  <c r="AA67" i="32"/>
  <c r="AA68" i="32" s="1"/>
  <c r="Z67" i="32"/>
  <c r="Z68" i="32" s="1"/>
  <c r="Y67" i="32"/>
  <c r="Y68" i="32" s="1"/>
  <c r="X67" i="32"/>
  <c r="X68" i="32" s="1"/>
  <c r="W67" i="32"/>
  <c r="V67" i="32"/>
  <c r="U67" i="32"/>
  <c r="T67" i="32"/>
  <c r="T68" i="32" s="1"/>
  <c r="S67" i="32"/>
  <c r="S68" i="32" s="1"/>
  <c r="R67" i="32"/>
  <c r="R68" i="32" s="1"/>
  <c r="Q67" i="32"/>
  <c r="Q68" i="32" s="1"/>
  <c r="P67" i="32"/>
  <c r="P68" i="32" s="1"/>
  <c r="O67" i="32"/>
  <c r="N67" i="32"/>
  <c r="M67" i="32"/>
  <c r="L67" i="32"/>
  <c r="L68" i="32" s="1"/>
  <c r="K67" i="32"/>
  <c r="K68" i="32" s="1"/>
  <c r="J67" i="32"/>
  <c r="J68" i="32" s="1"/>
  <c r="I67" i="32"/>
  <c r="I68" i="32" s="1"/>
  <c r="H67" i="32"/>
  <c r="H68" i="32" s="1"/>
  <c r="G67" i="32"/>
  <c r="F67" i="32"/>
  <c r="E67" i="32"/>
  <c r="D67" i="32"/>
  <c r="D68" i="32" s="1"/>
  <c r="C67" i="32"/>
  <c r="C68" i="32" s="1"/>
  <c r="B67" i="32"/>
  <c r="B68" i="32" s="1"/>
  <c r="E62" i="33" s="1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J57" i="32"/>
  <c r="AI57" i="32"/>
  <c r="AH57" i="32"/>
  <c r="AG57" i="32"/>
  <c r="AF57" i="32"/>
  <c r="AE57" i="32"/>
  <c r="AD57" i="32"/>
  <c r="AC57" i="32"/>
  <c r="AB57" i="32"/>
  <c r="AA57" i="32"/>
  <c r="Z57" i="32"/>
  <c r="Y57" i="32"/>
  <c r="X57" i="32"/>
  <c r="W57" i="32"/>
  <c r="V57" i="32"/>
  <c r="U57" i="32"/>
  <c r="T57" i="32"/>
  <c r="S57" i="32"/>
  <c r="R57" i="32"/>
  <c r="Q57" i="32"/>
  <c r="P57" i="32"/>
  <c r="O57" i="32"/>
  <c r="N57" i="32"/>
  <c r="M57" i="32"/>
  <c r="L57" i="32"/>
  <c r="K57" i="32"/>
  <c r="J57" i="32"/>
  <c r="I57" i="32"/>
  <c r="H57" i="32"/>
  <c r="G57" i="32"/>
  <c r="F57" i="32"/>
  <c r="E57" i="32"/>
  <c r="D57" i="32"/>
  <c r="C57" i="32"/>
  <c r="B57" i="32"/>
  <c r="AJ56" i="32"/>
  <c r="AI56" i="32"/>
  <c r="AH56" i="32"/>
  <c r="AG56" i="32"/>
  <c r="AF56" i="32"/>
  <c r="AE56" i="32"/>
  <c r="AD56" i="32"/>
  <c r="AC56" i="32"/>
  <c r="AB56" i="32"/>
  <c r="AA56" i="32"/>
  <c r="Z56" i="32"/>
  <c r="Y56" i="32"/>
  <c r="X56" i="32"/>
  <c r="W56" i="32"/>
  <c r="V56" i="32"/>
  <c r="U56" i="32"/>
  <c r="T56" i="32"/>
  <c r="S56" i="32"/>
  <c r="R56" i="32"/>
  <c r="Q56" i="32"/>
  <c r="P56" i="32"/>
  <c r="O56" i="32"/>
  <c r="N56" i="32"/>
  <c r="M56" i="32"/>
  <c r="L56" i="32"/>
  <c r="K56" i="32"/>
  <c r="J56" i="32"/>
  <c r="I56" i="32"/>
  <c r="H56" i="32"/>
  <c r="G56" i="32"/>
  <c r="F56" i="32"/>
  <c r="E56" i="32"/>
  <c r="D56" i="32"/>
  <c r="C56" i="32"/>
  <c r="B56" i="32"/>
  <c r="AJ55" i="32"/>
  <c r="AI55" i="32"/>
  <c r="AH55" i="32"/>
  <c r="AG55" i="32"/>
  <c r="AF55" i="32"/>
  <c r="AE55" i="32"/>
  <c r="AD55" i="32"/>
  <c r="AC55" i="32"/>
  <c r="AB55" i="32"/>
  <c r="AA55" i="32"/>
  <c r="Z55" i="32"/>
  <c r="Y55" i="32"/>
  <c r="X55" i="32"/>
  <c r="W55" i="32"/>
  <c r="V55" i="32"/>
  <c r="U55" i="32"/>
  <c r="T55" i="32"/>
  <c r="S55" i="32"/>
  <c r="R55" i="32"/>
  <c r="Q55" i="32"/>
  <c r="P55" i="32"/>
  <c r="O55" i="32"/>
  <c r="N55" i="32"/>
  <c r="M55" i="32"/>
  <c r="L55" i="32"/>
  <c r="K55" i="32"/>
  <c r="J55" i="32"/>
  <c r="I55" i="32"/>
  <c r="H55" i="32"/>
  <c r="G55" i="32"/>
  <c r="F55" i="32"/>
  <c r="E55" i="32"/>
  <c r="D55" i="32"/>
  <c r="C55" i="32"/>
  <c r="B55" i="32"/>
  <c r="AJ53" i="32"/>
  <c r="AI53" i="32"/>
  <c r="AH53" i="32"/>
  <c r="AG53" i="32"/>
  <c r="AF53" i="32"/>
  <c r="AE53" i="32"/>
  <c r="AD53" i="32"/>
  <c r="AC53" i="32"/>
  <c r="AB53" i="32"/>
  <c r="AA53" i="32"/>
  <c r="Z53" i="32"/>
  <c r="Y53" i="32"/>
  <c r="X53" i="32"/>
  <c r="W53" i="32"/>
  <c r="V53" i="32"/>
  <c r="U53" i="32"/>
  <c r="T53" i="32"/>
  <c r="S53" i="32"/>
  <c r="R53" i="32"/>
  <c r="Q53" i="32"/>
  <c r="P53" i="32"/>
  <c r="O53" i="32"/>
  <c r="N53" i="32"/>
  <c r="M53" i="32"/>
  <c r="L53" i="32"/>
  <c r="K53" i="32"/>
  <c r="J53" i="32"/>
  <c r="I53" i="32"/>
  <c r="H53" i="32"/>
  <c r="G53" i="32"/>
  <c r="F53" i="32"/>
  <c r="E53" i="32"/>
  <c r="D53" i="32"/>
  <c r="C53" i="32"/>
  <c r="B53" i="32"/>
  <c r="AJ52" i="32"/>
  <c r="AI52" i="32"/>
  <c r="AH52" i="32"/>
  <c r="AG52" i="32"/>
  <c r="AF52" i="32"/>
  <c r="AE52" i="32"/>
  <c r="AD52" i="32"/>
  <c r="AC52" i="32"/>
  <c r="AB52" i="32"/>
  <c r="AA52" i="32"/>
  <c r="Z52" i="32"/>
  <c r="Y52" i="32"/>
  <c r="X52" i="32"/>
  <c r="W52" i="32"/>
  <c r="V52" i="32"/>
  <c r="U52" i="32"/>
  <c r="T52" i="32"/>
  <c r="S52" i="32"/>
  <c r="R52" i="32"/>
  <c r="Q52" i="32"/>
  <c r="P52" i="32"/>
  <c r="O52" i="32"/>
  <c r="N52" i="32"/>
  <c r="M52" i="32"/>
  <c r="L52" i="32"/>
  <c r="K52" i="32"/>
  <c r="J52" i="32"/>
  <c r="I52" i="32"/>
  <c r="H52" i="32"/>
  <c r="G52" i="32"/>
  <c r="F52" i="32"/>
  <c r="E52" i="32"/>
  <c r="D52" i="32"/>
  <c r="C52" i="32"/>
  <c r="B52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D51" i="32"/>
  <c r="C51" i="32"/>
  <c r="B51" i="32"/>
  <c r="AJ49" i="32"/>
  <c r="AI49" i="32"/>
  <c r="AH49" i="32"/>
  <c r="AG49" i="32"/>
  <c r="AF49" i="32"/>
  <c r="AE49" i="32"/>
  <c r="AD49" i="32"/>
  <c r="AC49" i="32"/>
  <c r="AB49" i="32"/>
  <c r="AA49" i="32"/>
  <c r="Z49" i="32"/>
  <c r="Y49" i="32"/>
  <c r="X49" i="32"/>
  <c r="W49" i="32"/>
  <c r="V49" i="32"/>
  <c r="U49" i="32"/>
  <c r="T49" i="32"/>
  <c r="S49" i="32"/>
  <c r="R49" i="32"/>
  <c r="Q49" i="32"/>
  <c r="P49" i="32"/>
  <c r="O49" i="32"/>
  <c r="N49" i="32"/>
  <c r="M49" i="32"/>
  <c r="L49" i="32"/>
  <c r="K49" i="32"/>
  <c r="J49" i="32"/>
  <c r="I49" i="32"/>
  <c r="H49" i="32"/>
  <c r="G49" i="32"/>
  <c r="F49" i="32"/>
  <c r="E49" i="32"/>
  <c r="D49" i="32"/>
  <c r="C49" i="32"/>
  <c r="B49" i="32"/>
  <c r="AJ47" i="32"/>
  <c r="AI47" i="32"/>
  <c r="AI48" i="32" s="1"/>
  <c r="AI50" i="32" s="1"/>
  <c r="AH47" i="32"/>
  <c r="AH48" i="32" s="1"/>
  <c r="AH50" i="32" s="1"/>
  <c r="AG47" i="32"/>
  <c r="AG48" i="32" s="1"/>
  <c r="AF47" i="32"/>
  <c r="AF48" i="32" s="1"/>
  <c r="AE47" i="32"/>
  <c r="AE48" i="32" s="1"/>
  <c r="AE50" i="32" s="1"/>
  <c r="AD47" i="32"/>
  <c r="AC47" i="32"/>
  <c r="AB47" i="32"/>
  <c r="AA47" i="32"/>
  <c r="AA48" i="32" s="1"/>
  <c r="AA50" i="32" s="1"/>
  <c r="Z47" i="32"/>
  <c r="Z48" i="32" s="1"/>
  <c r="Z50" i="32" s="1"/>
  <c r="Y47" i="32"/>
  <c r="Y48" i="32" s="1"/>
  <c r="X47" i="32"/>
  <c r="X48" i="32" s="1"/>
  <c r="W47" i="32"/>
  <c r="W48" i="32" s="1"/>
  <c r="W50" i="32" s="1"/>
  <c r="V47" i="32"/>
  <c r="U47" i="32"/>
  <c r="T47" i="32"/>
  <c r="S47" i="32"/>
  <c r="S48" i="32" s="1"/>
  <c r="S50" i="32" s="1"/>
  <c r="R47" i="32"/>
  <c r="R48" i="32" s="1"/>
  <c r="R50" i="32" s="1"/>
  <c r="Q47" i="32"/>
  <c r="Q48" i="32" s="1"/>
  <c r="P47" i="32"/>
  <c r="P48" i="32" s="1"/>
  <c r="O47" i="32"/>
  <c r="O48" i="32" s="1"/>
  <c r="O50" i="32" s="1"/>
  <c r="N47" i="32"/>
  <c r="M47" i="32"/>
  <c r="L47" i="32"/>
  <c r="K47" i="32"/>
  <c r="K48" i="32" s="1"/>
  <c r="K50" i="32" s="1"/>
  <c r="J47" i="32"/>
  <c r="J48" i="32" s="1"/>
  <c r="J50" i="32" s="1"/>
  <c r="I47" i="32"/>
  <c r="I48" i="32" s="1"/>
  <c r="H47" i="32"/>
  <c r="H48" i="32" s="1"/>
  <c r="G47" i="32"/>
  <c r="G48" i="32" s="1"/>
  <c r="G50" i="32" s="1"/>
  <c r="F47" i="32"/>
  <c r="E47" i="32"/>
  <c r="D47" i="32"/>
  <c r="C47" i="32"/>
  <c r="C48" i="32" s="1"/>
  <c r="B47" i="32"/>
  <c r="B48" i="32" s="1"/>
  <c r="AJ46" i="32"/>
  <c r="AI46" i="32"/>
  <c r="AH46" i="32"/>
  <c r="AG46" i="32"/>
  <c r="AF46" i="32"/>
  <c r="AE46" i="32"/>
  <c r="AD46" i="32"/>
  <c r="AC46" i="32"/>
  <c r="AB46" i="32"/>
  <c r="AA46" i="32"/>
  <c r="Z46" i="32"/>
  <c r="Y46" i="32"/>
  <c r="X46" i="32"/>
  <c r="W46" i="32"/>
  <c r="V46" i="32"/>
  <c r="U46" i="32"/>
  <c r="T46" i="32"/>
  <c r="S46" i="32"/>
  <c r="R46" i="32"/>
  <c r="Q46" i="32"/>
  <c r="P46" i="32"/>
  <c r="O46" i="32"/>
  <c r="N46" i="32"/>
  <c r="M46" i="32"/>
  <c r="L46" i="32"/>
  <c r="K46" i="32"/>
  <c r="J46" i="32"/>
  <c r="I46" i="32"/>
  <c r="H46" i="32"/>
  <c r="G46" i="32"/>
  <c r="F46" i="32"/>
  <c r="E46" i="32"/>
  <c r="D46" i="32"/>
  <c r="C46" i="32"/>
  <c r="B46" i="32"/>
  <c r="AJ45" i="32"/>
  <c r="AI45" i="32"/>
  <c r="AH45" i="32"/>
  <c r="AG45" i="32"/>
  <c r="AF45" i="32"/>
  <c r="AE45" i="32"/>
  <c r="AD45" i="32"/>
  <c r="AC45" i="32"/>
  <c r="AB45" i="32"/>
  <c r="AA45" i="32"/>
  <c r="Z45" i="32"/>
  <c r="Y45" i="32"/>
  <c r="X45" i="32"/>
  <c r="W45" i="32"/>
  <c r="V45" i="32"/>
  <c r="U45" i="32"/>
  <c r="T45" i="32"/>
  <c r="S45" i="32"/>
  <c r="R45" i="32"/>
  <c r="Q45" i="32"/>
  <c r="P45" i="32"/>
  <c r="O45" i="32"/>
  <c r="N45" i="32"/>
  <c r="M45" i="32"/>
  <c r="L45" i="32"/>
  <c r="K45" i="32"/>
  <c r="J45" i="32"/>
  <c r="I45" i="32"/>
  <c r="H45" i="32"/>
  <c r="G45" i="32"/>
  <c r="F45" i="32"/>
  <c r="E45" i="32"/>
  <c r="D45" i="32"/>
  <c r="C45" i="32"/>
  <c r="B45" i="32"/>
  <c r="AJ44" i="32"/>
  <c r="AI44" i="32"/>
  <c r="AH44" i="32"/>
  <c r="AG44" i="32"/>
  <c r="AF44" i="32"/>
  <c r="AE44" i="32"/>
  <c r="AD44" i="32"/>
  <c r="AC44" i="32"/>
  <c r="AB44" i="32"/>
  <c r="AA44" i="32"/>
  <c r="Z44" i="32"/>
  <c r="Y44" i="32"/>
  <c r="X44" i="32"/>
  <c r="W44" i="32"/>
  <c r="V44" i="32"/>
  <c r="U44" i="32"/>
  <c r="T44" i="32"/>
  <c r="S44" i="32"/>
  <c r="R44" i="32"/>
  <c r="Q44" i="32"/>
  <c r="P44" i="32"/>
  <c r="O44" i="32"/>
  <c r="N44" i="32"/>
  <c r="M44" i="32"/>
  <c r="L44" i="32"/>
  <c r="K44" i="32"/>
  <c r="J44" i="32"/>
  <c r="I44" i="32"/>
  <c r="H44" i="32"/>
  <c r="G44" i="32"/>
  <c r="F44" i="32"/>
  <c r="E44" i="32"/>
  <c r="D44" i="32"/>
  <c r="C44" i="32"/>
  <c r="B44" i="32"/>
  <c r="AJ41" i="32"/>
  <c r="AI41" i="32"/>
  <c r="AH41" i="32"/>
  <c r="AG41" i="32"/>
  <c r="AF41" i="32"/>
  <c r="AE41" i="32"/>
  <c r="AD41" i="32"/>
  <c r="AC41" i="32"/>
  <c r="AB41" i="32"/>
  <c r="AA41" i="32"/>
  <c r="Z41" i="32"/>
  <c r="Y41" i="32"/>
  <c r="X41" i="32"/>
  <c r="W41" i="32"/>
  <c r="V41" i="32"/>
  <c r="U41" i="32"/>
  <c r="T41" i="32"/>
  <c r="S41" i="32"/>
  <c r="R41" i="32"/>
  <c r="Q41" i="32"/>
  <c r="P41" i="32"/>
  <c r="O41" i="32"/>
  <c r="N41" i="32"/>
  <c r="M41" i="32"/>
  <c r="L41" i="32"/>
  <c r="K41" i="32"/>
  <c r="J41" i="32"/>
  <c r="I41" i="32"/>
  <c r="H41" i="32"/>
  <c r="G41" i="32"/>
  <c r="F41" i="32"/>
  <c r="E41" i="32"/>
  <c r="D41" i="32"/>
  <c r="C41" i="32"/>
  <c r="B41" i="32"/>
  <c r="B39" i="32"/>
  <c r="AJ38" i="32"/>
  <c r="AI38" i="32"/>
  <c r="AH38" i="32"/>
  <c r="AG38" i="32"/>
  <c r="AF38" i="32"/>
  <c r="AE38" i="32"/>
  <c r="AD38" i="32"/>
  <c r="AC38" i="32"/>
  <c r="AB38" i="32"/>
  <c r="AA38" i="32"/>
  <c r="Z38" i="32"/>
  <c r="Y38" i="32"/>
  <c r="X38" i="32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D38" i="32"/>
  <c r="C38" i="32"/>
  <c r="AJ37" i="32"/>
  <c r="AN19" i="36" s="1"/>
  <c r="AI37" i="32"/>
  <c r="AM19" i="36" s="1"/>
  <c r="AH37" i="32"/>
  <c r="AL19" i="36" s="1"/>
  <c r="AG37" i="32"/>
  <c r="AK19" i="36" s="1"/>
  <c r="AF37" i="32"/>
  <c r="AJ19" i="36" s="1"/>
  <c r="AE37" i="32"/>
  <c r="AI19" i="36" s="1"/>
  <c r="AD37" i="32"/>
  <c r="AH19" i="36" s="1"/>
  <c r="AC37" i="32"/>
  <c r="AG19" i="36" s="1"/>
  <c r="AB37" i="32"/>
  <c r="AF19" i="36" s="1"/>
  <c r="AA37" i="32"/>
  <c r="AE19" i="36" s="1"/>
  <c r="Z37" i="32"/>
  <c r="AD19" i="36" s="1"/>
  <c r="Y37" i="32"/>
  <c r="AC19" i="36" s="1"/>
  <c r="X37" i="32"/>
  <c r="AB19" i="36" s="1"/>
  <c r="W37" i="32"/>
  <c r="AA19" i="36" s="1"/>
  <c r="V37" i="32"/>
  <c r="Z19" i="36" s="1"/>
  <c r="U37" i="32"/>
  <c r="Y19" i="36" s="1"/>
  <c r="T37" i="32"/>
  <c r="X19" i="36" s="1"/>
  <c r="S37" i="32"/>
  <c r="W19" i="36" s="1"/>
  <c r="R37" i="32"/>
  <c r="V19" i="36" s="1"/>
  <c r="Q37" i="32"/>
  <c r="U19" i="36" s="1"/>
  <c r="P37" i="32"/>
  <c r="T19" i="36" s="1"/>
  <c r="O37" i="32"/>
  <c r="S19" i="36" s="1"/>
  <c r="N37" i="32"/>
  <c r="R19" i="36" s="1"/>
  <c r="M37" i="32"/>
  <c r="Q19" i="36" s="1"/>
  <c r="L37" i="32"/>
  <c r="P19" i="36" s="1"/>
  <c r="K37" i="32"/>
  <c r="O19" i="36" s="1"/>
  <c r="J37" i="32"/>
  <c r="N19" i="36" s="1"/>
  <c r="I37" i="32"/>
  <c r="M19" i="36" s="1"/>
  <c r="H37" i="32"/>
  <c r="L19" i="36" s="1"/>
  <c r="G37" i="32"/>
  <c r="K19" i="36" s="1"/>
  <c r="F37" i="32"/>
  <c r="J19" i="36" s="1"/>
  <c r="E37" i="32"/>
  <c r="I19" i="36" s="1"/>
  <c r="D37" i="32"/>
  <c r="H19" i="36" s="1"/>
  <c r="C37" i="32"/>
  <c r="G19" i="36" s="1"/>
  <c r="B37" i="32"/>
  <c r="F19" i="36" s="1"/>
  <c r="AJ34" i="32"/>
  <c r="AI34" i="32"/>
  <c r="AH34" i="32"/>
  <c r="AG34" i="32"/>
  <c r="AF34" i="32"/>
  <c r="AE34" i="32"/>
  <c r="AD34" i="32"/>
  <c r="AC34" i="32"/>
  <c r="AB34" i="32"/>
  <c r="AA34" i="32"/>
  <c r="Z34" i="32"/>
  <c r="Y34" i="32"/>
  <c r="X34" i="32"/>
  <c r="W34" i="32"/>
  <c r="V34" i="32"/>
  <c r="U34" i="32"/>
  <c r="T34" i="32"/>
  <c r="S34" i="32"/>
  <c r="R34" i="32"/>
  <c r="Q34" i="32"/>
  <c r="P34" i="32"/>
  <c r="O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AJ33" i="32"/>
  <c r="AI33" i="32"/>
  <c r="AH33" i="32"/>
  <c r="AG33" i="32"/>
  <c r="AF33" i="32"/>
  <c r="AE33" i="32"/>
  <c r="AD33" i="32"/>
  <c r="AC33" i="32"/>
  <c r="AB33" i="32"/>
  <c r="AA33" i="32"/>
  <c r="Z33" i="32"/>
  <c r="Y33" i="32"/>
  <c r="X33" i="32"/>
  <c r="W33" i="32"/>
  <c r="V33" i="32"/>
  <c r="U33" i="32"/>
  <c r="T33" i="32"/>
  <c r="S33" i="32"/>
  <c r="S12" i="32" s="1"/>
  <c r="R33" i="32"/>
  <c r="Q33" i="32"/>
  <c r="P33" i="32"/>
  <c r="O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C12" i="32" s="1"/>
  <c r="B33" i="32"/>
  <c r="B27" i="32"/>
  <c r="G18" i="32"/>
  <c r="AJ10" i="32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W10" i="32"/>
  <c r="V10" i="32"/>
  <c r="U10" i="32"/>
  <c r="T10" i="32"/>
  <c r="S10" i="32"/>
  <c r="R10" i="32"/>
  <c r="Q10" i="32"/>
  <c r="P10" i="32"/>
  <c r="O10" i="32"/>
  <c r="N10" i="32"/>
  <c r="M10" i="32"/>
  <c r="L10" i="32"/>
  <c r="K10" i="32"/>
  <c r="J10" i="32"/>
  <c r="I10" i="32"/>
  <c r="H10" i="32"/>
  <c r="G10" i="32"/>
  <c r="F10" i="32"/>
  <c r="E10" i="32"/>
  <c r="D10" i="32"/>
  <c r="C10" i="32"/>
  <c r="B10" i="32"/>
  <c r="B43" i="24"/>
  <c r="A43" i="24"/>
  <c r="B42" i="24"/>
  <c r="A42" i="24"/>
  <c r="B41" i="24"/>
  <c r="A41" i="24"/>
  <c r="B40" i="24"/>
  <c r="A40" i="24"/>
  <c r="B39" i="24"/>
  <c r="A39" i="24"/>
  <c r="B38" i="24"/>
  <c r="A38" i="24"/>
  <c r="B37" i="24"/>
  <c r="A37" i="24"/>
  <c r="B36" i="24"/>
  <c r="A36" i="24"/>
  <c r="B35" i="24"/>
  <c r="A35" i="24"/>
  <c r="B34" i="24"/>
  <c r="A34" i="24"/>
  <c r="B33" i="24"/>
  <c r="A33" i="24"/>
  <c r="B32" i="24"/>
  <c r="A32" i="24"/>
  <c r="B31" i="24"/>
  <c r="A31" i="24"/>
  <c r="B30" i="24"/>
  <c r="A30" i="24"/>
  <c r="B29" i="24"/>
  <c r="A29" i="24"/>
  <c r="B28" i="24"/>
  <c r="A28" i="24"/>
  <c r="B27" i="24"/>
  <c r="A27" i="24"/>
  <c r="B26" i="24"/>
  <c r="A26" i="24"/>
  <c r="B25" i="24"/>
  <c r="A25" i="24"/>
  <c r="B24" i="24"/>
  <c r="A24" i="24"/>
  <c r="B23" i="24"/>
  <c r="A23" i="24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F7" i="24"/>
  <c r="E7" i="24"/>
  <c r="D7" i="24"/>
  <c r="F21" i="36"/>
  <c r="AE47" i="20"/>
  <c r="AD47" i="20"/>
  <c r="AC47" i="20"/>
  <c r="AB47" i="20"/>
  <c r="AA47" i="20"/>
  <c r="AA84" i="30" s="1"/>
  <c r="Z47" i="20"/>
  <c r="Z84" i="30" s="1"/>
  <c r="Y47" i="20"/>
  <c r="X47" i="20"/>
  <c r="W47" i="20"/>
  <c r="V47" i="20"/>
  <c r="U47" i="20"/>
  <c r="T47" i="20"/>
  <c r="S47" i="20"/>
  <c r="S84" i="30" s="1"/>
  <c r="R47" i="20"/>
  <c r="Q47" i="20"/>
  <c r="U21" i="36" s="1"/>
  <c r="P47" i="20"/>
  <c r="O47" i="20"/>
  <c r="N47" i="20"/>
  <c r="M47" i="20"/>
  <c r="L47" i="20"/>
  <c r="K47" i="20"/>
  <c r="J47" i="20"/>
  <c r="I47" i="20"/>
  <c r="I84" i="30" s="1"/>
  <c r="I75" i="32" s="1"/>
  <c r="I76" i="32" s="1"/>
  <c r="H47" i="20"/>
  <c r="H84" i="30" s="1"/>
  <c r="G47" i="20"/>
  <c r="F47" i="20"/>
  <c r="E47" i="20"/>
  <c r="D47" i="20"/>
  <c r="C47" i="20"/>
  <c r="C286" i="19"/>
  <c r="C285" i="19"/>
  <c r="C244" i="19"/>
  <c r="C243" i="19"/>
  <c r="C242" i="19"/>
  <c r="C241" i="19"/>
  <c r="C237" i="19"/>
  <c r="C236" i="19"/>
  <c r="C235" i="19"/>
  <c r="C232" i="19"/>
  <c r="C231" i="19"/>
  <c r="C230" i="19"/>
  <c r="C201" i="19"/>
  <c r="C200" i="19"/>
  <c r="C196" i="19"/>
  <c r="C195" i="19"/>
  <c r="C184" i="19"/>
  <c r="C182" i="19"/>
  <c r="C171" i="19"/>
  <c r="C287" i="19" s="1"/>
  <c r="C163" i="19"/>
  <c r="C161" i="19"/>
  <c r="C160" i="19"/>
  <c r="C157" i="19"/>
  <c r="C155" i="19"/>
  <c r="C154" i="19"/>
  <c r="C151" i="19"/>
  <c r="C150" i="19"/>
  <c r="C149" i="19"/>
  <c r="C148" i="19"/>
  <c r="C147" i="19"/>
  <c r="C145" i="19"/>
  <c r="C144" i="19"/>
  <c r="C143" i="19"/>
  <c r="C142" i="19"/>
  <c r="C141" i="19"/>
  <c r="C139" i="19"/>
  <c r="C138" i="19"/>
  <c r="C137" i="19"/>
  <c r="C136" i="19"/>
  <c r="C135" i="19"/>
  <c r="C133" i="19"/>
  <c r="C132" i="19"/>
  <c r="C131" i="19"/>
  <c r="C130" i="19"/>
  <c r="C129" i="19"/>
  <c r="C127" i="19"/>
  <c r="C126" i="19"/>
  <c r="C125" i="19"/>
  <c r="C124" i="19"/>
  <c r="C123" i="19"/>
  <c r="C81" i="19"/>
  <c r="C73" i="19"/>
  <c r="C72" i="19"/>
  <c r="C71" i="19"/>
  <c r="C65" i="19"/>
  <c r="AL39" i="41" s="1"/>
  <c r="C63" i="19"/>
  <c r="C60" i="19"/>
  <c r="C59" i="19"/>
  <c r="C58" i="19"/>
  <c r="C54" i="19"/>
  <c r="C50" i="19"/>
  <c r="C33" i="19"/>
  <c r="C16" i="19"/>
  <c r="C12" i="19"/>
  <c r="C15" i="19" s="1"/>
  <c r="K8" i="24" s="1"/>
  <c r="C8" i="19"/>
  <c r="C7" i="19" s="1"/>
  <c r="C6" i="19"/>
  <c r="G11" i="56" l="1"/>
  <c r="AI36" i="50"/>
  <c r="AI35" i="50" s="1"/>
  <c r="U36" i="50"/>
  <c r="U35" i="50" s="1"/>
  <c r="P36" i="50"/>
  <c r="P35" i="50" s="1"/>
  <c r="Y30" i="66"/>
  <c r="Y46" i="66" s="1"/>
  <c r="L30" i="66"/>
  <c r="L46" i="66" s="1"/>
  <c r="K30" i="66"/>
  <c r="K46" i="66" s="1"/>
  <c r="C7" i="24"/>
  <c r="X36" i="50"/>
  <c r="X35" i="50" s="1"/>
  <c r="AJ36" i="50"/>
  <c r="AJ35" i="50" s="1"/>
  <c r="AN36" i="50"/>
  <c r="AN35" i="50" s="1"/>
  <c r="K36" i="50"/>
  <c r="K35" i="50" s="1"/>
  <c r="J189" i="68"/>
  <c r="L36" i="50"/>
  <c r="L35" i="50" s="1"/>
  <c r="AK18" i="37"/>
  <c r="W36" i="50"/>
  <c r="W35" i="50" s="1"/>
  <c r="C20" i="19"/>
  <c r="R8" i="24" s="1"/>
  <c r="B19" i="44"/>
  <c r="B32" i="35" s="1"/>
  <c r="AA18" i="37"/>
  <c r="J30" i="66"/>
  <c r="J46" i="66" s="1"/>
  <c r="B17" i="44"/>
  <c r="B30" i="35" s="1"/>
  <c r="N30" i="35" s="1"/>
  <c r="M36" i="50"/>
  <c r="M35" i="50" s="1"/>
  <c r="AD36" i="50"/>
  <c r="AD35" i="50" s="1"/>
  <c r="F16" i="67"/>
  <c r="N36" i="50"/>
  <c r="N35" i="50" s="1"/>
  <c r="AF36" i="50"/>
  <c r="AF35" i="50" s="1"/>
  <c r="Q30" i="66"/>
  <c r="Q46" i="66" s="1"/>
  <c r="R30" i="66"/>
  <c r="R46" i="66" s="1"/>
  <c r="B28" i="44"/>
  <c r="B41" i="35" s="1"/>
  <c r="C41" i="35" s="1"/>
  <c r="C40" i="35" s="1"/>
  <c r="C7" i="35" s="1"/>
  <c r="Q36" i="50"/>
  <c r="Q35" i="50" s="1"/>
  <c r="AK36" i="50"/>
  <c r="AK35" i="50" s="1"/>
  <c r="F36" i="67"/>
  <c r="Z30" i="66"/>
  <c r="Z46" i="66" s="1"/>
  <c r="AB30" i="66"/>
  <c r="AB46" i="66" s="1"/>
  <c r="V36" i="50"/>
  <c r="V35" i="50" s="1"/>
  <c r="J18" i="37"/>
  <c r="AC30" i="66"/>
  <c r="AC46" i="66" s="1"/>
  <c r="F20" i="55"/>
  <c r="F66" i="55" s="1"/>
  <c r="F195" i="55" s="1"/>
  <c r="C54" i="63"/>
  <c r="G189" i="68"/>
  <c r="H189" i="68"/>
  <c r="E189" i="68"/>
  <c r="J131" i="39"/>
  <c r="R131" i="39"/>
  <c r="Z131" i="39"/>
  <c r="AH131" i="39"/>
  <c r="G131" i="39"/>
  <c r="O131" i="39"/>
  <c r="W131" i="39"/>
  <c r="AE131" i="39"/>
  <c r="B12" i="44"/>
  <c r="B25" i="35" s="1"/>
  <c r="AB25" i="35" s="1"/>
  <c r="B52" i="44"/>
  <c r="B60" i="35" s="1"/>
  <c r="F60" i="35" s="1"/>
  <c r="AA131" i="39"/>
  <c r="T131" i="39"/>
  <c r="F22" i="67"/>
  <c r="G19" i="56"/>
  <c r="G23" i="56" s="1"/>
  <c r="C131" i="39"/>
  <c r="S131" i="39"/>
  <c r="D131" i="39"/>
  <c r="AJ131" i="39"/>
  <c r="E131" i="39"/>
  <c r="M131" i="39"/>
  <c r="U131" i="39"/>
  <c r="AC131" i="39"/>
  <c r="AK131" i="39"/>
  <c r="B13" i="44"/>
  <c r="B26" i="35" s="1"/>
  <c r="Y26" i="35" s="1"/>
  <c r="B53" i="44"/>
  <c r="B61" i="35" s="1"/>
  <c r="R36" i="50"/>
  <c r="R35" i="50" s="1"/>
  <c r="AH36" i="50"/>
  <c r="AH35" i="50" s="1"/>
  <c r="F41" i="67"/>
  <c r="H127" i="39"/>
  <c r="B20" i="44"/>
  <c r="B33" i="35" s="1"/>
  <c r="T33" i="35" s="1"/>
  <c r="B36" i="44"/>
  <c r="B44" i="35" s="1"/>
  <c r="E44" i="35" s="1"/>
  <c r="K131" i="39"/>
  <c r="AI131" i="39"/>
  <c r="L131" i="39"/>
  <c r="AB131" i="39"/>
  <c r="B18" i="44"/>
  <c r="B31" i="35" s="1"/>
  <c r="F31" i="35" s="1"/>
  <c r="F131" i="39"/>
  <c r="N131" i="39"/>
  <c r="V131" i="39"/>
  <c r="AD131" i="39"/>
  <c r="B16" i="44"/>
  <c r="B29" i="35" s="1"/>
  <c r="D29" i="35" s="1"/>
  <c r="B56" i="44"/>
  <c r="B64" i="35" s="1"/>
  <c r="AD64" i="35" s="1"/>
  <c r="F10" i="50"/>
  <c r="G10" i="50" s="1"/>
  <c r="H10" i="50" s="1"/>
  <c r="I10" i="50" s="1"/>
  <c r="J10" i="50" s="1"/>
  <c r="K10" i="50" s="1"/>
  <c r="L10" i="50" s="1"/>
  <c r="M10" i="50" s="1"/>
  <c r="N10" i="50" s="1"/>
  <c r="O10" i="50" s="1"/>
  <c r="P10" i="50" s="1"/>
  <c r="Q10" i="50" s="1"/>
  <c r="R10" i="50" s="1"/>
  <c r="S10" i="50" s="1"/>
  <c r="T10" i="50" s="1"/>
  <c r="U10" i="50" s="1"/>
  <c r="V10" i="50" s="1"/>
  <c r="W10" i="50" s="1"/>
  <c r="X10" i="50" s="1"/>
  <c r="Y10" i="50" s="1"/>
  <c r="Z10" i="50" s="1"/>
  <c r="AA10" i="50" s="1"/>
  <c r="AB10" i="50" s="1"/>
  <c r="AC10" i="50" s="1"/>
  <c r="AD10" i="50" s="1"/>
  <c r="AE10" i="50" s="1"/>
  <c r="AF10" i="50" s="1"/>
  <c r="AG10" i="50" s="1"/>
  <c r="AH10" i="50" s="1"/>
  <c r="AI10" i="50" s="1"/>
  <c r="AJ10" i="50" s="1"/>
  <c r="AK10" i="50" s="1"/>
  <c r="AL10" i="50" s="1"/>
  <c r="AM10" i="50" s="1"/>
  <c r="AN10" i="50" s="1"/>
  <c r="J36" i="50"/>
  <c r="J35" i="50" s="1"/>
  <c r="S36" i="50"/>
  <c r="S35" i="50" s="1"/>
  <c r="F15" i="67"/>
  <c r="F18" i="67"/>
  <c r="D19" i="58"/>
  <c r="F189" i="68"/>
  <c r="E19" i="58"/>
  <c r="E18" i="37"/>
  <c r="C19" i="61"/>
  <c r="C23" i="61" s="1"/>
  <c r="AA30" i="66"/>
  <c r="AA46" i="66" s="1"/>
  <c r="G52" i="30"/>
  <c r="X40" i="45" s="1"/>
  <c r="G51" i="30"/>
  <c r="X39" i="45" s="1"/>
  <c r="B6" i="44"/>
  <c r="B19" i="35" s="1"/>
  <c r="D19" i="35" s="1"/>
  <c r="B22" i="44"/>
  <c r="B35" i="35" s="1"/>
  <c r="K35" i="35" s="1"/>
  <c r="G39" i="56"/>
  <c r="K18" i="37"/>
  <c r="I189" i="68"/>
  <c r="U18" i="37"/>
  <c r="AG30" i="66"/>
  <c r="AG46" i="66" s="1"/>
  <c r="Z18" i="37"/>
  <c r="M30" i="66"/>
  <c r="M46" i="66" s="1"/>
  <c r="AH30" i="66"/>
  <c r="AH46" i="66" s="1"/>
  <c r="H131" i="39"/>
  <c r="P131" i="39"/>
  <c r="X131" i="39"/>
  <c r="AF131" i="39"/>
  <c r="I131" i="39"/>
  <c r="Q131" i="39"/>
  <c r="Y131" i="39"/>
  <c r="AG131" i="39"/>
  <c r="S56" i="45"/>
  <c r="AA56" i="45"/>
  <c r="AI56" i="45"/>
  <c r="AQ56" i="45"/>
  <c r="H34" i="41"/>
  <c r="G56" i="30"/>
  <c r="G9" i="30" s="1"/>
  <c r="O56" i="30"/>
  <c r="O9" i="30" s="1"/>
  <c r="X34" i="41"/>
  <c r="W56" i="30"/>
  <c r="AE56" i="30"/>
  <c r="AE9" i="30" s="1"/>
  <c r="H56" i="30"/>
  <c r="H9" i="30" s="1"/>
  <c r="P56" i="30"/>
  <c r="P9" i="30" s="1"/>
  <c r="Y34" i="41"/>
  <c r="X56" i="30"/>
  <c r="X9" i="30" s="1"/>
  <c r="AF56" i="30"/>
  <c r="AF9" i="30" s="1"/>
  <c r="U61" i="45"/>
  <c r="AC61" i="45"/>
  <c r="AK61" i="45"/>
  <c r="AS61" i="45"/>
  <c r="BA61" i="45"/>
  <c r="J34" i="41"/>
  <c r="I56" i="30"/>
  <c r="Z44" i="45" s="1"/>
  <c r="R34" i="41"/>
  <c r="Q56" i="30"/>
  <c r="AH44" i="45" s="1"/>
  <c r="Z34" i="41"/>
  <c r="Y56" i="30"/>
  <c r="AH34" i="41"/>
  <c r="AG56" i="30"/>
  <c r="AX44" i="45" s="1"/>
  <c r="U34" i="41"/>
  <c r="T56" i="30"/>
  <c r="J56" i="30"/>
  <c r="J9" i="30" s="1"/>
  <c r="S34" i="41"/>
  <c r="R56" i="30"/>
  <c r="R9" i="30" s="1"/>
  <c r="AA34" i="41"/>
  <c r="Z56" i="30"/>
  <c r="Z9" i="30" s="1"/>
  <c r="AH56" i="30"/>
  <c r="H31" i="41"/>
  <c r="P31" i="41"/>
  <c r="X31" i="41"/>
  <c r="AF31" i="41"/>
  <c r="F31" i="41"/>
  <c r="I31" i="41"/>
  <c r="Q31" i="41"/>
  <c r="Y31" i="41"/>
  <c r="AG31" i="41"/>
  <c r="AD31" i="41"/>
  <c r="J31" i="41"/>
  <c r="R31" i="41"/>
  <c r="Z31" i="41"/>
  <c r="AH31" i="41"/>
  <c r="K31" i="41"/>
  <c r="S31" i="41"/>
  <c r="AA31" i="41"/>
  <c r="AI31" i="41"/>
  <c r="N31" i="41"/>
  <c r="D31" i="41"/>
  <c r="L31" i="41"/>
  <c r="T31" i="41"/>
  <c r="AB31" i="41"/>
  <c r="AJ31" i="41"/>
  <c r="C31" i="41"/>
  <c r="E31" i="41"/>
  <c r="M31" i="41"/>
  <c r="U31" i="41"/>
  <c r="AC31" i="41"/>
  <c r="AK31" i="41"/>
  <c r="V31" i="41"/>
  <c r="G31" i="41"/>
  <c r="O31" i="41"/>
  <c r="W31" i="41"/>
  <c r="AE31" i="41"/>
  <c r="F26" i="33"/>
  <c r="G26" i="33" s="1"/>
  <c r="C56" i="30"/>
  <c r="L34" i="41"/>
  <c r="K56" i="30"/>
  <c r="K9" i="30" s="1"/>
  <c r="T34" i="41"/>
  <c r="S56" i="30"/>
  <c r="S9" i="30" s="1"/>
  <c r="AA56" i="30"/>
  <c r="AA9" i="30" s="1"/>
  <c r="AJ34" i="41"/>
  <c r="AI56" i="30"/>
  <c r="M34" i="41"/>
  <c r="L56" i="30"/>
  <c r="AC34" i="41"/>
  <c r="AB56" i="30"/>
  <c r="AB9" i="30" s="1"/>
  <c r="AK34" i="41"/>
  <c r="AJ56" i="30"/>
  <c r="BA44" i="45" s="1"/>
  <c r="F34" i="41"/>
  <c r="E56" i="30"/>
  <c r="N34" i="41"/>
  <c r="M56" i="30"/>
  <c r="V34" i="41"/>
  <c r="U56" i="30"/>
  <c r="AD34" i="41"/>
  <c r="AC56" i="30"/>
  <c r="E27" i="33"/>
  <c r="D39" i="32"/>
  <c r="E35" i="41" s="1"/>
  <c r="D56" i="30"/>
  <c r="F56" i="30"/>
  <c r="W44" i="45" s="1"/>
  <c r="O34" i="41"/>
  <c r="N56" i="30"/>
  <c r="AE44" i="45" s="1"/>
  <c r="W34" i="41"/>
  <c r="V56" i="30"/>
  <c r="AM44" i="45" s="1"/>
  <c r="AE34" i="41"/>
  <c r="AD56" i="30"/>
  <c r="AU44" i="45" s="1"/>
  <c r="W11" i="32"/>
  <c r="X9" i="41" s="1"/>
  <c r="W47" i="30"/>
  <c r="AN35" i="45" s="1"/>
  <c r="E11" i="32"/>
  <c r="F9" i="41" s="1"/>
  <c r="E47" i="30"/>
  <c r="V35" i="45" s="1"/>
  <c r="M11" i="32"/>
  <c r="N9" i="41" s="1"/>
  <c r="M47" i="30"/>
  <c r="AD35" i="45" s="1"/>
  <c r="U11" i="32"/>
  <c r="U47" i="30"/>
  <c r="AL35" i="45" s="1"/>
  <c r="AC11" i="32"/>
  <c r="AD9" i="41" s="1"/>
  <c r="AC47" i="30"/>
  <c r="AT35" i="45" s="1"/>
  <c r="O11" i="32"/>
  <c r="O47" i="30"/>
  <c r="AF35" i="45" s="1"/>
  <c r="AD11" i="32"/>
  <c r="AE9" i="41" s="1"/>
  <c r="AD47" i="30"/>
  <c r="AU35" i="45" s="1"/>
  <c r="H47" i="30"/>
  <c r="Y35" i="45" s="1"/>
  <c r="P47" i="30"/>
  <c r="AG35" i="45" s="1"/>
  <c r="X47" i="30"/>
  <c r="AO35" i="45" s="1"/>
  <c r="AF47" i="30"/>
  <c r="AW35" i="45" s="1"/>
  <c r="F11" i="32"/>
  <c r="G9" i="41" s="1"/>
  <c r="F47" i="30"/>
  <c r="W35" i="45" s="1"/>
  <c r="G11" i="32"/>
  <c r="H9" i="41" s="1"/>
  <c r="G47" i="30"/>
  <c r="X35" i="45" s="1"/>
  <c r="I11" i="32"/>
  <c r="I47" i="30"/>
  <c r="Z35" i="45" s="1"/>
  <c r="Q11" i="32"/>
  <c r="R9" i="41" s="1"/>
  <c r="Q47" i="30"/>
  <c r="AH35" i="45" s="1"/>
  <c r="Y11" i="32"/>
  <c r="Z9" i="41" s="1"/>
  <c r="Y47" i="30"/>
  <c r="AP35" i="45" s="1"/>
  <c r="AG11" i="32"/>
  <c r="AH9" i="41" s="1"/>
  <c r="AG47" i="30"/>
  <c r="AX35" i="45" s="1"/>
  <c r="V11" i="32"/>
  <c r="V47" i="30"/>
  <c r="AM35" i="45" s="1"/>
  <c r="B47" i="30"/>
  <c r="S35" i="45" s="1"/>
  <c r="J11" i="32"/>
  <c r="K9" i="41" s="1"/>
  <c r="J47" i="30"/>
  <c r="AA35" i="45" s="1"/>
  <c r="R11" i="32"/>
  <c r="R47" i="30"/>
  <c r="AI35" i="45" s="1"/>
  <c r="Z47" i="30"/>
  <c r="AQ35" i="45" s="1"/>
  <c r="AH11" i="32"/>
  <c r="AH47" i="30"/>
  <c r="AY35" i="45" s="1"/>
  <c r="N11" i="32"/>
  <c r="N47" i="30"/>
  <c r="AE35" i="45" s="1"/>
  <c r="AE11" i="32"/>
  <c r="AF9" i="41" s="1"/>
  <c r="AE47" i="30"/>
  <c r="AV35" i="45" s="1"/>
  <c r="C47" i="30"/>
  <c r="T35" i="45" s="1"/>
  <c r="K47" i="30"/>
  <c r="AB35" i="45" s="1"/>
  <c r="S47" i="30"/>
  <c r="AJ35" i="45" s="1"/>
  <c r="AA47" i="30"/>
  <c r="AR35" i="45" s="1"/>
  <c r="AI47" i="30"/>
  <c r="AZ35" i="45" s="1"/>
  <c r="D11" i="32"/>
  <c r="D47" i="30"/>
  <c r="U35" i="45" s="1"/>
  <c r="L11" i="32"/>
  <c r="M9" i="41" s="1"/>
  <c r="L47" i="30"/>
  <c r="AC35" i="45" s="1"/>
  <c r="T11" i="32"/>
  <c r="T47" i="30"/>
  <c r="AK35" i="45" s="1"/>
  <c r="AB11" i="32"/>
  <c r="AB47" i="30"/>
  <c r="AS35" i="45" s="1"/>
  <c r="AJ11" i="32"/>
  <c r="AK9" i="41" s="1"/>
  <c r="AJ47" i="30"/>
  <c r="BA35" i="45" s="1"/>
  <c r="C31" i="32"/>
  <c r="D26" i="41" s="1"/>
  <c r="G133" i="55" s="1"/>
  <c r="W23" i="45"/>
  <c r="D41" i="30"/>
  <c r="U9" i="45"/>
  <c r="V20" i="45"/>
  <c r="U36" i="45"/>
  <c r="AK36" i="45"/>
  <c r="BA36" i="45"/>
  <c r="N16" i="52"/>
  <c r="V16" i="52"/>
  <c r="AD16" i="52"/>
  <c r="AL16" i="52"/>
  <c r="E16" i="52"/>
  <c r="X16" i="52"/>
  <c r="J16" i="52"/>
  <c r="Q16" i="52"/>
  <c r="Y16" i="52"/>
  <c r="AG16" i="52"/>
  <c r="K16" i="52"/>
  <c r="AC16" i="52"/>
  <c r="O16" i="52"/>
  <c r="W16" i="52"/>
  <c r="AE16" i="52"/>
  <c r="I16" i="52"/>
  <c r="D16" i="52"/>
  <c r="P16" i="52"/>
  <c r="AF16" i="52"/>
  <c r="S16" i="52"/>
  <c r="AA16" i="52"/>
  <c r="AI16" i="52"/>
  <c r="F16" i="52"/>
  <c r="T16" i="52"/>
  <c r="AB16" i="52"/>
  <c r="AJ16" i="52"/>
  <c r="G16" i="52"/>
  <c r="U16" i="52"/>
  <c r="H16" i="52"/>
  <c r="R16" i="52"/>
  <c r="Z16" i="52"/>
  <c r="AH16" i="52"/>
  <c r="L16" i="52"/>
  <c r="M16" i="52"/>
  <c r="AK16" i="52"/>
  <c r="B11" i="32"/>
  <c r="C9" i="41" s="1"/>
  <c r="C19" i="36"/>
  <c r="U12" i="30"/>
  <c r="AJ13" i="30"/>
  <c r="X61" i="45"/>
  <c r="AN61" i="45"/>
  <c r="V61" i="45"/>
  <c r="Y53" i="41"/>
  <c r="AE53" i="41"/>
  <c r="N53" i="41"/>
  <c r="M53" i="41"/>
  <c r="AH53" i="41"/>
  <c r="Q53" i="41"/>
  <c r="AF53" i="41"/>
  <c r="W53" i="41"/>
  <c r="F53" i="41"/>
  <c r="AI53" i="41"/>
  <c r="R53" i="41"/>
  <c r="I53" i="41"/>
  <c r="P53" i="41"/>
  <c r="O53" i="41"/>
  <c r="AB53" i="41"/>
  <c r="AA53" i="41"/>
  <c r="G53" i="41"/>
  <c r="T53" i="41"/>
  <c r="S53" i="41"/>
  <c r="E56" i="33"/>
  <c r="L53" i="41"/>
  <c r="K53" i="41"/>
  <c r="D53" i="41"/>
  <c r="AD53" i="41"/>
  <c r="AC53" i="41"/>
  <c r="AG53" i="41"/>
  <c r="V53" i="41"/>
  <c r="U53" i="41"/>
  <c r="H53" i="41"/>
  <c r="AJ53" i="41"/>
  <c r="AK53" i="41"/>
  <c r="E53" i="41"/>
  <c r="Z53" i="41"/>
  <c r="J53" i="41"/>
  <c r="X53" i="41"/>
  <c r="C53" i="41"/>
  <c r="E57" i="33"/>
  <c r="E55" i="33"/>
  <c r="F55" i="33" s="1"/>
  <c r="P52" i="41"/>
  <c r="O52" i="41"/>
  <c r="C52" i="41"/>
  <c r="H52" i="41"/>
  <c r="E54" i="33"/>
  <c r="F54" i="33" s="1"/>
  <c r="AD52" i="41"/>
  <c r="AF52" i="41"/>
  <c r="F52" i="41"/>
  <c r="X52" i="41"/>
  <c r="AC52" i="41"/>
  <c r="W52" i="41"/>
  <c r="L52" i="41"/>
  <c r="AH52" i="41"/>
  <c r="M52" i="41"/>
  <c r="AE52" i="41"/>
  <c r="I52" i="41"/>
  <c r="N52" i="41"/>
  <c r="K52" i="41"/>
  <c r="T52" i="41"/>
  <c r="G52" i="41"/>
  <c r="AA52" i="41"/>
  <c r="J52" i="41"/>
  <c r="Z52" i="41"/>
  <c r="AG52" i="41"/>
  <c r="AJ52" i="41"/>
  <c r="AK52" i="41"/>
  <c r="D52" i="41"/>
  <c r="S52" i="41"/>
  <c r="AI52" i="41"/>
  <c r="Q52" i="41"/>
  <c r="E52" i="41"/>
  <c r="U52" i="41"/>
  <c r="Y52" i="41"/>
  <c r="R52" i="41"/>
  <c r="AB52" i="41"/>
  <c r="V52" i="41"/>
  <c r="V56" i="45"/>
  <c r="AL56" i="45"/>
  <c r="AT56" i="45"/>
  <c r="J12" i="30"/>
  <c r="I13" i="30"/>
  <c r="Q13" i="30"/>
  <c r="AG13" i="30"/>
  <c r="P14" i="30"/>
  <c r="X14" i="30"/>
  <c r="AF14" i="30"/>
  <c r="U63" i="45"/>
  <c r="AA63" i="45"/>
  <c r="AQ63" i="45"/>
  <c r="Y29" i="41"/>
  <c r="C18" i="32"/>
  <c r="D127" i="39" s="1"/>
  <c r="D29" i="41"/>
  <c r="K18" i="32"/>
  <c r="L29" i="41"/>
  <c r="S18" i="32"/>
  <c r="T127" i="39" s="1"/>
  <c r="T29" i="41"/>
  <c r="AA18" i="32"/>
  <c r="AB29" i="41"/>
  <c r="AI18" i="32"/>
  <c r="AJ29" i="41"/>
  <c r="AH41" i="45"/>
  <c r="AX41" i="45"/>
  <c r="E29" i="41"/>
  <c r="M29" i="41"/>
  <c r="U29" i="41"/>
  <c r="AC24" i="40"/>
  <c r="AC25" i="40" s="1"/>
  <c r="AC29" i="41"/>
  <c r="AK29" i="41"/>
  <c r="AA60" i="45"/>
  <c r="AQ60" i="45"/>
  <c r="I29" i="41"/>
  <c r="E18" i="32"/>
  <c r="F127" i="39" s="1"/>
  <c r="F29" i="41"/>
  <c r="N29" i="41"/>
  <c r="V29" i="41"/>
  <c r="AC18" i="32"/>
  <c r="AD29" i="41"/>
  <c r="G24" i="40"/>
  <c r="G25" i="40" s="1"/>
  <c r="G29" i="41"/>
  <c r="O29" i="41"/>
  <c r="W24" i="40"/>
  <c r="W25" i="40" s="1"/>
  <c r="W29" i="41"/>
  <c r="AE29" i="41"/>
  <c r="AC41" i="45"/>
  <c r="AS41" i="45"/>
  <c r="AG29" i="41"/>
  <c r="E14" i="33"/>
  <c r="F14" i="33" s="1"/>
  <c r="G10" i="55" s="1"/>
  <c r="H29" i="41"/>
  <c r="O18" i="32"/>
  <c r="O21" i="32" s="1"/>
  <c r="O19" i="32" s="1"/>
  <c r="P29" i="41"/>
  <c r="W18" i="32"/>
  <c r="X127" i="39" s="1"/>
  <c r="X29" i="41"/>
  <c r="AE18" i="32"/>
  <c r="AF29" i="41"/>
  <c r="S59" i="45"/>
  <c r="E376" i="19"/>
  <c r="E377" i="19" s="1"/>
  <c r="K31" i="28"/>
  <c r="D37" i="28" s="1"/>
  <c r="Q29" i="41"/>
  <c r="J29" i="41"/>
  <c r="R24" i="40"/>
  <c r="R25" i="40" s="1"/>
  <c r="R29" i="41"/>
  <c r="Z29" i="41"/>
  <c r="AH29" i="41"/>
  <c r="B13" i="30"/>
  <c r="B18" i="32"/>
  <c r="C127" i="39" s="1"/>
  <c r="C29" i="41"/>
  <c r="E21" i="33"/>
  <c r="F21" i="33" s="1"/>
  <c r="J18" i="32"/>
  <c r="K29" i="41"/>
  <c r="R18" i="32"/>
  <c r="S29" i="41"/>
  <c r="Z18" i="32"/>
  <c r="AA127" i="39" s="1"/>
  <c r="AA29" i="41"/>
  <c r="AH18" i="32"/>
  <c r="AI127" i="39" s="1"/>
  <c r="AI29" i="41"/>
  <c r="S85" i="39"/>
  <c r="S86" i="39" s="1"/>
  <c r="G85" i="39"/>
  <c r="G86" i="39" s="1"/>
  <c r="W85" i="39"/>
  <c r="W86" i="39" s="1"/>
  <c r="F85" i="39"/>
  <c r="F86" i="39" s="1"/>
  <c r="AE85" i="39"/>
  <c r="AE86" i="39" s="1"/>
  <c r="AD85" i="39"/>
  <c r="AD86" i="39" s="1"/>
  <c r="M85" i="39"/>
  <c r="M86" i="39" s="1"/>
  <c r="U85" i="39"/>
  <c r="U86" i="39" s="1"/>
  <c r="P85" i="39"/>
  <c r="P86" i="39" s="1"/>
  <c r="C85" i="39"/>
  <c r="T85" i="39"/>
  <c r="T86" i="39" s="1"/>
  <c r="N85" i="39"/>
  <c r="N86" i="39" s="1"/>
  <c r="H85" i="39"/>
  <c r="H86" i="39" s="1"/>
  <c r="AF85" i="39"/>
  <c r="AF86" i="39" s="1"/>
  <c r="AC85" i="39"/>
  <c r="AC86" i="39" s="1"/>
  <c r="E85" i="39"/>
  <c r="E86" i="39" s="1"/>
  <c r="O85" i="39"/>
  <c r="O86" i="39" s="1"/>
  <c r="V85" i="39"/>
  <c r="V86" i="39" s="1"/>
  <c r="D85" i="39"/>
  <c r="D86" i="39" s="1"/>
  <c r="J85" i="39"/>
  <c r="J86" i="39" s="1"/>
  <c r="R85" i="39"/>
  <c r="R86" i="39" s="1"/>
  <c r="Z85" i="39"/>
  <c r="Z86" i="39" s="1"/>
  <c r="AI85" i="39"/>
  <c r="AI86" i="39" s="1"/>
  <c r="K85" i="39"/>
  <c r="K86" i="39" s="1"/>
  <c r="X85" i="39"/>
  <c r="X86" i="39" s="1"/>
  <c r="AK85" i="39"/>
  <c r="AK86" i="39" s="1"/>
  <c r="Q85" i="39"/>
  <c r="Q86" i="39" s="1"/>
  <c r="Y85" i="39"/>
  <c r="Y86" i="39" s="1"/>
  <c r="L85" i="39"/>
  <c r="L86" i="39" s="1"/>
  <c r="I85" i="39"/>
  <c r="I86" i="39" s="1"/>
  <c r="AA85" i="39"/>
  <c r="AA86" i="39" s="1"/>
  <c r="AB85" i="39"/>
  <c r="AB86" i="39" s="1"/>
  <c r="AJ85" i="39"/>
  <c r="AJ86" i="39" s="1"/>
  <c r="AH85" i="39"/>
  <c r="AH86" i="39" s="1"/>
  <c r="AG85" i="39"/>
  <c r="AG86" i="39" s="1"/>
  <c r="J89" i="39"/>
  <c r="J90" i="39" s="1"/>
  <c r="E89" i="39"/>
  <c r="E90" i="39" s="1"/>
  <c r="AK89" i="39"/>
  <c r="AK90" i="39" s="1"/>
  <c r="Z89" i="39"/>
  <c r="Z90" i="39" s="1"/>
  <c r="AJ89" i="39"/>
  <c r="AJ90" i="39" s="1"/>
  <c r="X89" i="39"/>
  <c r="X90" i="39" s="1"/>
  <c r="C89" i="39"/>
  <c r="H89" i="39"/>
  <c r="H90" i="39" s="1"/>
  <c r="AF89" i="39"/>
  <c r="AF90" i="39" s="1"/>
  <c r="AH89" i="39"/>
  <c r="AH90" i="39" s="1"/>
  <c r="U89" i="39"/>
  <c r="U90" i="39" s="1"/>
  <c r="S89" i="39"/>
  <c r="S90" i="39" s="1"/>
  <c r="T89" i="39"/>
  <c r="T90" i="39" s="1"/>
  <c r="P89" i="39"/>
  <c r="P90" i="39" s="1"/>
  <c r="R89" i="39"/>
  <c r="R90" i="39" s="1"/>
  <c r="AI89" i="39"/>
  <c r="AI90" i="39" s="1"/>
  <c r="AC89" i="39"/>
  <c r="AC90" i="39" s="1"/>
  <c r="N89" i="39"/>
  <c r="N90" i="39" s="1"/>
  <c r="I89" i="39"/>
  <c r="I90" i="39" s="1"/>
  <c r="Q89" i="39"/>
  <c r="Q90" i="39" s="1"/>
  <c r="AA89" i="39"/>
  <c r="AA90" i="39" s="1"/>
  <c r="AB89" i="39"/>
  <c r="AB90" i="39" s="1"/>
  <c r="AD89" i="39"/>
  <c r="AD90" i="39" s="1"/>
  <c r="D89" i="39"/>
  <c r="D90" i="39" s="1"/>
  <c r="L89" i="39"/>
  <c r="L90" i="39" s="1"/>
  <c r="G89" i="39"/>
  <c r="G90" i="39" s="1"/>
  <c r="K89" i="39"/>
  <c r="K90" i="39" s="1"/>
  <c r="W89" i="39"/>
  <c r="W90" i="39" s="1"/>
  <c r="AG89" i="39"/>
  <c r="AG90" i="39" s="1"/>
  <c r="V89" i="39"/>
  <c r="V90" i="39" s="1"/>
  <c r="F89" i="39"/>
  <c r="F90" i="39" s="1"/>
  <c r="O89" i="39"/>
  <c r="O90" i="39" s="1"/>
  <c r="Y89" i="39"/>
  <c r="Y90" i="39" s="1"/>
  <c r="AE89" i="39"/>
  <c r="AE90" i="39" s="1"/>
  <c r="M89" i="39"/>
  <c r="M90" i="39" s="1"/>
  <c r="D22" i="41"/>
  <c r="G131" i="55" s="1"/>
  <c r="G12" i="30"/>
  <c r="X19" i="45"/>
  <c r="V57" i="45"/>
  <c r="AD57" i="45"/>
  <c r="AL57" i="45"/>
  <c r="AT57" i="45"/>
  <c r="X60" i="45"/>
  <c r="X64" i="45"/>
  <c r="AF64" i="45"/>
  <c r="AN64" i="45"/>
  <c r="AV64" i="45"/>
  <c r="AB14" i="30"/>
  <c r="AJ43" i="45"/>
  <c r="X59" i="45"/>
  <c r="AN59" i="45"/>
  <c r="Z59" i="45"/>
  <c r="AH59" i="45"/>
  <c r="AP59" i="45"/>
  <c r="AX59" i="45"/>
  <c r="H14" i="30"/>
  <c r="AA59" i="45"/>
  <c r="AI59" i="45"/>
  <c r="AQ59" i="45"/>
  <c r="AY59" i="45"/>
  <c r="Y14" i="30"/>
  <c r="N12" i="30"/>
  <c r="AD12" i="30"/>
  <c r="B10" i="44"/>
  <c r="B23" i="35" s="1"/>
  <c r="M23" i="35" s="1"/>
  <c r="W59" i="45"/>
  <c r="AM59" i="45"/>
  <c r="F42" i="32"/>
  <c r="H25" i="52" s="1"/>
  <c r="H24" i="52" s="1"/>
  <c r="AR43" i="45"/>
  <c r="I42" i="32"/>
  <c r="K25" i="52" s="1"/>
  <c r="K24" i="52" s="1"/>
  <c r="Q42" i="32"/>
  <c r="S25" i="52" s="1"/>
  <c r="S24" i="52" s="1"/>
  <c r="Y42" i="32"/>
  <c r="AA25" i="52" s="1"/>
  <c r="AA24" i="52" s="1"/>
  <c r="AG42" i="32"/>
  <c r="AI25" i="52" s="1"/>
  <c r="AI24" i="52" s="1"/>
  <c r="W43" i="45"/>
  <c r="T42" i="32"/>
  <c r="V25" i="52" s="1"/>
  <c r="V24" i="52" s="1"/>
  <c r="AJ42" i="32"/>
  <c r="AL25" i="52" s="1"/>
  <c r="AL24" i="52" s="1"/>
  <c r="N42" i="32"/>
  <c r="P25" i="52" s="1"/>
  <c r="P24" i="52" s="1"/>
  <c r="B42" i="32"/>
  <c r="E35" i="33" s="1"/>
  <c r="F33" i="55" s="1"/>
  <c r="J42" i="32"/>
  <c r="L25" i="52" s="1"/>
  <c r="L24" i="52" s="1"/>
  <c r="R42" i="32"/>
  <c r="T25" i="52" s="1"/>
  <c r="T24" i="52" s="1"/>
  <c r="Z42" i="32"/>
  <c r="AB25" i="52" s="1"/>
  <c r="AB24" i="52" s="1"/>
  <c r="AH42" i="32"/>
  <c r="AJ25" i="52" s="1"/>
  <c r="AJ24" i="52" s="1"/>
  <c r="AA36" i="45"/>
  <c r="AQ36" i="45"/>
  <c r="AB43" i="45"/>
  <c r="AA55" i="45"/>
  <c r="L42" i="32"/>
  <c r="N25" i="52" s="1"/>
  <c r="N24" i="52" s="1"/>
  <c r="AD42" i="32"/>
  <c r="AF25" i="52" s="1"/>
  <c r="AF24" i="52" s="1"/>
  <c r="V12" i="30"/>
  <c r="AC13" i="30"/>
  <c r="C42" i="32"/>
  <c r="E25" i="52" s="1"/>
  <c r="E24" i="52" s="1"/>
  <c r="K42" i="32"/>
  <c r="M25" i="52" s="1"/>
  <c r="M24" i="52" s="1"/>
  <c r="S42" i="32"/>
  <c r="U25" i="52" s="1"/>
  <c r="U24" i="52" s="1"/>
  <c r="AA42" i="32"/>
  <c r="AC25" i="52" s="1"/>
  <c r="AC24" i="52" s="1"/>
  <c r="AI42" i="32"/>
  <c r="AK25" i="52" s="1"/>
  <c r="AK24" i="52" s="1"/>
  <c r="AE43" i="45"/>
  <c r="I14" i="30"/>
  <c r="E42" i="32"/>
  <c r="G25" i="52" s="1"/>
  <c r="G24" i="52" s="1"/>
  <c r="M42" i="32"/>
  <c r="O25" i="52" s="1"/>
  <c r="O24" i="52" s="1"/>
  <c r="U42" i="32"/>
  <c r="W25" i="52" s="1"/>
  <c r="W24" i="52" s="1"/>
  <c r="AC42" i="32"/>
  <c r="AE25" i="52" s="1"/>
  <c r="AE24" i="52" s="1"/>
  <c r="AM43" i="45"/>
  <c r="D42" i="32"/>
  <c r="F25" i="52" s="1"/>
  <c r="F24" i="52" s="1"/>
  <c r="V42" i="32"/>
  <c r="X25" i="52" s="1"/>
  <c r="X24" i="52" s="1"/>
  <c r="F12" i="30"/>
  <c r="M13" i="30"/>
  <c r="C39" i="32"/>
  <c r="D35" i="41" s="1"/>
  <c r="AF36" i="45"/>
  <c r="AV36" i="45"/>
  <c r="AU43" i="45"/>
  <c r="D12" i="30"/>
  <c r="L12" i="30"/>
  <c r="K13" i="30"/>
  <c r="AB42" i="32"/>
  <c r="AD25" i="52" s="1"/>
  <c r="AD24" i="52" s="1"/>
  <c r="T43" i="45"/>
  <c r="B59" i="44"/>
  <c r="B72" i="35" s="1"/>
  <c r="B45" i="44"/>
  <c r="B53" i="35" s="1"/>
  <c r="G53" i="35" s="1"/>
  <c r="M84" i="30"/>
  <c r="M85" i="30" s="1"/>
  <c r="M86" i="30" s="1"/>
  <c r="Q21" i="36"/>
  <c r="B84" i="30"/>
  <c r="B75" i="32" s="1"/>
  <c r="AM47" i="57"/>
  <c r="AK22" i="37" s="1"/>
  <c r="AJ47" i="57"/>
  <c r="AH22" i="37" s="1"/>
  <c r="R84" i="30"/>
  <c r="V16" i="36" s="1"/>
  <c r="V21" i="36"/>
  <c r="AL47" i="57"/>
  <c r="AJ22" i="37" s="1"/>
  <c r="AF75" i="32"/>
  <c r="AF76" i="32" s="1"/>
  <c r="AG62" i="41" s="1"/>
  <c r="J84" i="30"/>
  <c r="J85" i="30" s="1"/>
  <c r="J86" i="30" s="1"/>
  <c r="AC21" i="36"/>
  <c r="W21" i="36"/>
  <c r="AI47" i="57"/>
  <c r="AG22" i="37" s="1"/>
  <c r="AK47" i="57"/>
  <c r="AI22" i="37" s="1"/>
  <c r="C152" i="19"/>
  <c r="C282" i="19" s="1"/>
  <c r="B47" i="44"/>
  <c r="B55" i="35" s="1"/>
  <c r="M55" i="35" s="1"/>
  <c r="C19" i="50"/>
  <c r="S65" i="45"/>
  <c r="AI65" i="45"/>
  <c r="AY65" i="45"/>
  <c r="AG75" i="32"/>
  <c r="AG76" i="32" s="1"/>
  <c r="AH62" i="41" s="1"/>
  <c r="T12" i="30"/>
  <c r="AB12" i="30"/>
  <c r="AJ12" i="30"/>
  <c r="C13" i="30"/>
  <c r="S13" i="30"/>
  <c r="AA13" i="30"/>
  <c r="AI13" i="30"/>
  <c r="AD65" i="45"/>
  <c r="AT65" i="45"/>
  <c r="E41" i="33"/>
  <c r="F39" i="55" s="1"/>
  <c r="AE13" i="30"/>
  <c r="F14" i="30"/>
  <c r="T20" i="45"/>
  <c r="R39" i="32"/>
  <c r="S35" i="41" s="1"/>
  <c r="Z39" i="32"/>
  <c r="AA35" i="41" s="1"/>
  <c r="F64" i="33"/>
  <c r="G54" i="55" s="1"/>
  <c r="AF37" i="45"/>
  <c r="O12" i="30"/>
  <c r="AE12" i="30"/>
  <c r="Z24" i="45"/>
  <c r="AV24" i="45"/>
  <c r="AF26" i="45"/>
  <c r="AQ37" i="45"/>
  <c r="AB39" i="32"/>
  <c r="AC35" i="41" s="1"/>
  <c r="C12" i="30"/>
  <c r="S12" i="30"/>
  <c r="AI12" i="30"/>
  <c r="P12" i="30"/>
  <c r="AF12" i="30"/>
  <c r="Q14" i="30"/>
  <c r="AD14" i="30"/>
  <c r="B63" i="44"/>
  <c r="B82" i="35" s="1"/>
  <c r="V13" i="45"/>
  <c r="T23" i="45"/>
  <c r="AE24" i="45"/>
  <c r="AX24" i="45"/>
  <c r="AK26" i="45"/>
  <c r="AT37" i="45"/>
  <c r="K39" i="32"/>
  <c r="L35" i="41" s="1"/>
  <c r="AJ39" i="32"/>
  <c r="AK35" i="41" s="1"/>
  <c r="B40" i="44"/>
  <c r="B48" i="35" s="1"/>
  <c r="AD13" i="45"/>
  <c r="U23" i="45"/>
  <c r="AF24" i="45"/>
  <c r="AL26" i="45"/>
  <c r="AY37" i="45"/>
  <c r="D21" i="52"/>
  <c r="E21" i="52"/>
  <c r="L39" i="32"/>
  <c r="M35" i="41" s="1"/>
  <c r="AA14" i="30"/>
  <c r="B44" i="44"/>
  <c r="B52" i="35" s="1"/>
  <c r="S20" i="45"/>
  <c r="AH24" i="45"/>
  <c r="AN26" i="45"/>
  <c r="AM24" i="45"/>
  <c r="AS26" i="45"/>
  <c r="S39" i="32"/>
  <c r="T35" i="41" s="1"/>
  <c r="W12" i="30"/>
  <c r="V24" i="45"/>
  <c r="AN24" i="45"/>
  <c r="V26" i="45"/>
  <c r="AT26" i="45"/>
  <c r="AI37" i="45"/>
  <c r="AL51" i="45"/>
  <c r="C128" i="19"/>
  <c r="C278" i="19" s="1"/>
  <c r="T39" i="32"/>
  <c r="U35" i="41" s="1"/>
  <c r="V14" i="30"/>
  <c r="K14" i="30"/>
  <c r="B54" i="44"/>
  <c r="B62" i="35" s="1"/>
  <c r="W24" i="45"/>
  <c r="AP24" i="45"/>
  <c r="AC26" i="45"/>
  <c r="AV26" i="45"/>
  <c r="AL37" i="45"/>
  <c r="C122" i="19"/>
  <c r="C277" i="19" s="1"/>
  <c r="X39" i="32"/>
  <c r="Y35" i="41" s="1"/>
  <c r="I12" i="30"/>
  <c r="Q12" i="30"/>
  <c r="Y12" i="30"/>
  <c r="AG12" i="30"/>
  <c r="L14" i="30"/>
  <c r="B39" i="44"/>
  <c r="B47" i="35" s="1"/>
  <c r="X24" i="45"/>
  <c r="AU24" i="45"/>
  <c r="AD26" i="45"/>
  <c r="B14" i="44"/>
  <c r="B27" i="35" s="1"/>
  <c r="C27" i="35" s="1"/>
  <c r="X23" i="30"/>
  <c r="Y23" i="30" s="1"/>
  <c r="Z23" i="30" s="1"/>
  <c r="AN11" i="45"/>
  <c r="V12" i="45"/>
  <c r="F24" i="30"/>
  <c r="G24" i="30" s="1"/>
  <c r="H24" i="30" s="1"/>
  <c r="I24" i="30" s="1"/>
  <c r="Z28" i="30"/>
  <c r="AA28" i="30" s="1"/>
  <c r="AP16" i="45"/>
  <c r="J29" i="30"/>
  <c r="Z17" i="45"/>
  <c r="N30" i="30"/>
  <c r="AD18" i="45"/>
  <c r="K31" i="30"/>
  <c r="L31" i="30" s="1"/>
  <c r="AA19" i="45"/>
  <c r="Q41" i="57"/>
  <c r="Q39" i="57"/>
  <c r="Q45" i="57"/>
  <c r="Q43" i="57"/>
  <c r="R21" i="36"/>
  <c r="N84" i="30"/>
  <c r="N75" i="32" s="1"/>
  <c r="N76" i="32" s="1"/>
  <c r="O62" i="41" s="1"/>
  <c r="AG41" i="57"/>
  <c r="AG39" i="57"/>
  <c r="AG45" i="57"/>
  <c r="AG43" i="57"/>
  <c r="AH21" i="36"/>
  <c r="AD84" i="30"/>
  <c r="AD75" i="32" s="1"/>
  <c r="AD76" i="32" s="1"/>
  <c r="AE62" i="41" s="1"/>
  <c r="S41" i="57"/>
  <c r="S39" i="57"/>
  <c r="S45" i="57"/>
  <c r="S43" i="57"/>
  <c r="P84" i="30"/>
  <c r="T16" i="36" s="1"/>
  <c r="T21" i="36"/>
  <c r="AC9" i="45"/>
  <c r="M21" i="30"/>
  <c r="N21" i="30" s="1"/>
  <c r="O21" i="30" s="1"/>
  <c r="P21" i="30" s="1"/>
  <c r="Q21" i="30" s="1"/>
  <c r="AB23" i="45"/>
  <c r="L35" i="30"/>
  <c r="R41" i="57"/>
  <c r="R39" i="57"/>
  <c r="S21" i="36"/>
  <c r="R45" i="57"/>
  <c r="R43" i="57"/>
  <c r="O84" i="30"/>
  <c r="AF60" i="45"/>
  <c r="O13" i="30"/>
  <c r="I28" i="50"/>
  <c r="J28" i="50" s="1"/>
  <c r="K28" i="50" s="1"/>
  <c r="L28" i="50" s="1"/>
  <c r="M28" i="50" s="1"/>
  <c r="N28" i="50" s="1"/>
  <c r="O28" i="50" s="1"/>
  <c r="P28" i="50" s="1"/>
  <c r="Q28" i="50" s="1"/>
  <c r="R28" i="50" s="1"/>
  <c r="S28" i="50" s="1"/>
  <c r="T28" i="50" s="1"/>
  <c r="U28" i="50" s="1"/>
  <c r="V28" i="50" s="1"/>
  <c r="W28" i="50" s="1"/>
  <c r="X28" i="50" s="1"/>
  <c r="Y28" i="50" s="1"/>
  <c r="Z28" i="50" s="1"/>
  <c r="AA28" i="50" s="1"/>
  <c r="AB28" i="50" s="1"/>
  <c r="AC28" i="50" s="1"/>
  <c r="AD28" i="50" s="1"/>
  <c r="AE28" i="50" s="1"/>
  <c r="AF28" i="50" s="1"/>
  <c r="AG28" i="50" s="1"/>
  <c r="AH28" i="50" s="1"/>
  <c r="AI28" i="50" s="1"/>
  <c r="AJ28" i="50" s="1"/>
  <c r="AK28" i="50" s="1"/>
  <c r="AL28" i="50" s="1"/>
  <c r="AM28" i="50" s="1"/>
  <c r="AN28" i="50" s="1"/>
  <c r="AH13" i="30"/>
  <c r="H75" i="32"/>
  <c r="H76" i="32" s="1"/>
  <c r="I62" i="41" s="1"/>
  <c r="H85" i="30"/>
  <c r="H86" i="30" s="1"/>
  <c r="Z45" i="57"/>
  <c r="Z43" i="57"/>
  <c r="Z41" i="57"/>
  <c r="Z39" i="57"/>
  <c r="AA21" i="36"/>
  <c r="W84" i="30"/>
  <c r="W85" i="30" s="1"/>
  <c r="W86" i="30" s="1"/>
  <c r="H11" i="52"/>
  <c r="P34" i="41"/>
  <c r="O39" i="32"/>
  <c r="P35" i="41" s="1"/>
  <c r="AF34" i="41"/>
  <c r="AE39" i="32"/>
  <c r="AF35" i="41" s="1"/>
  <c r="C6" i="30"/>
  <c r="F44" i="30"/>
  <c r="B19" i="50"/>
  <c r="AF11" i="52"/>
  <c r="Q34" i="41"/>
  <c r="P39" i="32"/>
  <c r="Q35" i="41" s="1"/>
  <c r="AG34" i="41"/>
  <c r="AF39" i="32"/>
  <c r="AG35" i="41" s="1"/>
  <c r="D14" i="30"/>
  <c r="E14" i="50"/>
  <c r="E33" i="50"/>
  <c r="T41" i="57"/>
  <c r="T39" i="57"/>
  <c r="T45" i="57"/>
  <c r="T43" i="57"/>
  <c r="Q84" i="30"/>
  <c r="AK63" i="45"/>
  <c r="T14" i="30"/>
  <c r="BA63" i="45"/>
  <c r="AJ14" i="30"/>
  <c r="G29" i="50"/>
  <c r="H29" i="50" s="1"/>
  <c r="I29" i="50" s="1"/>
  <c r="J29" i="50" s="1"/>
  <c r="K29" i="50" s="1"/>
  <c r="L29" i="50" s="1"/>
  <c r="M29" i="50" s="1"/>
  <c r="N29" i="50" s="1"/>
  <c r="O29" i="50" s="1"/>
  <c r="P29" i="50" s="1"/>
  <c r="Q29" i="50" s="1"/>
  <c r="R29" i="50" s="1"/>
  <c r="S29" i="50" s="1"/>
  <c r="T29" i="50" s="1"/>
  <c r="U29" i="50" s="1"/>
  <c r="V29" i="50" s="1"/>
  <c r="W29" i="50" s="1"/>
  <c r="X29" i="50" s="1"/>
  <c r="Y29" i="50" s="1"/>
  <c r="Z29" i="50" s="1"/>
  <c r="AA29" i="50" s="1"/>
  <c r="AB29" i="50" s="1"/>
  <c r="AC29" i="50" s="1"/>
  <c r="AD29" i="50" s="1"/>
  <c r="AE29" i="50" s="1"/>
  <c r="AF29" i="50" s="1"/>
  <c r="AG29" i="50" s="1"/>
  <c r="AH29" i="50" s="1"/>
  <c r="AI29" i="50" s="1"/>
  <c r="AJ29" i="50" s="1"/>
  <c r="AK29" i="50" s="1"/>
  <c r="AL29" i="50" s="1"/>
  <c r="AM29" i="50" s="1"/>
  <c r="AN29" i="50" s="1"/>
  <c r="AH41" i="57"/>
  <c r="AH39" i="57"/>
  <c r="AI21" i="36"/>
  <c r="AH45" i="57"/>
  <c r="AH43" i="57"/>
  <c r="AE84" i="30"/>
  <c r="C26" i="50"/>
  <c r="F27" i="50"/>
  <c r="E32" i="33"/>
  <c r="C24" i="39"/>
  <c r="G132" i="55"/>
  <c r="E132" i="55" s="1"/>
  <c r="B24" i="41"/>
  <c r="G39" i="32"/>
  <c r="H35" i="41" s="1"/>
  <c r="D6" i="30"/>
  <c r="E19" i="30"/>
  <c r="D31" i="32"/>
  <c r="K32" i="30"/>
  <c r="L32" i="35" s="1"/>
  <c r="AA20" i="45"/>
  <c r="W39" i="57"/>
  <c r="W45" i="57"/>
  <c r="W43" i="57"/>
  <c r="W41" i="57"/>
  <c r="T84" i="30"/>
  <c r="X21" i="36"/>
  <c r="B31" i="44"/>
  <c r="C134" i="19"/>
  <c r="C279" i="19" s="1"/>
  <c r="X39" i="57"/>
  <c r="X45" i="57"/>
  <c r="X43" i="57"/>
  <c r="X41" i="57"/>
  <c r="U84" i="30"/>
  <c r="Y21" i="36"/>
  <c r="AH85" i="30"/>
  <c r="AH86" i="30" s="1"/>
  <c r="AH75" i="32"/>
  <c r="AH76" i="32" s="1"/>
  <c r="AI62" i="41" s="1"/>
  <c r="AR8" i="45"/>
  <c r="AH8" i="45"/>
  <c r="AV8" i="45"/>
  <c r="AU8" i="45"/>
  <c r="AP8" i="45"/>
  <c r="AN8" i="45"/>
  <c r="AM8" i="45"/>
  <c r="AF8" i="45"/>
  <c r="AE8" i="45"/>
  <c r="Z8" i="45"/>
  <c r="X8" i="45"/>
  <c r="W8" i="45"/>
  <c r="G18" i="50"/>
  <c r="H18" i="50" s="1"/>
  <c r="I18" i="50" s="1"/>
  <c r="J18" i="50" s="1"/>
  <c r="K18" i="50" s="1"/>
  <c r="L18" i="50" s="1"/>
  <c r="M18" i="50" s="1"/>
  <c r="N18" i="50" s="1"/>
  <c r="O18" i="50" s="1"/>
  <c r="P18" i="50" s="1"/>
  <c r="Q18" i="50" s="1"/>
  <c r="R18" i="50" s="1"/>
  <c r="S18" i="50" s="1"/>
  <c r="T18" i="50" s="1"/>
  <c r="U18" i="50" s="1"/>
  <c r="V18" i="50" s="1"/>
  <c r="W18" i="50" s="1"/>
  <c r="X18" i="50" s="1"/>
  <c r="Y18" i="50" s="1"/>
  <c r="Z18" i="50" s="1"/>
  <c r="AA18" i="50" s="1"/>
  <c r="AB18" i="50" s="1"/>
  <c r="AC18" i="50" s="1"/>
  <c r="AD18" i="50" s="1"/>
  <c r="AE18" i="50" s="1"/>
  <c r="AF18" i="50" s="1"/>
  <c r="AG18" i="50" s="1"/>
  <c r="AH18" i="50" s="1"/>
  <c r="AI18" i="50" s="1"/>
  <c r="AJ18" i="50" s="1"/>
  <c r="AK18" i="50" s="1"/>
  <c r="AL18" i="50" s="1"/>
  <c r="AM18" i="50" s="1"/>
  <c r="AN18" i="50" s="1"/>
  <c r="Y45" i="57"/>
  <c r="Y43" i="57"/>
  <c r="Y41" i="57"/>
  <c r="Y39" i="57"/>
  <c r="Z21" i="36"/>
  <c r="V84" i="30"/>
  <c r="V85" i="30" s="1"/>
  <c r="V86" i="30" s="1"/>
  <c r="AJ75" i="32"/>
  <c r="AJ76" i="32" s="1"/>
  <c r="AK62" i="41" s="1"/>
  <c r="AJ85" i="30"/>
  <c r="AJ86" i="30" s="1"/>
  <c r="E16" i="50"/>
  <c r="C26" i="41"/>
  <c r="F133" i="55" s="1"/>
  <c r="G30" i="50"/>
  <c r="H30" i="50" s="1"/>
  <c r="I30" i="50" s="1"/>
  <c r="J30" i="50" s="1"/>
  <c r="K30" i="50" s="1"/>
  <c r="L30" i="50" s="1"/>
  <c r="M30" i="50" s="1"/>
  <c r="N30" i="50" s="1"/>
  <c r="O30" i="50" s="1"/>
  <c r="P30" i="50" s="1"/>
  <c r="Q30" i="50" s="1"/>
  <c r="R30" i="50" s="1"/>
  <c r="S30" i="50" s="1"/>
  <c r="T30" i="50" s="1"/>
  <c r="U30" i="50" s="1"/>
  <c r="V30" i="50" s="1"/>
  <c r="W30" i="50" s="1"/>
  <c r="X30" i="50" s="1"/>
  <c r="Y30" i="50" s="1"/>
  <c r="Z30" i="50" s="1"/>
  <c r="AA30" i="50" s="1"/>
  <c r="AB30" i="50" s="1"/>
  <c r="AC30" i="50" s="1"/>
  <c r="AD30" i="50" s="1"/>
  <c r="AE30" i="50" s="1"/>
  <c r="AF30" i="50" s="1"/>
  <c r="AG30" i="50" s="1"/>
  <c r="AH30" i="50" s="1"/>
  <c r="AI30" i="50" s="1"/>
  <c r="AJ30" i="50" s="1"/>
  <c r="AK30" i="50" s="1"/>
  <c r="AL30" i="50" s="1"/>
  <c r="AM30" i="50" s="1"/>
  <c r="AN30" i="50" s="1"/>
  <c r="W39" i="32"/>
  <c r="X35" i="41" s="1"/>
  <c r="E27" i="30"/>
  <c r="F27" i="30" s="1"/>
  <c r="U15" i="45"/>
  <c r="P11" i="41"/>
  <c r="AX48" i="45"/>
  <c r="AL48" i="45"/>
  <c r="AS48" i="45"/>
  <c r="BA48" i="45"/>
  <c r="AV48" i="45"/>
  <c r="AN48" i="45"/>
  <c r="AK48" i="45"/>
  <c r="AF48" i="45"/>
  <c r="G31" i="50"/>
  <c r="E12" i="30"/>
  <c r="B62" i="44"/>
  <c r="B81" i="35" s="1"/>
  <c r="AP10" i="45"/>
  <c r="AS10" i="45"/>
  <c r="U10" i="45"/>
  <c r="AK10" i="45"/>
  <c r="AF10" i="45"/>
  <c r="AL10" i="45"/>
  <c r="AD10" i="45"/>
  <c r="AC10" i="45"/>
  <c r="X10" i="45"/>
  <c r="V10" i="45"/>
  <c r="AV10" i="45"/>
  <c r="AT10" i="45"/>
  <c r="U48" i="45"/>
  <c r="E12" i="50"/>
  <c r="G34" i="50"/>
  <c r="AG14" i="30"/>
  <c r="AN10" i="45"/>
  <c r="V48" i="45"/>
  <c r="AF22" i="52"/>
  <c r="V22" i="52"/>
  <c r="N22" i="52"/>
  <c r="I22" i="52"/>
  <c r="AG22" i="52"/>
  <c r="AD22" i="52"/>
  <c r="AL22" i="52"/>
  <c r="AJ22" i="52"/>
  <c r="AI22" i="52"/>
  <c r="AB22" i="52"/>
  <c r="Y22" i="52"/>
  <c r="T22" i="52"/>
  <c r="S22" i="52"/>
  <c r="K22" i="52"/>
  <c r="AA22" i="52"/>
  <c r="Q22" i="52"/>
  <c r="B26" i="50"/>
  <c r="AE43" i="57"/>
  <c r="AE41" i="57"/>
  <c r="AE39" i="57"/>
  <c r="AE45" i="57"/>
  <c r="AF21" i="36"/>
  <c r="AB84" i="30"/>
  <c r="AF16" i="36" s="1"/>
  <c r="O11" i="41"/>
  <c r="V32" i="45"/>
  <c r="X48" i="45"/>
  <c r="D22" i="52"/>
  <c r="G21" i="32"/>
  <c r="G19" i="32" s="1"/>
  <c r="B38" i="44"/>
  <c r="B46" i="35" s="1"/>
  <c r="AC48" i="45"/>
  <c r="F22" i="52"/>
  <c r="W13" i="30"/>
  <c r="N14" i="30"/>
  <c r="B23" i="44"/>
  <c r="B36" i="35" s="1"/>
  <c r="S36" i="35" s="1"/>
  <c r="V39" i="57"/>
  <c r="V45" i="57"/>
  <c r="V43" i="57"/>
  <c r="V41" i="57"/>
  <c r="E30" i="33"/>
  <c r="F28" i="55" s="1"/>
  <c r="C22" i="41"/>
  <c r="F131" i="55" s="1"/>
  <c r="C32" i="40"/>
  <c r="C33" i="40" s="1"/>
  <c r="C34" i="40" s="1"/>
  <c r="S63" i="45"/>
  <c r="AI63" i="45"/>
  <c r="AY63" i="45"/>
  <c r="B9" i="44"/>
  <c r="B22" i="35" s="1"/>
  <c r="E22" i="35" s="1"/>
  <c r="AY51" i="45"/>
  <c r="AD51" i="45"/>
  <c r="C8" i="50"/>
  <c r="F8" i="50" s="1"/>
  <c r="F24" i="67"/>
  <c r="G31" i="56"/>
  <c r="AF43" i="57"/>
  <c r="AF41" i="57"/>
  <c r="AF39" i="57"/>
  <c r="AF45" i="57"/>
  <c r="AG21" i="36"/>
  <c r="AC84" i="30"/>
  <c r="AC75" i="32" s="1"/>
  <c r="AC76" i="32" s="1"/>
  <c r="AD62" i="41" s="1"/>
  <c r="G13" i="30"/>
  <c r="AY56" i="45"/>
  <c r="AH12" i="30"/>
  <c r="AC59" i="45"/>
  <c r="L13" i="30"/>
  <c r="AB13" i="30"/>
  <c r="Z60" i="45"/>
  <c r="AP60" i="45"/>
  <c r="Y13" i="30"/>
  <c r="C14" i="30"/>
  <c r="S14" i="30"/>
  <c r="AI14" i="30"/>
  <c r="B24" i="44"/>
  <c r="B37" i="35" s="1"/>
  <c r="AB37" i="35" s="1"/>
  <c r="AF11" i="45"/>
  <c r="AI11" i="45"/>
  <c r="AA11" i="45"/>
  <c r="X11" i="45"/>
  <c r="V51" i="45"/>
  <c r="G9" i="50"/>
  <c r="H9" i="50" s="1"/>
  <c r="I9" i="50" s="1"/>
  <c r="S85" i="30"/>
  <c r="S86" i="30" s="1"/>
  <c r="S75" i="32"/>
  <c r="S76" i="32" s="1"/>
  <c r="T62" i="41" s="1"/>
  <c r="G17" i="50"/>
  <c r="H17" i="50" s="1"/>
  <c r="I17" i="50" s="1"/>
  <c r="J17" i="50" s="1"/>
  <c r="K17" i="50" s="1"/>
  <c r="L17" i="50" s="1"/>
  <c r="M17" i="50" s="1"/>
  <c r="N17" i="50" s="1"/>
  <c r="O17" i="50" s="1"/>
  <c r="P17" i="50" s="1"/>
  <c r="Q17" i="50" s="1"/>
  <c r="R17" i="50" s="1"/>
  <c r="S17" i="50" s="1"/>
  <c r="T17" i="50" s="1"/>
  <c r="U17" i="50" s="1"/>
  <c r="V17" i="50" s="1"/>
  <c r="W17" i="50" s="1"/>
  <c r="X17" i="50" s="1"/>
  <c r="Y17" i="50" s="1"/>
  <c r="Z17" i="50" s="1"/>
  <c r="AA17" i="50" s="1"/>
  <c r="AB17" i="50" s="1"/>
  <c r="AC17" i="50" s="1"/>
  <c r="AD17" i="50" s="1"/>
  <c r="AE17" i="50" s="1"/>
  <c r="AF17" i="50" s="1"/>
  <c r="AG17" i="50" s="1"/>
  <c r="AH17" i="50" s="1"/>
  <c r="AI17" i="50" s="1"/>
  <c r="AJ17" i="50" s="1"/>
  <c r="AK17" i="50" s="1"/>
  <c r="AL17" i="50" s="1"/>
  <c r="AM17" i="50" s="1"/>
  <c r="AN17" i="50" s="1"/>
  <c r="I45" i="57"/>
  <c r="I43" i="57"/>
  <c r="I41" i="57"/>
  <c r="I39" i="57"/>
  <c r="F84" i="30"/>
  <c r="J21" i="36"/>
  <c r="F39" i="57"/>
  <c r="F45" i="57"/>
  <c r="F43" i="57"/>
  <c r="F41" i="57"/>
  <c r="G21" i="36"/>
  <c r="C84" i="30"/>
  <c r="G16" i="36" s="1"/>
  <c r="G32" i="50"/>
  <c r="H32" i="50" s="1"/>
  <c r="I32" i="50" s="1"/>
  <c r="J32" i="50" s="1"/>
  <c r="K32" i="50" s="1"/>
  <c r="L32" i="50" s="1"/>
  <c r="M32" i="50" s="1"/>
  <c r="N32" i="50" s="1"/>
  <c r="O32" i="50" s="1"/>
  <c r="P32" i="50" s="1"/>
  <c r="Q32" i="50" s="1"/>
  <c r="R32" i="50" s="1"/>
  <c r="S32" i="50" s="1"/>
  <c r="T32" i="50" s="1"/>
  <c r="U32" i="50" s="1"/>
  <c r="V32" i="50" s="1"/>
  <c r="W32" i="50" s="1"/>
  <c r="X32" i="50" s="1"/>
  <c r="Y32" i="50" s="1"/>
  <c r="Z32" i="50" s="1"/>
  <c r="AA32" i="50" s="1"/>
  <c r="AB32" i="50" s="1"/>
  <c r="AC32" i="50" s="1"/>
  <c r="AD32" i="50" s="1"/>
  <c r="AE32" i="50" s="1"/>
  <c r="AF32" i="50" s="1"/>
  <c r="AG32" i="50" s="1"/>
  <c r="AH32" i="50" s="1"/>
  <c r="AI32" i="50" s="1"/>
  <c r="AJ32" i="50" s="1"/>
  <c r="AK32" i="50" s="1"/>
  <c r="AL32" i="50" s="1"/>
  <c r="AM32" i="50" s="1"/>
  <c r="AN32" i="50" s="1"/>
  <c r="J45" i="57"/>
  <c r="J43" i="57"/>
  <c r="J41" i="57"/>
  <c r="J39" i="57"/>
  <c r="K21" i="36"/>
  <c r="G84" i="30"/>
  <c r="K16" i="36" s="1"/>
  <c r="G39" i="57"/>
  <c r="G45" i="57"/>
  <c r="G43" i="57"/>
  <c r="G41" i="57"/>
  <c r="D84" i="30"/>
  <c r="H16" i="36" s="1"/>
  <c r="H21" i="36"/>
  <c r="AU25" i="45"/>
  <c r="U25" i="45"/>
  <c r="AY25" i="45"/>
  <c r="AX25" i="45"/>
  <c r="AP25" i="45"/>
  <c r="AK25" i="45"/>
  <c r="AI25" i="45"/>
  <c r="AH25" i="45"/>
  <c r="AC25" i="45"/>
  <c r="BA25" i="45"/>
  <c r="AS25" i="45"/>
  <c r="Z25" i="45"/>
  <c r="G13" i="50"/>
  <c r="H13" i="50" s="1"/>
  <c r="I13" i="50" s="1"/>
  <c r="J13" i="50" s="1"/>
  <c r="K13" i="50" s="1"/>
  <c r="L13" i="50" s="1"/>
  <c r="M13" i="50" s="1"/>
  <c r="N13" i="50" s="1"/>
  <c r="O13" i="50" s="1"/>
  <c r="P13" i="50" s="1"/>
  <c r="Q13" i="50" s="1"/>
  <c r="R13" i="50" s="1"/>
  <c r="S13" i="50" s="1"/>
  <c r="T13" i="50" s="1"/>
  <c r="U13" i="50" s="1"/>
  <c r="V13" i="50" s="1"/>
  <c r="W13" i="50" s="1"/>
  <c r="X13" i="50" s="1"/>
  <c r="Y13" i="50" s="1"/>
  <c r="Z13" i="50" s="1"/>
  <c r="AA13" i="50" s="1"/>
  <c r="AB13" i="50" s="1"/>
  <c r="AC13" i="50" s="1"/>
  <c r="AD13" i="50" s="1"/>
  <c r="AE13" i="50" s="1"/>
  <c r="AF13" i="50" s="1"/>
  <c r="AG13" i="50" s="1"/>
  <c r="AH13" i="50" s="1"/>
  <c r="AI13" i="50" s="1"/>
  <c r="AJ13" i="50" s="1"/>
  <c r="AK13" i="50" s="1"/>
  <c r="AL13" i="50" s="1"/>
  <c r="AM13" i="50" s="1"/>
  <c r="AN13" i="50" s="1"/>
  <c r="K45" i="57"/>
  <c r="K43" i="57"/>
  <c r="K41" i="57"/>
  <c r="K39" i="57"/>
  <c r="L21" i="36"/>
  <c r="AA45" i="57"/>
  <c r="AA43" i="57"/>
  <c r="AA41" i="57"/>
  <c r="AA39" i="57"/>
  <c r="AB21" i="36"/>
  <c r="X84" i="30"/>
  <c r="H39" i="57"/>
  <c r="H45" i="57"/>
  <c r="H43" i="57"/>
  <c r="H41" i="57"/>
  <c r="E84" i="30"/>
  <c r="E85" i="30" s="1"/>
  <c r="I21" i="36"/>
  <c r="K34" i="41"/>
  <c r="J39" i="32"/>
  <c r="K35" i="41" s="1"/>
  <c r="AD60" i="45"/>
  <c r="AT60" i="45"/>
  <c r="X63" i="45"/>
  <c r="AN63" i="45"/>
  <c r="AA85" i="30"/>
  <c r="AA86" i="30" s="1"/>
  <c r="AR69" i="45" s="1"/>
  <c r="AA75" i="32"/>
  <c r="AA76" i="32" s="1"/>
  <c r="AB62" i="41" s="1"/>
  <c r="S25" i="45"/>
  <c r="B12" i="30"/>
  <c r="T13" i="30"/>
  <c r="AA25" i="45"/>
  <c r="B7" i="50"/>
  <c r="C24" i="61"/>
  <c r="C15" i="61"/>
  <c r="W16" i="40"/>
  <c r="W17" i="40" s="1"/>
  <c r="I34" i="41"/>
  <c r="H39" i="32"/>
  <c r="I35" i="41" s="1"/>
  <c r="AQ55" i="45"/>
  <c r="Z12" i="30"/>
  <c r="V64" i="45"/>
  <c r="AL64" i="45"/>
  <c r="Z85" i="30"/>
  <c r="Z86" i="30" s="1"/>
  <c r="Z75" i="32"/>
  <c r="Z76" i="32" s="1"/>
  <c r="AA62" i="41" s="1"/>
  <c r="B32" i="44"/>
  <c r="AQ13" i="45"/>
  <c r="AT13" i="45"/>
  <c r="AR16" i="45"/>
  <c r="AF16" i="45"/>
  <c r="X16" i="45"/>
  <c r="W16" i="45"/>
  <c r="AN16" i="45"/>
  <c r="AM16" i="45"/>
  <c r="AH16" i="45"/>
  <c r="AE16" i="45"/>
  <c r="Z16" i="45"/>
  <c r="G11" i="50"/>
  <c r="H11" i="50" s="1"/>
  <c r="I11" i="50" s="1"/>
  <c r="J11" i="50" s="1"/>
  <c r="K11" i="50" s="1"/>
  <c r="L11" i="50" s="1"/>
  <c r="M11" i="50" s="1"/>
  <c r="N11" i="50" s="1"/>
  <c r="O11" i="50" s="1"/>
  <c r="P11" i="50" s="1"/>
  <c r="Q11" i="50" s="1"/>
  <c r="R11" i="50" s="1"/>
  <c r="S11" i="50" s="1"/>
  <c r="T11" i="50" s="1"/>
  <c r="U11" i="50" s="1"/>
  <c r="V11" i="50" s="1"/>
  <c r="W11" i="50" s="1"/>
  <c r="X11" i="50" s="1"/>
  <c r="Y11" i="50" s="1"/>
  <c r="Z11" i="50" s="1"/>
  <c r="AA11" i="50" s="1"/>
  <c r="AB11" i="50" s="1"/>
  <c r="AC11" i="50" s="1"/>
  <c r="AD11" i="50" s="1"/>
  <c r="AE11" i="50" s="1"/>
  <c r="AF11" i="50" s="1"/>
  <c r="AG11" i="50" s="1"/>
  <c r="AH11" i="50" s="1"/>
  <c r="AI11" i="50" s="1"/>
  <c r="AJ11" i="50" s="1"/>
  <c r="AK11" i="50" s="1"/>
  <c r="AL11" i="50" s="1"/>
  <c r="AM11" i="50" s="1"/>
  <c r="AN11" i="50" s="1"/>
  <c r="F33" i="67"/>
  <c r="L45" i="57"/>
  <c r="L43" i="57"/>
  <c r="L41" i="57"/>
  <c r="L39" i="57"/>
  <c r="M21" i="36"/>
  <c r="AB45" i="57"/>
  <c r="AB43" i="57"/>
  <c r="AB41" i="57"/>
  <c r="AB39" i="57"/>
  <c r="Y84" i="30"/>
  <c r="N43" i="57"/>
  <c r="N41" i="57"/>
  <c r="N39" i="57"/>
  <c r="N45" i="57"/>
  <c r="K84" i="30"/>
  <c r="O16" i="36" s="1"/>
  <c r="AB34" i="41"/>
  <c r="AA39" i="32"/>
  <c r="AB35" i="41" s="1"/>
  <c r="B15" i="44"/>
  <c r="B28" i="35" s="1"/>
  <c r="H28" i="35" s="1"/>
  <c r="B33" i="44"/>
  <c r="AZ33" i="45"/>
  <c r="AW13" i="45"/>
  <c r="AX8" i="45"/>
  <c r="AW14" i="45"/>
  <c r="AW22" i="45"/>
  <c r="AZ14" i="45"/>
  <c r="AQ21" i="45"/>
  <c r="AD21" i="45"/>
  <c r="AT21" i="45"/>
  <c r="AL21" i="45"/>
  <c r="M43" i="57"/>
  <c r="M41" i="57"/>
  <c r="M39" i="57"/>
  <c r="M45" i="57"/>
  <c r="N21" i="36"/>
  <c r="AC43" i="57"/>
  <c r="AC41" i="57"/>
  <c r="AC39" i="57"/>
  <c r="AC45" i="57"/>
  <c r="AD21" i="36"/>
  <c r="O43" i="57"/>
  <c r="O41" i="57"/>
  <c r="O39" i="57"/>
  <c r="O45" i="57"/>
  <c r="P21" i="36"/>
  <c r="L84" i="30"/>
  <c r="P16" i="36" s="1"/>
  <c r="T7" i="45"/>
  <c r="U17" i="45"/>
  <c r="V21" i="45"/>
  <c r="AD43" i="57"/>
  <c r="AD41" i="57"/>
  <c r="AD39" i="57"/>
  <c r="AD45" i="57"/>
  <c r="AE21" i="36"/>
  <c r="P43" i="57"/>
  <c r="P41" i="57"/>
  <c r="P39" i="57"/>
  <c r="P45" i="57"/>
  <c r="B11" i="44"/>
  <c r="B24" i="35" s="1"/>
  <c r="J24" i="35" s="1"/>
  <c r="U7" i="45"/>
  <c r="S17" i="45"/>
  <c r="B30" i="41"/>
  <c r="O21" i="36"/>
  <c r="AI34" i="41"/>
  <c r="AH39" i="32"/>
  <c r="AI35" i="41" s="1"/>
  <c r="K12" i="30"/>
  <c r="AA12" i="30"/>
  <c r="H12" i="30"/>
  <c r="X12" i="30"/>
  <c r="E13" i="30"/>
  <c r="U13" i="30"/>
  <c r="S60" i="45"/>
  <c r="AI60" i="45"/>
  <c r="AY60" i="45"/>
  <c r="AF61" i="45"/>
  <c r="AV61" i="45"/>
  <c r="AC63" i="45"/>
  <c r="AS63" i="45"/>
  <c r="B25" i="44"/>
  <c r="B38" i="35" s="1"/>
  <c r="AJ38" i="35" s="1"/>
  <c r="AF55" i="45"/>
  <c r="AV55" i="45"/>
  <c r="P13" i="30"/>
  <c r="AF13" i="30"/>
  <c r="M14" i="30"/>
  <c r="AC14" i="30"/>
  <c r="AA64" i="45"/>
  <c r="AQ64" i="45"/>
  <c r="G14" i="30"/>
  <c r="W14" i="30"/>
  <c r="V18" i="45"/>
  <c r="G15" i="50"/>
  <c r="C146" i="19"/>
  <c r="C280" i="19" s="1"/>
  <c r="AD56" i="45"/>
  <c r="M12" i="30"/>
  <c r="U60" i="45"/>
  <c r="D13" i="30"/>
  <c r="AK60" i="45"/>
  <c r="BA60" i="45"/>
  <c r="B7" i="44"/>
  <c r="B20" i="35" s="1"/>
  <c r="AE20" i="35" s="1"/>
  <c r="U18" i="45"/>
  <c r="E46" i="67"/>
  <c r="F46" i="67" s="1"/>
  <c r="F47" i="67" s="1"/>
  <c r="V60" i="45"/>
  <c r="AL60" i="45"/>
  <c r="AF63" i="45"/>
  <c r="AV63" i="45"/>
  <c r="B43" i="44"/>
  <c r="B51" i="35" s="1"/>
  <c r="B50" i="44"/>
  <c r="B58" i="35" s="1"/>
  <c r="T58" i="35" s="1"/>
  <c r="B61" i="44"/>
  <c r="B74" i="35" s="1"/>
  <c r="AA9" i="45"/>
  <c r="Z9" i="45"/>
  <c r="X18" i="45"/>
  <c r="F21" i="67"/>
  <c r="AI39" i="32"/>
  <c r="AJ35" i="41" s="1"/>
  <c r="AC12" i="30"/>
  <c r="AC36" i="45"/>
  <c r="AS36" i="45"/>
  <c r="Z41" i="45"/>
  <c r="AP41" i="45"/>
  <c r="S55" i="45"/>
  <c r="AI55" i="45"/>
  <c r="R12" i="30"/>
  <c r="AY55" i="45"/>
  <c r="AD64" i="45"/>
  <c r="AT64" i="45"/>
  <c r="AA65" i="45"/>
  <c r="AQ65" i="45"/>
  <c r="B8" i="44"/>
  <c r="B21" i="35" s="1"/>
  <c r="C21" i="35" s="1"/>
  <c r="B55" i="44"/>
  <c r="B63" i="35" s="1"/>
  <c r="AJ63" i="35" s="1"/>
  <c r="S9" i="45"/>
  <c r="T15" i="45"/>
  <c r="AC18" i="45"/>
  <c r="AV37" i="45"/>
  <c r="V37" i="45"/>
  <c r="X37" i="45"/>
  <c r="AD37" i="45"/>
  <c r="AA37" i="45"/>
  <c r="S37" i="45"/>
  <c r="D23" i="52"/>
  <c r="AE36" i="50"/>
  <c r="AE35" i="50" s="1"/>
  <c r="O36" i="50"/>
  <c r="O35" i="50" s="1"/>
  <c r="C35" i="50"/>
  <c r="Z36" i="50"/>
  <c r="Z35" i="50" s="1"/>
  <c r="I36" i="50"/>
  <c r="I35" i="50" s="1"/>
  <c r="Y36" i="50"/>
  <c r="Y35" i="50" s="1"/>
  <c r="G36" i="50"/>
  <c r="G35" i="50" s="1"/>
  <c r="AM36" i="50"/>
  <c r="AM35" i="50" s="1"/>
  <c r="T36" i="50"/>
  <c r="T35" i="50" s="1"/>
  <c r="AL36" i="50"/>
  <c r="AL35" i="50" s="1"/>
  <c r="AC36" i="50"/>
  <c r="AC35" i="50" s="1"/>
  <c r="H36" i="50"/>
  <c r="H35" i="50" s="1"/>
  <c r="AB36" i="50"/>
  <c r="AB35" i="50" s="1"/>
  <c r="F36" i="50"/>
  <c r="AA36" i="50"/>
  <c r="AA35" i="50" s="1"/>
  <c r="AG36" i="50"/>
  <c r="AG35" i="50" s="1"/>
  <c r="C140" i="19"/>
  <c r="U39" i="57"/>
  <c r="U45" i="57"/>
  <c r="U43" i="57"/>
  <c r="U41" i="57"/>
  <c r="X55" i="45"/>
  <c r="AN55" i="45"/>
  <c r="AE59" i="45"/>
  <c r="AU59" i="45"/>
  <c r="H13" i="30"/>
  <c r="X13" i="30"/>
  <c r="E14" i="30"/>
  <c r="U14" i="30"/>
  <c r="S64" i="45"/>
  <c r="AI64" i="45"/>
  <c r="AY64" i="45"/>
  <c r="O14" i="30"/>
  <c r="AE14" i="30"/>
  <c r="B21" i="44"/>
  <c r="B34" i="35" s="1"/>
  <c r="AH34" i="35" s="1"/>
  <c r="B41" i="44"/>
  <c r="B49" i="35" s="1"/>
  <c r="T12" i="45"/>
  <c r="AO14" i="45"/>
  <c r="C15" i="36"/>
  <c r="E39" i="57"/>
  <c r="E45" i="57"/>
  <c r="E43" i="57"/>
  <c r="E41" i="57"/>
  <c r="S36" i="45"/>
  <c r="AI36" i="45"/>
  <c r="AY36" i="45"/>
  <c r="AF59" i="45"/>
  <c r="AV59" i="45"/>
  <c r="AC60" i="45"/>
  <c r="AS60" i="45"/>
  <c r="S12" i="45"/>
  <c r="S19" i="45"/>
  <c r="C158" i="19"/>
  <c r="C283" i="19" s="1"/>
  <c r="X36" i="45"/>
  <c r="AN36" i="45"/>
  <c r="U41" i="45"/>
  <c r="AK41" i="45"/>
  <c r="BA41" i="45"/>
  <c r="U59" i="45"/>
  <c r="AK59" i="45"/>
  <c r="AH60" i="45"/>
  <c r="AX60" i="45"/>
  <c r="V65" i="45"/>
  <c r="AL65" i="45"/>
  <c r="AX26" i="45"/>
  <c r="X26" i="45"/>
  <c r="U26" i="45"/>
  <c r="M16" i="67"/>
  <c r="M20" i="67" s="1"/>
  <c r="M22" i="67" s="1"/>
  <c r="M24" i="67" s="1"/>
  <c r="X20" i="45"/>
  <c r="F10" i="67"/>
  <c r="F12" i="67" s="1"/>
  <c r="F13" i="67" s="1"/>
  <c r="F23" i="67"/>
  <c r="AT22" i="45"/>
  <c r="S18" i="37"/>
  <c r="AI18" i="37"/>
  <c r="D18" i="37"/>
  <c r="T18" i="37"/>
  <c r="AJ18" i="37"/>
  <c r="C22" i="63"/>
  <c r="F18" i="37"/>
  <c r="V18" i="37"/>
  <c r="C19" i="37"/>
  <c r="G18" i="37"/>
  <c r="W18" i="37"/>
  <c r="D19" i="37"/>
  <c r="N30" i="66"/>
  <c r="N46" i="66" s="1"/>
  <c r="AD30" i="66"/>
  <c r="AD46" i="66" s="1"/>
  <c r="H18" i="37"/>
  <c r="X18" i="37"/>
  <c r="E19" i="37"/>
  <c r="O30" i="66"/>
  <c r="O46" i="66" s="1"/>
  <c r="AE30" i="66"/>
  <c r="AE46" i="66" s="1"/>
  <c r="C19" i="58"/>
  <c r="I18" i="37"/>
  <c r="Y18" i="37"/>
  <c r="P30" i="66"/>
  <c r="P46" i="66" s="1"/>
  <c r="AF30" i="66"/>
  <c r="AF46" i="66" s="1"/>
  <c r="L18" i="37"/>
  <c r="AB18" i="37"/>
  <c r="S30" i="66"/>
  <c r="S46" i="66" s="1"/>
  <c r="AI30" i="66"/>
  <c r="AI46" i="66" s="1"/>
  <c r="M18" i="37"/>
  <c r="AC18" i="37"/>
  <c r="D30" i="66"/>
  <c r="D46" i="66" s="1"/>
  <c r="T30" i="66"/>
  <c r="T46" i="66" s="1"/>
  <c r="AJ30" i="66"/>
  <c r="AJ46" i="66" s="1"/>
  <c r="N18" i="37"/>
  <c r="AD18" i="37"/>
  <c r="E30" i="66"/>
  <c r="E46" i="66" s="1"/>
  <c r="U30" i="66"/>
  <c r="U46" i="66" s="1"/>
  <c r="AK30" i="66"/>
  <c r="AK46" i="66" s="1"/>
  <c r="O18" i="37"/>
  <c r="AE18" i="37"/>
  <c r="F30" i="66"/>
  <c r="F46" i="66" s="1"/>
  <c r="V30" i="66"/>
  <c r="V46" i="66" s="1"/>
  <c r="AL30" i="66"/>
  <c r="AL46" i="66" s="1"/>
  <c r="P18" i="37"/>
  <c r="AF18" i="37"/>
  <c r="G30" i="66"/>
  <c r="G46" i="66" s="1"/>
  <c r="W30" i="66"/>
  <c r="W46" i="66" s="1"/>
  <c r="Q18" i="37"/>
  <c r="AG18" i="37"/>
  <c r="H30" i="66"/>
  <c r="H46" i="66" s="1"/>
  <c r="X30" i="66"/>
  <c r="X46" i="66" s="1"/>
  <c r="R18" i="37"/>
  <c r="I30" i="66"/>
  <c r="I46" i="66" s="1"/>
  <c r="L60" i="55"/>
  <c r="T60" i="55"/>
  <c r="AB60" i="55"/>
  <c r="AJ60" i="55"/>
  <c r="B11" i="53"/>
  <c r="C143" i="68"/>
  <c r="M60" i="55"/>
  <c r="AC60" i="55"/>
  <c r="F60" i="55"/>
  <c r="N60" i="55"/>
  <c r="V60" i="55"/>
  <c r="AD60" i="55"/>
  <c r="AL60" i="55"/>
  <c r="K60" i="55"/>
  <c r="S60" i="55"/>
  <c r="AA60" i="55"/>
  <c r="AI60" i="55"/>
  <c r="H60" i="55"/>
  <c r="P60" i="55"/>
  <c r="X60" i="55"/>
  <c r="AF60" i="55"/>
  <c r="AN60" i="55"/>
  <c r="N140" i="55"/>
  <c r="G60" i="55"/>
  <c r="O60" i="55"/>
  <c r="W60" i="55"/>
  <c r="AE60" i="55"/>
  <c r="AM60" i="55"/>
  <c r="H140" i="55"/>
  <c r="P140" i="55"/>
  <c r="X140" i="55"/>
  <c r="AF140" i="55"/>
  <c r="AN140" i="55"/>
  <c r="M140" i="55"/>
  <c r="U140" i="55"/>
  <c r="AC140" i="55"/>
  <c r="AK140" i="55"/>
  <c r="L140" i="55"/>
  <c r="AB140" i="55"/>
  <c r="U60" i="55"/>
  <c r="AK60" i="55"/>
  <c r="I60" i="55"/>
  <c r="Q60" i="55"/>
  <c r="Y60" i="55"/>
  <c r="AG60" i="55"/>
  <c r="J60" i="55"/>
  <c r="R60" i="55"/>
  <c r="Z60" i="55"/>
  <c r="AH60" i="55"/>
  <c r="E62" i="55"/>
  <c r="F140" i="55"/>
  <c r="S140" i="55"/>
  <c r="AI140" i="55"/>
  <c r="J140" i="55"/>
  <c r="R140" i="55"/>
  <c r="Z140" i="55"/>
  <c r="AH140" i="55"/>
  <c r="E61" i="55"/>
  <c r="E143" i="55"/>
  <c r="O176" i="55"/>
  <c r="P176" i="55" s="1"/>
  <c r="Q176" i="55" s="1"/>
  <c r="R176" i="55" s="1"/>
  <c r="S176" i="55" s="1"/>
  <c r="T176" i="55" s="1"/>
  <c r="U176" i="55" s="1"/>
  <c r="V176" i="55" s="1"/>
  <c r="W176" i="55" s="1"/>
  <c r="X176" i="55" s="1"/>
  <c r="Y176" i="55" s="1"/>
  <c r="Z176" i="55" s="1"/>
  <c r="AA176" i="55" s="1"/>
  <c r="AB176" i="55" s="1"/>
  <c r="AC176" i="55" s="1"/>
  <c r="AD176" i="55" s="1"/>
  <c r="AE176" i="55" s="1"/>
  <c r="AF176" i="55" s="1"/>
  <c r="AG176" i="55" s="1"/>
  <c r="AH176" i="55" s="1"/>
  <c r="AI176" i="55" s="1"/>
  <c r="AJ176" i="55" s="1"/>
  <c r="AK176" i="55" s="1"/>
  <c r="AL176" i="55" s="1"/>
  <c r="AM176" i="55" s="1"/>
  <c r="AN176" i="55" s="1"/>
  <c r="O156" i="55"/>
  <c r="P156" i="55" s="1"/>
  <c r="Q156" i="55" s="1"/>
  <c r="R156" i="55" s="1"/>
  <c r="S156" i="55" s="1"/>
  <c r="T156" i="55" s="1"/>
  <c r="U156" i="55" s="1"/>
  <c r="V156" i="55" s="1"/>
  <c r="W156" i="55" s="1"/>
  <c r="X156" i="55" s="1"/>
  <c r="Y156" i="55" s="1"/>
  <c r="Z156" i="55" s="1"/>
  <c r="AA156" i="55" s="1"/>
  <c r="AB156" i="55" s="1"/>
  <c r="AC156" i="55" s="1"/>
  <c r="AD156" i="55" s="1"/>
  <c r="AE156" i="55" s="1"/>
  <c r="AF156" i="55" s="1"/>
  <c r="AG156" i="55" s="1"/>
  <c r="AH156" i="55" s="1"/>
  <c r="AI156" i="55" s="1"/>
  <c r="AJ156" i="55" s="1"/>
  <c r="AK156" i="55" s="1"/>
  <c r="AL156" i="55" s="1"/>
  <c r="AM156" i="55" s="1"/>
  <c r="AN156" i="55" s="1"/>
  <c r="G157" i="55"/>
  <c r="H157" i="55" s="1"/>
  <c r="I157" i="55" s="1"/>
  <c r="J157" i="55" s="1"/>
  <c r="K157" i="55" s="1"/>
  <c r="L157" i="55" s="1"/>
  <c r="M157" i="55" s="1"/>
  <c r="N157" i="55" s="1"/>
  <c r="O157" i="55" s="1"/>
  <c r="P157" i="55" s="1"/>
  <c r="Q157" i="55" s="1"/>
  <c r="R157" i="55" s="1"/>
  <c r="S157" i="55" s="1"/>
  <c r="T157" i="55" s="1"/>
  <c r="U157" i="55" s="1"/>
  <c r="V157" i="55" s="1"/>
  <c r="W157" i="55" s="1"/>
  <c r="X157" i="55" s="1"/>
  <c r="Y157" i="55" s="1"/>
  <c r="Z157" i="55" s="1"/>
  <c r="AA157" i="55" s="1"/>
  <c r="AB157" i="55" s="1"/>
  <c r="AC157" i="55" s="1"/>
  <c r="AD157" i="55" s="1"/>
  <c r="AE157" i="55" s="1"/>
  <c r="AF157" i="55" s="1"/>
  <c r="AG157" i="55" s="1"/>
  <c r="AH157" i="55" s="1"/>
  <c r="AI157" i="55" s="1"/>
  <c r="AJ157" i="55" s="1"/>
  <c r="AK157" i="55" s="1"/>
  <c r="AL157" i="55" s="1"/>
  <c r="AM157" i="55" s="1"/>
  <c r="AN157" i="55" s="1"/>
  <c r="G158" i="55"/>
  <c r="H158" i="55" s="1"/>
  <c r="I158" i="55" s="1"/>
  <c r="J158" i="55" s="1"/>
  <c r="K158" i="55" s="1"/>
  <c r="L158" i="55" s="1"/>
  <c r="M158" i="55" s="1"/>
  <c r="N158" i="55" s="1"/>
  <c r="O158" i="55" s="1"/>
  <c r="P158" i="55" s="1"/>
  <c r="Q158" i="55" s="1"/>
  <c r="R158" i="55" s="1"/>
  <c r="S158" i="55" s="1"/>
  <c r="T158" i="55" s="1"/>
  <c r="U158" i="55" s="1"/>
  <c r="V158" i="55" s="1"/>
  <c r="W158" i="55" s="1"/>
  <c r="X158" i="55" s="1"/>
  <c r="Y158" i="55" s="1"/>
  <c r="Z158" i="55" s="1"/>
  <c r="AA158" i="55" s="1"/>
  <c r="AB158" i="55" s="1"/>
  <c r="AC158" i="55" s="1"/>
  <c r="AD158" i="55" s="1"/>
  <c r="AE158" i="55" s="1"/>
  <c r="AF158" i="55" s="1"/>
  <c r="AG158" i="55" s="1"/>
  <c r="AH158" i="55" s="1"/>
  <c r="AI158" i="55" s="1"/>
  <c r="AJ158" i="55" s="1"/>
  <c r="AK158" i="55" s="1"/>
  <c r="AL158" i="55" s="1"/>
  <c r="AM158" i="55" s="1"/>
  <c r="AN158" i="55" s="1"/>
  <c r="E159" i="55"/>
  <c r="E163" i="55"/>
  <c r="F171" i="55"/>
  <c r="G174" i="55"/>
  <c r="H174" i="55" s="1"/>
  <c r="I174" i="55" s="1"/>
  <c r="J174" i="55" s="1"/>
  <c r="K174" i="55" s="1"/>
  <c r="L174" i="55" s="1"/>
  <c r="M174" i="55" s="1"/>
  <c r="N174" i="55" s="1"/>
  <c r="O174" i="55" s="1"/>
  <c r="P174" i="55" s="1"/>
  <c r="Q174" i="55" s="1"/>
  <c r="R174" i="55" s="1"/>
  <c r="S174" i="55" s="1"/>
  <c r="T174" i="55" s="1"/>
  <c r="U174" i="55" s="1"/>
  <c r="V174" i="55" s="1"/>
  <c r="W174" i="55" s="1"/>
  <c r="X174" i="55" s="1"/>
  <c r="Y174" i="55" s="1"/>
  <c r="Z174" i="55" s="1"/>
  <c r="AA174" i="55" s="1"/>
  <c r="AB174" i="55" s="1"/>
  <c r="AC174" i="55" s="1"/>
  <c r="AD174" i="55" s="1"/>
  <c r="AE174" i="55" s="1"/>
  <c r="AF174" i="55" s="1"/>
  <c r="AG174" i="55" s="1"/>
  <c r="AH174" i="55" s="1"/>
  <c r="AI174" i="55" s="1"/>
  <c r="AJ174" i="55" s="1"/>
  <c r="AK174" i="55" s="1"/>
  <c r="AL174" i="55" s="1"/>
  <c r="AM174" i="55" s="1"/>
  <c r="AN174" i="55" s="1"/>
  <c r="G175" i="55"/>
  <c r="H175" i="55" s="1"/>
  <c r="I175" i="55" s="1"/>
  <c r="J175" i="55" s="1"/>
  <c r="K175" i="55" s="1"/>
  <c r="L175" i="55" s="1"/>
  <c r="M175" i="55" s="1"/>
  <c r="N175" i="55" s="1"/>
  <c r="O175" i="55" s="1"/>
  <c r="P175" i="55" s="1"/>
  <c r="Q175" i="55" s="1"/>
  <c r="R175" i="55" s="1"/>
  <c r="S175" i="55" s="1"/>
  <c r="T175" i="55" s="1"/>
  <c r="U175" i="55" s="1"/>
  <c r="V175" i="55" s="1"/>
  <c r="W175" i="55" s="1"/>
  <c r="X175" i="55" s="1"/>
  <c r="Y175" i="55" s="1"/>
  <c r="Z175" i="55" s="1"/>
  <c r="AA175" i="55" s="1"/>
  <c r="AB175" i="55" s="1"/>
  <c r="AC175" i="55" s="1"/>
  <c r="AD175" i="55" s="1"/>
  <c r="AE175" i="55" s="1"/>
  <c r="AF175" i="55" s="1"/>
  <c r="AG175" i="55" s="1"/>
  <c r="AH175" i="55" s="1"/>
  <c r="AI175" i="55" s="1"/>
  <c r="AJ175" i="55" s="1"/>
  <c r="AK175" i="55" s="1"/>
  <c r="AL175" i="55" s="1"/>
  <c r="AM175" i="55" s="1"/>
  <c r="AN175" i="55" s="1"/>
  <c r="E177" i="55"/>
  <c r="G179" i="55"/>
  <c r="H179" i="55" s="1"/>
  <c r="I179" i="55" s="1"/>
  <c r="J179" i="55" s="1"/>
  <c r="K179" i="55" s="1"/>
  <c r="L179" i="55" s="1"/>
  <c r="M179" i="55" s="1"/>
  <c r="N179" i="55" s="1"/>
  <c r="O179" i="55" s="1"/>
  <c r="P179" i="55" s="1"/>
  <c r="Q179" i="55" s="1"/>
  <c r="R179" i="55" s="1"/>
  <c r="S179" i="55" s="1"/>
  <c r="T179" i="55" s="1"/>
  <c r="U179" i="55" s="1"/>
  <c r="V179" i="55" s="1"/>
  <c r="W179" i="55" s="1"/>
  <c r="X179" i="55" s="1"/>
  <c r="Y179" i="55" s="1"/>
  <c r="Z179" i="55" s="1"/>
  <c r="AA179" i="55" s="1"/>
  <c r="AB179" i="55" s="1"/>
  <c r="AC179" i="55" s="1"/>
  <c r="AD179" i="55" s="1"/>
  <c r="AE179" i="55" s="1"/>
  <c r="AF179" i="55" s="1"/>
  <c r="AG179" i="55" s="1"/>
  <c r="AH179" i="55" s="1"/>
  <c r="AI179" i="55" s="1"/>
  <c r="AJ179" i="55" s="1"/>
  <c r="AK179" i="55" s="1"/>
  <c r="AL179" i="55" s="1"/>
  <c r="AM179" i="55" s="1"/>
  <c r="AN179" i="55" s="1"/>
  <c r="AA135" i="68"/>
  <c r="AB135" i="68" s="1"/>
  <c r="E161" i="55"/>
  <c r="T140" i="55"/>
  <c r="AE139" i="68"/>
  <c r="G178" i="55"/>
  <c r="H178" i="55" s="1"/>
  <c r="I178" i="55" s="1"/>
  <c r="J178" i="55" s="1"/>
  <c r="K178" i="55" s="1"/>
  <c r="L178" i="55" s="1"/>
  <c r="M178" i="55" s="1"/>
  <c r="N178" i="55" s="1"/>
  <c r="O178" i="55" s="1"/>
  <c r="P178" i="55" s="1"/>
  <c r="Q178" i="55" s="1"/>
  <c r="R178" i="55" s="1"/>
  <c r="S178" i="55" s="1"/>
  <c r="T178" i="55" s="1"/>
  <c r="U178" i="55" s="1"/>
  <c r="V178" i="55" s="1"/>
  <c r="W178" i="55" s="1"/>
  <c r="X178" i="55" s="1"/>
  <c r="Y178" i="55" s="1"/>
  <c r="Z178" i="55" s="1"/>
  <c r="AA178" i="55" s="1"/>
  <c r="AB178" i="55" s="1"/>
  <c r="AC178" i="55" s="1"/>
  <c r="AD178" i="55" s="1"/>
  <c r="AE178" i="55" s="1"/>
  <c r="AF178" i="55" s="1"/>
  <c r="AG178" i="55" s="1"/>
  <c r="AH178" i="55" s="1"/>
  <c r="AI178" i="55" s="1"/>
  <c r="AJ178" i="55" s="1"/>
  <c r="AK178" i="55" s="1"/>
  <c r="AL178" i="55" s="1"/>
  <c r="AM178" i="55" s="1"/>
  <c r="AN178" i="55" s="1"/>
  <c r="E146" i="55"/>
  <c r="E149" i="55"/>
  <c r="E154" i="55"/>
  <c r="E142" i="55"/>
  <c r="E145" i="55"/>
  <c r="AH142" i="68"/>
  <c r="AJ140" i="55"/>
  <c r="E155" i="55"/>
  <c r="I172" i="55"/>
  <c r="E173" i="55"/>
  <c r="E104" i="55"/>
  <c r="K140" i="55"/>
  <c r="E162" i="55"/>
  <c r="E69" i="55"/>
  <c r="E141" i="55"/>
  <c r="V140" i="55"/>
  <c r="AD140" i="55"/>
  <c r="AL140" i="55"/>
  <c r="AA140" i="55"/>
  <c r="E160" i="55"/>
  <c r="G140" i="55"/>
  <c r="O140" i="55"/>
  <c r="W140" i="55"/>
  <c r="AE140" i="55"/>
  <c r="AM140" i="55"/>
  <c r="I140" i="55"/>
  <c r="Q140" i="55"/>
  <c r="Y140" i="55"/>
  <c r="AG140" i="55"/>
  <c r="R40" i="24"/>
  <c r="R32" i="24"/>
  <c r="R24" i="24"/>
  <c r="R16" i="24"/>
  <c r="R43" i="24"/>
  <c r="R35" i="24"/>
  <c r="R27" i="24"/>
  <c r="R19" i="24"/>
  <c r="R11" i="24"/>
  <c r="R12" i="24"/>
  <c r="R38" i="24"/>
  <c r="R30" i="24"/>
  <c r="R22" i="24"/>
  <c r="R14" i="24"/>
  <c r="R17" i="24"/>
  <c r="R9" i="24"/>
  <c r="R20" i="24"/>
  <c r="R39" i="24"/>
  <c r="R31" i="24"/>
  <c r="R15" i="24"/>
  <c r="R41" i="24"/>
  <c r="R33" i="24"/>
  <c r="R25" i="24"/>
  <c r="R36" i="24"/>
  <c r="R28" i="24"/>
  <c r="R23" i="24"/>
  <c r="R42" i="24"/>
  <c r="R34" i="24"/>
  <c r="R26" i="24"/>
  <c r="R18" i="24"/>
  <c r="R10" i="24"/>
  <c r="R29" i="24"/>
  <c r="R21" i="24"/>
  <c r="R37" i="24"/>
  <c r="R13" i="24"/>
  <c r="E11" i="33"/>
  <c r="D11" i="52"/>
  <c r="C11" i="41"/>
  <c r="C16" i="40"/>
  <c r="C12" i="39"/>
  <c r="C13" i="19"/>
  <c r="I8" i="24" s="1"/>
  <c r="C18" i="19"/>
  <c r="C8" i="24" s="1"/>
  <c r="E8" i="24" s="1"/>
  <c r="AD11" i="41"/>
  <c r="AD16" i="40"/>
  <c r="AD17" i="40" s="1"/>
  <c r="AD12" i="39"/>
  <c r="AD13" i="39" s="1"/>
  <c r="AD14" i="39" s="1"/>
  <c r="AG73" i="55" s="1"/>
  <c r="N18" i="32"/>
  <c r="O127" i="39" s="1"/>
  <c r="F52" i="55"/>
  <c r="F11" i="41"/>
  <c r="F16" i="40"/>
  <c r="F17" i="40" s="1"/>
  <c r="F12" i="39"/>
  <c r="F13" i="39" s="1"/>
  <c r="F14" i="39" s="1"/>
  <c r="I73" i="55" s="1"/>
  <c r="H18" i="32"/>
  <c r="AF18" i="32"/>
  <c r="AG127" i="39" s="1"/>
  <c r="K9" i="24"/>
  <c r="T11" i="52"/>
  <c r="S11" i="41"/>
  <c r="S16" i="40"/>
  <c r="S17" i="40" s="1"/>
  <c r="S12" i="39"/>
  <c r="S13" i="39" s="1"/>
  <c r="S14" i="39" s="1"/>
  <c r="V73" i="55" s="1"/>
  <c r="F10" i="52"/>
  <c r="N10" i="52"/>
  <c r="M8" i="40"/>
  <c r="M9" i="40" s="1"/>
  <c r="V10" i="52"/>
  <c r="U8" i="40"/>
  <c r="U9" i="40" s="1"/>
  <c r="U10" i="40" s="1"/>
  <c r="AD10" i="52"/>
  <c r="AC8" i="40"/>
  <c r="AC9" i="40" s="1"/>
  <c r="AC10" i="40" s="1"/>
  <c r="AL10" i="52"/>
  <c r="I18" i="32"/>
  <c r="J127" i="39" s="1"/>
  <c r="U12" i="32"/>
  <c r="AJ11" i="52"/>
  <c r="AI11" i="41"/>
  <c r="AI16" i="40"/>
  <c r="AI17" i="40" s="1"/>
  <c r="AI12" i="39"/>
  <c r="AI13" i="39" s="1"/>
  <c r="AI14" i="39" s="1"/>
  <c r="AL73" i="55" s="1"/>
  <c r="I18" i="52"/>
  <c r="H18" i="41"/>
  <c r="L11" i="52"/>
  <c r="K11" i="41"/>
  <c r="K16" i="40"/>
  <c r="K17" i="40" s="1"/>
  <c r="K12" i="39"/>
  <c r="K13" i="39" s="1"/>
  <c r="K14" i="39" s="1"/>
  <c r="N73" i="55" s="1"/>
  <c r="V12" i="32"/>
  <c r="I32" i="35"/>
  <c r="H32" i="35"/>
  <c r="G32" i="35"/>
  <c r="F32" i="35"/>
  <c r="E32" i="35"/>
  <c r="K32" i="35"/>
  <c r="C32" i="35"/>
  <c r="J32" i="35"/>
  <c r="D32" i="35"/>
  <c r="I50" i="32"/>
  <c r="J43" i="41" s="1"/>
  <c r="Q50" i="32"/>
  <c r="R43" i="41" s="1"/>
  <c r="Y50" i="32"/>
  <c r="Z43" i="41" s="1"/>
  <c r="AG50" i="32"/>
  <c r="AH43" i="41" s="1"/>
  <c r="I30" i="35"/>
  <c r="H30" i="35"/>
  <c r="C30" i="35"/>
  <c r="J30" i="35"/>
  <c r="M12" i="32"/>
  <c r="AB11" i="52"/>
  <c r="AA11" i="41"/>
  <c r="AA16" i="40"/>
  <c r="AA17" i="40" s="1"/>
  <c r="AA12" i="39"/>
  <c r="AA13" i="39" s="1"/>
  <c r="AA14" i="39" s="1"/>
  <c r="AD73" i="55" s="1"/>
  <c r="I8" i="40"/>
  <c r="I9" i="40" s="1"/>
  <c r="J11" i="52"/>
  <c r="Q8" i="40"/>
  <c r="Q9" i="40" s="1"/>
  <c r="R11" i="52"/>
  <c r="Y8" i="40"/>
  <c r="Y9" i="40" s="1"/>
  <c r="Z11" i="52"/>
  <c r="AG8" i="40"/>
  <c r="AG9" i="40" s="1"/>
  <c r="AH11" i="52"/>
  <c r="J62" i="41"/>
  <c r="AG26" i="35"/>
  <c r="I26" i="35"/>
  <c r="N26" i="35"/>
  <c r="F26" i="35"/>
  <c r="AA26" i="35"/>
  <c r="S26" i="35"/>
  <c r="J9" i="52"/>
  <c r="R9" i="52"/>
  <c r="Z9" i="52"/>
  <c r="AH9" i="52"/>
  <c r="J28" i="41"/>
  <c r="R28" i="41"/>
  <c r="Z28" i="41"/>
  <c r="AH28" i="41"/>
  <c r="D34" i="41"/>
  <c r="E39" i="41"/>
  <c r="E44" i="40"/>
  <c r="E45" i="40" s="1"/>
  <c r="E36" i="39"/>
  <c r="M39" i="41"/>
  <c r="M44" i="40"/>
  <c r="M45" i="40" s="1"/>
  <c r="M36" i="39"/>
  <c r="U39" i="41"/>
  <c r="U44" i="40"/>
  <c r="U45" i="40" s="1"/>
  <c r="U36" i="39"/>
  <c r="AC39" i="41"/>
  <c r="AC44" i="40"/>
  <c r="AC45" i="40" s="1"/>
  <c r="AC36" i="39"/>
  <c r="AK39" i="41"/>
  <c r="AK44" i="40"/>
  <c r="AK45" i="40" s="1"/>
  <c r="AK36" i="39"/>
  <c r="J40" i="41"/>
  <c r="J48" i="40"/>
  <c r="J49" i="40" s="1"/>
  <c r="J40" i="39"/>
  <c r="J41" i="39" s="1"/>
  <c r="J42" i="39" s="1"/>
  <c r="M80" i="55" s="1"/>
  <c r="R40" i="41"/>
  <c r="R48" i="40"/>
  <c r="R49" i="40" s="1"/>
  <c r="R40" i="39"/>
  <c r="R41" i="39" s="1"/>
  <c r="R42" i="39" s="1"/>
  <c r="U80" i="55" s="1"/>
  <c r="Z40" i="41"/>
  <c r="Z48" i="40"/>
  <c r="Z49" i="40" s="1"/>
  <c r="Z40" i="39"/>
  <c r="Z41" i="39" s="1"/>
  <c r="Z42" i="39" s="1"/>
  <c r="AC80" i="55" s="1"/>
  <c r="AH40" i="41"/>
  <c r="AH48" i="40"/>
  <c r="AH49" i="40" s="1"/>
  <c r="AH40" i="39"/>
  <c r="AH41" i="39" s="1"/>
  <c r="AH42" i="39" s="1"/>
  <c r="AK80" i="55" s="1"/>
  <c r="G41" i="41"/>
  <c r="G52" i="40"/>
  <c r="G53" i="40" s="1"/>
  <c r="G44" i="39"/>
  <c r="G45" i="39" s="1"/>
  <c r="G46" i="39" s="1"/>
  <c r="J81" i="55" s="1"/>
  <c r="O41" i="41"/>
  <c r="O52" i="40"/>
  <c r="O53" i="40" s="1"/>
  <c r="O44" i="39"/>
  <c r="O45" i="39" s="1"/>
  <c r="O46" i="39" s="1"/>
  <c r="R81" i="55" s="1"/>
  <c r="W41" i="41"/>
  <c r="W52" i="40"/>
  <c r="W53" i="40" s="1"/>
  <c r="W44" i="39"/>
  <c r="W45" i="39" s="1"/>
  <c r="W46" i="39" s="1"/>
  <c r="Z81" i="55" s="1"/>
  <c r="AE41" i="41"/>
  <c r="AE52" i="40"/>
  <c r="AE53" i="40" s="1"/>
  <c r="AE44" i="39"/>
  <c r="AE45" i="39" s="1"/>
  <c r="AE46" i="39" s="1"/>
  <c r="AH81" i="55" s="1"/>
  <c r="D42" i="41"/>
  <c r="D48" i="39"/>
  <c r="D49" i="39" s="1"/>
  <c r="D50" i="39" s="1"/>
  <c r="G82" i="55" s="1"/>
  <c r="L42" i="41"/>
  <c r="L48" i="39"/>
  <c r="L49" i="39" s="1"/>
  <c r="L50" i="39" s="1"/>
  <c r="O82" i="55" s="1"/>
  <c r="T42" i="41"/>
  <c r="T48" i="39"/>
  <c r="T49" i="39" s="1"/>
  <c r="T50" i="39" s="1"/>
  <c r="W82" i="55" s="1"/>
  <c r="AB42" i="41"/>
  <c r="AB48" i="39"/>
  <c r="AB49" i="39" s="1"/>
  <c r="AB50" i="39" s="1"/>
  <c r="AE82" i="55" s="1"/>
  <c r="AJ42" i="41"/>
  <c r="AJ48" i="39"/>
  <c r="AJ49" i="39" s="1"/>
  <c r="AJ50" i="39" s="1"/>
  <c r="AM82" i="55" s="1"/>
  <c r="F52" i="39"/>
  <c r="F53" i="39" s="1"/>
  <c r="F54" i="39" s="1"/>
  <c r="I83" i="55" s="1"/>
  <c r="N52" i="39"/>
  <c r="N53" i="39" s="1"/>
  <c r="N54" i="39" s="1"/>
  <c r="Q83" i="55" s="1"/>
  <c r="V52" i="39"/>
  <c r="V53" i="39" s="1"/>
  <c r="V54" i="39" s="1"/>
  <c r="Y83" i="55" s="1"/>
  <c r="AD52" i="39"/>
  <c r="AD53" i="39" s="1"/>
  <c r="AD54" i="39" s="1"/>
  <c r="AG83" i="55" s="1"/>
  <c r="B50" i="32"/>
  <c r="E43" i="33" s="1"/>
  <c r="H56" i="40"/>
  <c r="H57" i="40" s="1"/>
  <c r="H44" i="41"/>
  <c r="H56" i="39"/>
  <c r="P44" i="41"/>
  <c r="P56" i="40"/>
  <c r="P57" i="40" s="1"/>
  <c r="P56" i="39"/>
  <c r="X56" i="40"/>
  <c r="X57" i="40" s="1"/>
  <c r="X44" i="41"/>
  <c r="X56" i="39"/>
  <c r="AF44" i="41"/>
  <c r="AF56" i="40"/>
  <c r="AF57" i="40" s="1"/>
  <c r="AF56" i="39"/>
  <c r="E45" i="41"/>
  <c r="E60" i="40"/>
  <c r="E61" i="40" s="1"/>
  <c r="E60" i="39"/>
  <c r="E61" i="39" s="1"/>
  <c r="E62" i="39" s="1"/>
  <c r="H85" i="55" s="1"/>
  <c r="M45" i="41"/>
  <c r="M60" i="40"/>
  <c r="M61" i="40" s="1"/>
  <c r="M60" i="39"/>
  <c r="M61" i="39" s="1"/>
  <c r="M62" i="39" s="1"/>
  <c r="P85" i="55" s="1"/>
  <c r="U45" i="41"/>
  <c r="U60" i="40"/>
  <c r="U61" i="40" s="1"/>
  <c r="U60" i="39"/>
  <c r="U61" i="39" s="1"/>
  <c r="U62" i="39" s="1"/>
  <c r="X85" i="55" s="1"/>
  <c r="AC45" i="41"/>
  <c r="AC60" i="40"/>
  <c r="AC61" i="40" s="1"/>
  <c r="AC60" i="39"/>
  <c r="AC61" i="39" s="1"/>
  <c r="AC62" i="39" s="1"/>
  <c r="AF85" i="55" s="1"/>
  <c r="AK45" i="41"/>
  <c r="AK60" i="40"/>
  <c r="AK61" i="40" s="1"/>
  <c r="AK60" i="39"/>
  <c r="AK61" i="39" s="1"/>
  <c r="AK62" i="39" s="1"/>
  <c r="AN85" i="55" s="1"/>
  <c r="K30" i="52"/>
  <c r="J46" i="41"/>
  <c r="J64" i="40"/>
  <c r="J65" i="40" s="1"/>
  <c r="J66" i="40" s="1"/>
  <c r="M120" i="55" s="1"/>
  <c r="J64" i="39"/>
  <c r="J65" i="39" s="1"/>
  <c r="J66" i="39" s="1"/>
  <c r="M86" i="55" s="1"/>
  <c r="S30" i="52"/>
  <c r="R46" i="41"/>
  <c r="R64" i="40"/>
  <c r="R65" i="40" s="1"/>
  <c r="R66" i="40" s="1"/>
  <c r="U120" i="55" s="1"/>
  <c r="R64" i="39"/>
  <c r="R65" i="39" s="1"/>
  <c r="R66" i="39" s="1"/>
  <c r="U86" i="55" s="1"/>
  <c r="AA30" i="52"/>
  <c r="Z46" i="41"/>
  <c r="Z64" i="40"/>
  <c r="Z65" i="40" s="1"/>
  <c r="Z66" i="40" s="1"/>
  <c r="AC120" i="55" s="1"/>
  <c r="Z64" i="39"/>
  <c r="Z65" i="39" s="1"/>
  <c r="Z66" i="39" s="1"/>
  <c r="AC86" i="55" s="1"/>
  <c r="AI30" i="52"/>
  <c r="AH46" i="41"/>
  <c r="AH64" i="40"/>
  <c r="AH65" i="40" s="1"/>
  <c r="AH66" i="40" s="1"/>
  <c r="AK120" i="55" s="1"/>
  <c r="AH64" i="39"/>
  <c r="AH65" i="39" s="1"/>
  <c r="AH66" i="39" s="1"/>
  <c r="AK86" i="55" s="1"/>
  <c r="G48" i="41"/>
  <c r="G68" i="40"/>
  <c r="G69" i="40" s="1"/>
  <c r="G68" i="39"/>
  <c r="G69" i="39" s="1"/>
  <c r="G70" i="39" s="1"/>
  <c r="J87" i="55" s="1"/>
  <c r="P32" i="52"/>
  <c r="O48" i="41"/>
  <c r="O68" i="40"/>
  <c r="O69" i="40" s="1"/>
  <c r="O68" i="39"/>
  <c r="O69" i="39" s="1"/>
  <c r="O70" i="39" s="1"/>
  <c r="R87" i="55" s="1"/>
  <c r="W48" i="41"/>
  <c r="X32" i="52"/>
  <c r="W68" i="40"/>
  <c r="W69" i="40" s="1"/>
  <c r="W68" i="39"/>
  <c r="W69" i="39" s="1"/>
  <c r="W70" i="39" s="1"/>
  <c r="Z87" i="55" s="1"/>
  <c r="AE48" i="41"/>
  <c r="AE68" i="40"/>
  <c r="AE69" i="40" s="1"/>
  <c r="AE68" i="39"/>
  <c r="AE69" i="39" s="1"/>
  <c r="AE70" i="39" s="1"/>
  <c r="AH87" i="55" s="1"/>
  <c r="D49" i="41"/>
  <c r="E33" i="52"/>
  <c r="D72" i="40"/>
  <c r="D73" i="40" s="1"/>
  <c r="D72" i="39"/>
  <c r="D73" i="39" s="1"/>
  <c r="D74" i="39" s="1"/>
  <c r="G88" i="55" s="1"/>
  <c r="M33" i="52"/>
  <c r="L49" i="41"/>
  <c r="L72" i="40"/>
  <c r="L73" i="40" s="1"/>
  <c r="L72" i="39"/>
  <c r="L73" i="39" s="1"/>
  <c r="L74" i="39" s="1"/>
  <c r="O88" i="55" s="1"/>
  <c r="T49" i="41"/>
  <c r="U33" i="52"/>
  <c r="T72" i="40"/>
  <c r="T73" i="40" s="1"/>
  <c r="T72" i="39"/>
  <c r="T73" i="39" s="1"/>
  <c r="T74" i="39" s="1"/>
  <c r="W88" i="55" s="1"/>
  <c r="AC33" i="52"/>
  <c r="AB49" i="41"/>
  <c r="AB72" i="40"/>
  <c r="AB73" i="40" s="1"/>
  <c r="AB72" i="39"/>
  <c r="AB73" i="39" s="1"/>
  <c r="AB74" i="39" s="1"/>
  <c r="AE88" i="55" s="1"/>
  <c r="AJ49" i="41"/>
  <c r="AK33" i="52"/>
  <c r="AJ72" i="40"/>
  <c r="AJ73" i="40" s="1"/>
  <c r="AJ72" i="39"/>
  <c r="AJ73" i="39" s="1"/>
  <c r="AJ74" i="39" s="1"/>
  <c r="AM88" i="55" s="1"/>
  <c r="I50" i="41"/>
  <c r="I76" i="40"/>
  <c r="I77" i="40" s="1"/>
  <c r="I78" i="40" s="1"/>
  <c r="L123" i="55" s="1"/>
  <c r="I76" i="39"/>
  <c r="I77" i="39" s="1"/>
  <c r="I78" i="39" s="1"/>
  <c r="L89" i="55" s="1"/>
  <c r="Q50" i="41"/>
  <c r="Q76" i="40"/>
  <c r="Q77" i="40" s="1"/>
  <c r="Q78" i="40" s="1"/>
  <c r="T123" i="55" s="1"/>
  <c r="Q76" i="39"/>
  <c r="Q77" i="39" s="1"/>
  <c r="Q78" i="39" s="1"/>
  <c r="T89" i="55" s="1"/>
  <c r="Y50" i="41"/>
  <c r="Y76" i="40"/>
  <c r="Y77" i="40" s="1"/>
  <c r="Y78" i="40" s="1"/>
  <c r="AB123" i="55" s="1"/>
  <c r="Y76" i="39"/>
  <c r="Y77" i="39" s="1"/>
  <c r="Y78" i="39" s="1"/>
  <c r="AB89" i="55" s="1"/>
  <c r="AG50" i="41"/>
  <c r="AG76" i="40"/>
  <c r="AG77" i="40" s="1"/>
  <c r="AG78" i="40" s="1"/>
  <c r="AJ123" i="55" s="1"/>
  <c r="AG76" i="39"/>
  <c r="AG77" i="39" s="1"/>
  <c r="AG78" i="39" s="1"/>
  <c r="AJ89" i="55" s="1"/>
  <c r="D36" i="52"/>
  <c r="C55" i="41"/>
  <c r="E59" i="33"/>
  <c r="C84" i="40"/>
  <c r="C92" i="39"/>
  <c r="K55" i="41"/>
  <c r="L36" i="52"/>
  <c r="K84" i="40"/>
  <c r="K85" i="40" s="1"/>
  <c r="K92" i="39"/>
  <c r="K93" i="39" s="1"/>
  <c r="K94" i="39" s="1"/>
  <c r="N90" i="55" s="1"/>
  <c r="S55" i="41"/>
  <c r="T36" i="52"/>
  <c r="S84" i="40"/>
  <c r="S85" i="40" s="1"/>
  <c r="S92" i="39"/>
  <c r="S93" i="39" s="1"/>
  <c r="S94" i="39" s="1"/>
  <c r="V90" i="55" s="1"/>
  <c r="AA55" i="41"/>
  <c r="AB36" i="52"/>
  <c r="AA84" i="40"/>
  <c r="AA85" i="40" s="1"/>
  <c r="AA92" i="39"/>
  <c r="AA93" i="39" s="1"/>
  <c r="AA94" i="39" s="1"/>
  <c r="AD90" i="55" s="1"/>
  <c r="AI55" i="41"/>
  <c r="AJ36" i="52"/>
  <c r="AI84" i="40"/>
  <c r="AI85" i="40" s="1"/>
  <c r="AI92" i="39"/>
  <c r="AI93" i="39" s="1"/>
  <c r="AI94" i="39" s="1"/>
  <c r="AL90" i="55" s="1"/>
  <c r="H56" i="41"/>
  <c r="H88" i="40"/>
  <c r="H89" i="40" s="1"/>
  <c r="H90" i="40" s="1"/>
  <c r="K125" i="55" s="1"/>
  <c r="H96" i="39"/>
  <c r="H97" i="39" s="1"/>
  <c r="H98" i="39" s="1"/>
  <c r="K91" i="55" s="1"/>
  <c r="P88" i="40"/>
  <c r="P89" i="40" s="1"/>
  <c r="P90" i="40" s="1"/>
  <c r="S125" i="55" s="1"/>
  <c r="P56" i="41"/>
  <c r="P96" i="39"/>
  <c r="P97" i="39" s="1"/>
  <c r="P98" i="39" s="1"/>
  <c r="S91" i="55" s="1"/>
  <c r="X88" i="40"/>
  <c r="X89" i="40" s="1"/>
  <c r="X90" i="40" s="1"/>
  <c r="AA125" i="55" s="1"/>
  <c r="X56" i="41"/>
  <c r="X96" i="39"/>
  <c r="X97" i="39" s="1"/>
  <c r="X98" i="39" s="1"/>
  <c r="AA91" i="55" s="1"/>
  <c r="AF56" i="41"/>
  <c r="AF88" i="40"/>
  <c r="AF89" i="40" s="1"/>
  <c r="AF90" i="40" s="1"/>
  <c r="AI125" i="55" s="1"/>
  <c r="AF96" i="39"/>
  <c r="AF97" i="39" s="1"/>
  <c r="AF98" i="39" s="1"/>
  <c r="AI91" i="55" s="1"/>
  <c r="E57" i="41"/>
  <c r="E100" i="39"/>
  <c r="E101" i="39" s="1"/>
  <c r="E102" i="39" s="1"/>
  <c r="H92" i="55" s="1"/>
  <c r="M57" i="41"/>
  <c r="M100" i="39"/>
  <c r="M101" i="39" s="1"/>
  <c r="M102" i="39" s="1"/>
  <c r="P92" i="55" s="1"/>
  <c r="U57" i="41"/>
  <c r="U100" i="39"/>
  <c r="U101" i="39" s="1"/>
  <c r="U102" i="39" s="1"/>
  <c r="X92" i="55" s="1"/>
  <c r="AC57" i="41"/>
  <c r="AC100" i="39"/>
  <c r="AC101" i="39" s="1"/>
  <c r="AC102" i="39" s="1"/>
  <c r="AF92" i="55" s="1"/>
  <c r="AK57" i="41"/>
  <c r="AK100" i="39"/>
  <c r="AK101" i="39" s="1"/>
  <c r="AK102" i="39" s="1"/>
  <c r="AN92" i="55" s="1"/>
  <c r="G58" i="41"/>
  <c r="G104" i="39"/>
  <c r="G105" i="39" s="1"/>
  <c r="G106" i="39" s="1"/>
  <c r="J93" i="55" s="1"/>
  <c r="O58" i="41"/>
  <c r="O104" i="39"/>
  <c r="O105" i="39" s="1"/>
  <c r="O106" i="39" s="1"/>
  <c r="R93" i="55" s="1"/>
  <c r="W58" i="41"/>
  <c r="W104" i="39"/>
  <c r="W105" i="39" s="1"/>
  <c r="W106" i="39" s="1"/>
  <c r="Z93" i="55" s="1"/>
  <c r="AE58" i="41"/>
  <c r="AE104" i="39"/>
  <c r="AE105" i="39" s="1"/>
  <c r="AE106" i="39" s="1"/>
  <c r="AH93" i="55" s="1"/>
  <c r="I59" i="41"/>
  <c r="I108" i="39"/>
  <c r="I109" i="39" s="1"/>
  <c r="I110" i="39" s="1"/>
  <c r="L94" i="55" s="1"/>
  <c r="Q59" i="41"/>
  <c r="Q108" i="39"/>
  <c r="Q109" i="39" s="1"/>
  <c r="Q110" i="39" s="1"/>
  <c r="T94" i="55" s="1"/>
  <c r="Y59" i="41"/>
  <c r="Y108" i="39"/>
  <c r="Y109" i="39" s="1"/>
  <c r="Y110" i="39" s="1"/>
  <c r="AB94" i="55" s="1"/>
  <c r="AG59" i="41"/>
  <c r="AG108" i="39"/>
  <c r="AG109" i="39" s="1"/>
  <c r="AG110" i="39" s="1"/>
  <c r="AJ94" i="55" s="1"/>
  <c r="P10" i="30"/>
  <c r="X10" i="30"/>
  <c r="W16" i="36"/>
  <c r="AE16" i="36"/>
  <c r="AM16" i="36"/>
  <c r="E19" i="35"/>
  <c r="U25" i="35"/>
  <c r="M25" i="35"/>
  <c r="Z25" i="35"/>
  <c r="R25" i="35"/>
  <c r="W25" i="35"/>
  <c r="O25" i="35"/>
  <c r="G31" i="35"/>
  <c r="AG14" i="45"/>
  <c r="AU41" i="45"/>
  <c r="AU60" i="45"/>
  <c r="K8" i="40"/>
  <c r="K9" i="40" s="1"/>
  <c r="S8" i="40"/>
  <c r="S9" i="40" s="1"/>
  <c r="AA8" i="40"/>
  <c r="AA9" i="40" s="1"/>
  <c r="AI8" i="40"/>
  <c r="AI9" i="40" s="1"/>
  <c r="K9" i="52"/>
  <c r="S9" i="52"/>
  <c r="AA9" i="52"/>
  <c r="AI9" i="52"/>
  <c r="K12" i="32"/>
  <c r="AA12" i="32"/>
  <c r="AI12" i="32"/>
  <c r="W11" i="52"/>
  <c r="C28" i="41"/>
  <c r="K28" i="41"/>
  <c r="S28" i="41"/>
  <c r="AA28" i="41"/>
  <c r="AI28" i="41"/>
  <c r="E34" i="41"/>
  <c r="I39" i="32"/>
  <c r="J35" i="41" s="1"/>
  <c r="Q39" i="32"/>
  <c r="R35" i="41" s="1"/>
  <c r="Y39" i="32"/>
  <c r="Z35" i="41" s="1"/>
  <c r="AG39" i="32"/>
  <c r="AH35" i="41" s="1"/>
  <c r="F39" i="41"/>
  <c r="F44" i="40"/>
  <c r="F45" i="40" s="1"/>
  <c r="F36" i="39"/>
  <c r="N39" i="41"/>
  <c r="N44" i="40"/>
  <c r="N45" i="40" s="1"/>
  <c r="N36" i="39"/>
  <c r="V39" i="41"/>
  <c r="V44" i="40"/>
  <c r="V45" i="40" s="1"/>
  <c r="V36" i="39"/>
  <c r="AD39" i="41"/>
  <c r="AD44" i="40"/>
  <c r="AD45" i="40" s="1"/>
  <c r="AD36" i="39"/>
  <c r="E38" i="33"/>
  <c r="F38" i="33" s="1"/>
  <c r="G36" i="55" s="1"/>
  <c r="C40" i="41"/>
  <c r="C48" i="40"/>
  <c r="C49" i="40" s="1"/>
  <c r="C40" i="39"/>
  <c r="K40" i="41"/>
  <c r="K48" i="40"/>
  <c r="K49" i="40" s="1"/>
  <c r="K40" i="39"/>
  <c r="K41" i="39" s="1"/>
  <c r="K42" i="39" s="1"/>
  <c r="N80" i="55" s="1"/>
  <c r="S40" i="41"/>
  <c r="S48" i="40"/>
  <c r="S49" i="40" s="1"/>
  <c r="S40" i="39"/>
  <c r="S41" i="39" s="1"/>
  <c r="S42" i="39" s="1"/>
  <c r="V80" i="55" s="1"/>
  <c r="AA40" i="41"/>
  <c r="AA48" i="40"/>
  <c r="AA49" i="40" s="1"/>
  <c r="AA40" i="39"/>
  <c r="AA41" i="39" s="1"/>
  <c r="AA42" i="39" s="1"/>
  <c r="AD80" i="55" s="1"/>
  <c r="AI40" i="41"/>
  <c r="AI48" i="40"/>
  <c r="AI49" i="40" s="1"/>
  <c r="AI40" i="39"/>
  <c r="AI41" i="39" s="1"/>
  <c r="AI42" i="39" s="1"/>
  <c r="AL80" i="55" s="1"/>
  <c r="H41" i="41"/>
  <c r="H52" i="40"/>
  <c r="H53" i="40" s="1"/>
  <c r="H44" i="39"/>
  <c r="H45" i="39" s="1"/>
  <c r="H46" i="39" s="1"/>
  <c r="K81" i="55" s="1"/>
  <c r="P41" i="41"/>
  <c r="P52" i="40"/>
  <c r="P53" i="40" s="1"/>
  <c r="P44" i="39"/>
  <c r="P45" i="39" s="1"/>
  <c r="P46" i="39" s="1"/>
  <c r="S81" i="55" s="1"/>
  <c r="X41" i="41"/>
  <c r="X52" i="40"/>
  <c r="X53" i="40" s="1"/>
  <c r="X44" i="39"/>
  <c r="X45" i="39" s="1"/>
  <c r="X46" i="39" s="1"/>
  <c r="AA81" i="55" s="1"/>
  <c r="AF41" i="41"/>
  <c r="AF52" i="40"/>
  <c r="AF53" i="40" s="1"/>
  <c r="AF44" i="39"/>
  <c r="AF45" i="39" s="1"/>
  <c r="AF46" i="39" s="1"/>
  <c r="AI81" i="55" s="1"/>
  <c r="E48" i="39"/>
  <c r="E49" i="39" s="1"/>
  <c r="E50" i="39" s="1"/>
  <c r="H82" i="55" s="1"/>
  <c r="M48" i="39"/>
  <c r="M49" i="39" s="1"/>
  <c r="M50" i="39" s="1"/>
  <c r="P82" i="55" s="1"/>
  <c r="U48" i="39"/>
  <c r="U49" i="39" s="1"/>
  <c r="U50" i="39" s="1"/>
  <c r="X82" i="55" s="1"/>
  <c r="AC48" i="39"/>
  <c r="AC49" i="39" s="1"/>
  <c r="AC50" i="39" s="1"/>
  <c r="AF82" i="55" s="1"/>
  <c r="AK48" i="39"/>
  <c r="AK49" i="39" s="1"/>
  <c r="AK50" i="39" s="1"/>
  <c r="AN82" i="55" s="1"/>
  <c r="G52" i="39"/>
  <c r="G53" i="39" s="1"/>
  <c r="G54" i="39" s="1"/>
  <c r="J83" i="55" s="1"/>
  <c r="O52" i="39"/>
  <c r="O53" i="39" s="1"/>
  <c r="O54" i="39" s="1"/>
  <c r="R83" i="55" s="1"/>
  <c r="W52" i="39"/>
  <c r="W53" i="39" s="1"/>
  <c r="W54" i="39" s="1"/>
  <c r="Z83" i="55" s="1"/>
  <c r="AE52" i="39"/>
  <c r="AE53" i="39" s="1"/>
  <c r="AE54" i="39" s="1"/>
  <c r="AH83" i="55" s="1"/>
  <c r="C50" i="32"/>
  <c r="I44" i="41"/>
  <c r="I56" i="40"/>
  <c r="I57" i="40" s="1"/>
  <c r="I56" i="39"/>
  <c r="R28" i="52"/>
  <c r="Q44" i="41"/>
  <c r="Q56" i="40"/>
  <c r="Q57" i="40" s="1"/>
  <c r="Q56" i="39"/>
  <c r="Y44" i="41"/>
  <c r="Z28" i="52"/>
  <c r="Y56" i="40"/>
  <c r="Y57" i="40" s="1"/>
  <c r="Y56" i="39"/>
  <c r="AG44" i="41"/>
  <c r="AG56" i="40"/>
  <c r="AG57" i="40" s="1"/>
  <c r="AG56" i="39"/>
  <c r="F60" i="40"/>
  <c r="F61" i="40" s="1"/>
  <c r="F45" i="41"/>
  <c r="F60" i="39"/>
  <c r="F61" i="39" s="1"/>
  <c r="F62" i="39" s="1"/>
  <c r="I85" i="55" s="1"/>
  <c r="N60" i="40"/>
  <c r="N61" i="40" s="1"/>
  <c r="N45" i="41"/>
  <c r="N60" i="39"/>
  <c r="N61" i="39" s="1"/>
  <c r="N62" i="39" s="1"/>
  <c r="Q85" i="55" s="1"/>
  <c r="V60" i="40"/>
  <c r="V61" i="40" s="1"/>
  <c r="V45" i="41"/>
  <c r="V60" i="39"/>
  <c r="V61" i="39" s="1"/>
  <c r="V62" i="39" s="1"/>
  <c r="Y85" i="55" s="1"/>
  <c r="AD60" i="40"/>
  <c r="AD61" i="40" s="1"/>
  <c r="AD45" i="41"/>
  <c r="AD60" i="39"/>
  <c r="AD61" i="39" s="1"/>
  <c r="AD62" i="39" s="1"/>
  <c r="AG85" i="55" s="1"/>
  <c r="D30" i="52"/>
  <c r="E47" i="33"/>
  <c r="F47" i="33" s="1"/>
  <c r="C46" i="41"/>
  <c r="C64" i="40"/>
  <c r="C64" i="39"/>
  <c r="L30" i="52"/>
  <c r="K46" i="41"/>
  <c r="K64" i="40"/>
  <c r="K65" i="40" s="1"/>
  <c r="K66" i="40" s="1"/>
  <c r="N120" i="55" s="1"/>
  <c r="K64" i="39"/>
  <c r="K65" i="39" s="1"/>
  <c r="K66" i="39" s="1"/>
  <c r="N86" i="55" s="1"/>
  <c r="S46" i="41"/>
  <c r="T30" i="52"/>
  <c r="S64" i="40"/>
  <c r="S65" i="40" s="1"/>
  <c r="S66" i="40" s="1"/>
  <c r="V120" i="55" s="1"/>
  <c r="S64" i="39"/>
  <c r="S65" i="39" s="1"/>
  <c r="S66" i="39" s="1"/>
  <c r="V86" i="55" s="1"/>
  <c r="AB30" i="52"/>
  <c r="AA46" i="41"/>
  <c r="AA64" i="40"/>
  <c r="AA65" i="40" s="1"/>
  <c r="AA66" i="40" s="1"/>
  <c r="AD120" i="55" s="1"/>
  <c r="AA64" i="39"/>
  <c r="AA65" i="39" s="1"/>
  <c r="AA66" i="39" s="1"/>
  <c r="AD86" i="55" s="1"/>
  <c r="AI46" i="41"/>
  <c r="AJ30" i="52"/>
  <c r="AI64" i="40"/>
  <c r="AI65" i="40" s="1"/>
  <c r="AI66" i="40" s="1"/>
  <c r="AL120" i="55" s="1"/>
  <c r="AI64" i="39"/>
  <c r="AI65" i="39" s="1"/>
  <c r="AI66" i="39" s="1"/>
  <c r="AL86" i="55" s="1"/>
  <c r="H48" i="41"/>
  <c r="H68" i="40"/>
  <c r="H69" i="40" s="1"/>
  <c r="H68" i="39"/>
  <c r="H69" i="39" s="1"/>
  <c r="H70" i="39" s="1"/>
  <c r="K87" i="55" s="1"/>
  <c r="P48" i="41"/>
  <c r="P68" i="40"/>
  <c r="P69" i="40" s="1"/>
  <c r="P68" i="39"/>
  <c r="P69" i="39" s="1"/>
  <c r="P70" i="39" s="1"/>
  <c r="S87" i="55" s="1"/>
  <c r="X48" i="41"/>
  <c r="X68" i="40"/>
  <c r="X69" i="40" s="1"/>
  <c r="X68" i="39"/>
  <c r="X69" i="39" s="1"/>
  <c r="X70" i="39" s="1"/>
  <c r="AA87" i="55" s="1"/>
  <c r="AF48" i="41"/>
  <c r="AF68" i="40"/>
  <c r="AF69" i="40" s="1"/>
  <c r="AF68" i="39"/>
  <c r="AF69" i="39" s="1"/>
  <c r="AF70" i="39" s="1"/>
  <c r="AI87" i="55" s="1"/>
  <c r="E49" i="41"/>
  <c r="E72" i="40"/>
  <c r="E73" i="40" s="1"/>
  <c r="E72" i="39"/>
  <c r="E73" i="39" s="1"/>
  <c r="E74" i="39" s="1"/>
  <c r="H88" i="55" s="1"/>
  <c r="M49" i="41"/>
  <c r="M72" i="40"/>
  <c r="M73" i="40" s="1"/>
  <c r="M72" i="39"/>
  <c r="M73" i="39" s="1"/>
  <c r="M74" i="39" s="1"/>
  <c r="P88" i="55" s="1"/>
  <c r="U49" i="41"/>
  <c r="U72" i="40"/>
  <c r="U73" i="40" s="1"/>
  <c r="U72" i="39"/>
  <c r="U73" i="39" s="1"/>
  <c r="U74" i="39" s="1"/>
  <c r="X88" i="55" s="1"/>
  <c r="AC49" i="41"/>
  <c r="AC72" i="40"/>
  <c r="AC73" i="40" s="1"/>
  <c r="AC72" i="39"/>
  <c r="AC73" i="39" s="1"/>
  <c r="AC74" i="39" s="1"/>
  <c r="AF88" i="55" s="1"/>
  <c r="AK49" i="41"/>
  <c r="AK72" i="40"/>
  <c r="AK73" i="40" s="1"/>
  <c r="AK72" i="39"/>
  <c r="AK73" i="39" s="1"/>
  <c r="AK74" i="39" s="1"/>
  <c r="AN88" i="55" s="1"/>
  <c r="K34" i="52"/>
  <c r="J50" i="41"/>
  <c r="J76" i="40"/>
  <c r="J77" i="40" s="1"/>
  <c r="J78" i="40" s="1"/>
  <c r="M123" i="55" s="1"/>
  <c r="J76" i="39"/>
  <c r="J77" i="39" s="1"/>
  <c r="J78" i="39" s="1"/>
  <c r="M89" i="55" s="1"/>
  <c r="S34" i="52"/>
  <c r="R50" i="41"/>
  <c r="R76" i="40"/>
  <c r="R77" i="40" s="1"/>
  <c r="R78" i="40" s="1"/>
  <c r="U123" i="55" s="1"/>
  <c r="R76" i="39"/>
  <c r="R77" i="39" s="1"/>
  <c r="R78" i="39" s="1"/>
  <c r="U89" i="55" s="1"/>
  <c r="AA34" i="52"/>
  <c r="Z50" i="41"/>
  <c r="Z76" i="40"/>
  <c r="Z77" i="40" s="1"/>
  <c r="Z78" i="40" s="1"/>
  <c r="AC123" i="55" s="1"/>
  <c r="Z76" i="39"/>
  <c r="Z77" i="39" s="1"/>
  <c r="Z78" i="39" s="1"/>
  <c r="AC89" i="55" s="1"/>
  <c r="AI34" i="52"/>
  <c r="AH50" i="41"/>
  <c r="AH76" i="40"/>
  <c r="AH77" i="40" s="1"/>
  <c r="AH78" i="40" s="1"/>
  <c r="AK123" i="55" s="1"/>
  <c r="AH76" i="39"/>
  <c r="AH77" i="39" s="1"/>
  <c r="AH78" i="39" s="1"/>
  <c r="AK89" i="55" s="1"/>
  <c r="E36" i="52"/>
  <c r="D55" i="41"/>
  <c r="D84" i="40"/>
  <c r="D85" i="40" s="1"/>
  <c r="D92" i="39"/>
  <c r="D93" i="39" s="1"/>
  <c r="D94" i="39" s="1"/>
  <c r="G90" i="55" s="1"/>
  <c r="M36" i="52"/>
  <c r="L55" i="41"/>
  <c r="L84" i="40"/>
  <c r="L85" i="40" s="1"/>
  <c r="L92" i="39"/>
  <c r="L93" i="39" s="1"/>
  <c r="L94" i="39" s="1"/>
  <c r="O90" i="55" s="1"/>
  <c r="U36" i="52"/>
  <c r="T84" i="40"/>
  <c r="T85" i="40" s="1"/>
  <c r="T55" i="41"/>
  <c r="T92" i="39"/>
  <c r="T93" i="39" s="1"/>
  <c r="T94" i="39" s="1"/>
  <c r="W90" i="55" s="1"/>
  <c r="AC36" i="52"/>
  <c r="AB55" i="41"/>
  <c r="AB84" i="40"/>
  <c r="AB85" i="40" s="1"/>
  <c r="AB92" i="39"/>
  <c r="AB93" i="39" s="1"/>
  <c r="AB94" i="39" s="1"/>
  <c r="AE90" i="55" s="1"/>
  <c r="AK36" i="52"/>
  <c r="AJ55" i="41"/>
  <c r="AJ84" i="40"/>
  <c r="AJ85" i="40" s="1"/>
  <c r="AJ92" i="39"/>
  <c r="AJ93" i="39" s="1"/>
  <c r="AJ94" i="39" s="1"/>
  <c r="AM90" i="55" s="1"/>
  <c r="I56" i="41"/>
  <c r="J37" i="52"/>
  <c r="I88" i="40"/>
  <c r="I89" i="40" s="1"/>
  <c r="I90" i="40" s="1"/>
  <c r="L125" i="55" s="1"/>
  <c r="I96" i="39"/>
  <c r="I97" i="39" s="1"/>
  <c r="I98" i="39" s="1"/>
  <c r="L91" i="55" s="1"/>
  <c r="R37" i="52"/>
  <c r="Q56" i="41"/>
  <c r="Q88" i="40"/>
  <c r="Q89" i="40" s="1"/>
  <c r="Q90" i="40" s="1"/>
  <c r="T125" i="55" s="1"/>
  <c r="Q96" i="39"/>
  <c r="Q97" i="39" s="1"/>
  <c r="Q98" i="39" s="1"/>
  <c r="T91" i="55" s="1"/>
  <c r="Y56" i="41"/>
  <c r="Y88" i="40"/>
  <c r="Y89" i="40" s="1"/>
  <c r="Y90" i="40" s="1"/>
  <c r="AB125" i="55" s="1"/>
  <c r="Y96" i="39"/>
  <c r="Y97" i="39" s="1"/>
  <c r="Y98" i="39" s="1"/>
  <c r="AB91" i="55" s="1"/>
  <c r="AG56" i="41"/>
  <c r="AG88" i="40"/>
  <c r="AG89" i="40" s="1"/>
  <c r="AG90" i="40" s="1"/>
  <c r="AJ125" i="55" s="1"/>
  <c r="AG96" i="39"/>
  <c r="AG97" i="39" s="1"/>
  <c r="AG98" i="39" s="1"/>
  <c r="AJ91" i="55" s="1"/>
  <c r="F100" i="39"/>
  <c r="F101" i="39" s="1"/>
  <c r="F102" i="39" s="1"/>
  <c r="I92" i="55" s="1"/>
  <c r="N100" i="39"/>
  <c r="N101" i="39" s="1"/>
  <c r="N102" i="39" s="1"/>
  <c r="Q92" i="55" s="1"/>
  <c r="V100" i="39"/>
  <c r="V101" i="39" s="1"/>
  <c r="V102" i="39" s="1"/>
  <c r="Y92" i="55" s="1"/>
  <c r="AD100" i="39"/>
  <c r="AD101" i="39" s="1"/>
  <c r="AD102" i="39" s="1"/>
  <c r="AG92" i="55" s="1"/>
  <c r="H104" i="39"/>
  <c r="H105" i="39" s="1"/>
  <c r="H106" i="39" s="1"/>
  <c r="K93" i="55" s="1"/>
  <c r="P104" i="39"/>
  <c r="P105" i="39" s="1"/>
  <c r="P106" i="39" s="1"/>
  <c r="S93" i="55" s="1"/>
  <c r="X104" i="39"/>
  <c r="X105" i="39" s="1"/>
  <c r="X106" i="39" s="1"/>
  <c r="AA93" i="55" s="1"/>
  <c r="AF104" i="39"/>
  <c r="AF105" i="39" s="1"/>
  <c r="AF106" i="39" s="1"/>
  <c r="AI93" i="55" s="1"/>
  <c r="J108" i="39"/>
  <c r="J109" i="39" s="1"/>
  <c r="J110" i="39" s="1"/>
  <c r="M94" i="55" s="1"/>
  <c r="R108" i="39"/>
  <c r="R109" i="39" s="1"/>
  <c r="R110" i="39" s="1"/>
  <c r="U94" i="55" s="1"/>
  <c r="Z108" i="39"/>
  <c r="Z109" i="39" s="1"/>
  <c r="Z110" i="39" s="1"/>
  <c r="AC94" i="55" s="1"/>
  <c r="AH108" i="39"/>
  <c r="AH109" i="39" s="1"/>
  <c r="AH110" i="39" s="1"/>
  <c r="AK94" i="55" s="1"/>
  <c r="J13" i="30"/>
  <c r="R13" i="30"/>
  <c r="Z13" i="30"/>
  <c r="AN16" i="36"/>
  <c r="I85" i="30"/>
  <c r="I86" i="30" s="1"/>
  <c r="B48" i="44"/>
  <c r="B56" i="35" s="1"/>
  <c r="AX61" i="45"/>
  <c r="AE10" i="52"/>
  <c r="AE11" i="41"/>
  <c r="AE16" i="40"/>
  <c r="AE17" i="40" s="1"/>
  <c r="AE12" i="39"/>
  <c r="AE13" i="39" s="1"/>
  <c r="AE14" i="39" s="1"/>
  <c r="AH73" i="55" s="1"/>
  <c r="D28" i="41"/>
  <c r="L28" i="41"/>
  <c r="T28" i="41"/>
  <c r="AB28" i="41"/>
  <c r="AJ28" i="41"/>
  <c r="E25" i="33"/>
  <c r="F25" i="33" s="1"/>
  <c r="G22" i="55" s="1"/>
  <c r="G39" i="41"/>
  <c r="G44" i="40"/>
  <c r="G45" i="40" s="1"/>
  <c r="G36" i="39"/>
  <c r="O39" i="41"/>
  <c r="O44" i="40"/>
  <c r="O45" i="40" s="1"/>
  <c r="O36" i="39"/>
  <c r="W39" i="41"/>
  <c r="W44" i="40"/>
  <c r="W45" i="40" s="1"/>
  <c r="W36" i="39"/>
  <c r="AE39" i="41"/>
  <c r="AE44" i="40"/>
  <c r="AE45" i="40" s="1"/>
  <c r="AE36" i="39"/>
  <c r="D40" i="41"/>
  <c r="D48" i="40"/>
  <c r="D49" i="40" s="1"/>
  <c r="D40" i="39"/>
  <c r="D41" i="39" s="1"/>
  <c r="D42" i="39" s="1"/>
  <c r="G80" i="55" s="1"/>
  <c r="L40" i="41"/>
  <c r="L48" i="40"/>
  <c r="L49" i="40" s="1"/>
  <c r="L40" i="39"/>
  <c r="L41" i="39" s="1"/>
  <c r="L42" i="39" s="1"/>
  <c r="O80" i="55" s="1"/>
  <c r="T40" i="41"/>
  <c r="T48" i="40"/>
  <c r="T49" i="40" s="1"/>
  <c r="T40" i="39"/>
  <c r="T41" i="39" s="1"/>
  <c r="T42" i="39" s="1"/>
  <c r="W80" i="55" s="1"/>
  <c r="AB40" i="41"/>
  <c r="AB48" i="40"/>
  <c r="AB49" i="40" s="1"/>
  <c r="AB40" i="39"/>
  <c r="AB41" i="39" s="1"/>
  <c r="AB42" i="39" s="1"/>
  <c r="AE80" i="55" s="1"/>
  <c r="AJ40" i="41"/>
  <c r="AJ48" i="40"/>
  <c r="AJ49" i="40" s="1"/>
  <c r="AJ40" i="39"/>
  <c r="AJ41" i="39" s="1"/>
  <c r="AJ42" i="39" s="1"/>
  <c r="AM80" i="55" s="1"/>
  <c r="I41" i="41"/>
  <c r="I52" i="40"/>
  <c r="I53" i="40" s="1"/>
  <c r="I44" i="39"/>
  <c r="I45" i="39" s="1"/>
  <c r="I46" i="39" s="1"/>
  <c r="L81" i="55" s="1"/>
  <c r="Q41" i="41"/>
  <c r="Q52" i="40"/>
  <c r="Q53" i="40" s="1"/>
  <c r="Q44" i="39"/>
  <c r="Q45" i="39" s="1"/>
  <c r="Q46" i="39" s="1"/>
  <c r="T81" i="55" s="1"/>
  <c r="Y41" i="41"/>
  <c r="Y52" i="40"/>
  <c r="Y53" i="40" s="1"/>
  <c r="Y44" i="39"/>
  <c r="Y45" i="39" s="1"/>
  <c r="Y46" i="39" s="1"/>
  <c r="AB81" i="55" s="1"/>
  <c r="AG41" i="41"/>
  <c r="AG52" i="40"/>
  <c r="AG53" i="40" s="1"/>
  <c r="AG44" i="39"/>
  <c r="AG45" i="39" s="1"/>
  <c r="AG46" i="39" s="1"/>
  <c r="AJ81" i="55" s="1"/>
  <c r="F48" i="39"/>
  <c r="F49" i="39" s="1"/>
  <c r="F50" i="39" s="1"/>
  <c r="I82" i="55" s="1"/>
  <c r="N48" i="39"/>
  <c r="N49" i="39" s="1"/>
  <c r="N50" i="39" s="1"/>
  <c r="Q82" i="55" s="1"/>
  <c r="V48" i="39"/>
  <c r="V49" i="39" s="1"/>
  <c r="V50" i="39" s="1"/>
  <c r="Y82" i="55" s="1"/>
  <c r="AD48" i="39"/>
  <c r="AD49" i="39" s="1"/>
  <c r="AD50" i="39" s="1"/>
  <c r="AG82" i="55" s="1"/>
  <c r="H43" i="41"/>
  <c r="H52" i="39"/>
  <c r="H53" i="39" s="1"/>
  <c r="H54" i="39" s="1"/>
  <c r="K83" i="55" s="1"/>
  <c r="P43" i="41"/>
  <c r="P52" i="39"/>
  <c r="P53" i="39" s="1"/>
  <c r="P54" i="39" s="1"/>
  <c r="S83" i="55" s="1"/>
  <c r="X43" i="41"/>
  <c r="X52" i="39"/>
  <c r="X53" i="39" s="1"/>
  <c r="X54" i="39" s="1"/>
  <c r="AA83" i="55" s="1"/>
  <c r="AF43" i="41"/>
  <c r="AF52" i="39"/>
  <c r="AF53" i="39" s="1"/>
  <c r="AF54" i="39" s="1"/>
  <c r="AI83" i="55" s="1"/>
  <c r="J56" i="40"/>
  <c r="J57" i="40" s="1"/>
  <c r="J44" i="41"/>
  <c r="J56" i="39"/>
  <c r="S28" i="52"/>
  <c r="R44" i="41"/>
  <c r="R56" i="40"/>
  <c r="R57" i="40" s="1"/>
  <c r="R56" i="39"/>
  <c r="Z56" i="40"/>
  <c r="Z57" i="40" s="1"/>
  <c r="Z44" i="41"/>
  <c r="Z56" i="39"/>
  <c r="AH44" i="41"/>
  <c r="AH56" i="40"/>
  <c r="AH57" i="40" s="1"/>
  <c r="AH56" i="39"/>
  <c r="G45" i="41"/>
  <c r="G60" i="40"/>
  <c r="G61" i="40" s="1"/>
  <c r="G60" i="39"/>
  <c r="G61" i="39" s="1"/>
  <c r="G62" i="39" s="1"/>
  <c r="J85" i="55" s="1"/>
  <c r="O45" i="41"/>
  <c r="O60" i="40"/>
  <c r="O61" i="40" s="1"/>
  <c r="O60" i="39"/>
  <c r="O61" i="39" s="1"/>
  <c r="O62" i="39" s="1"/>
  <c r="R85" i="55" s="1"/>
  <c r="W45" i="41"/>
  <c r="W60" i="40"/>
  <c r="W61" i="40" s="1"/>
  <c r="W60" i="39"/>
  <c r="W61" i="39" s="1"/>
  <c r="W62" i="39" s="1"/>
  <c r="Z85" i="55" s="1"/>
  <c r="AE45" i="41"/>
  <c r="AE60" i="40"/>
  <c r="AE61" i="40" s="1"/>
  <c r="AE60" i="39"/>
  <c r="AE61" i="39" s="1"/>
  <c r="AE62" i="39" s="1"/>
  <c r="AH85" i="55" s="1"/>
  <c r="E30" i="52"/>
  <c r="D46" i="41"/>
  <c r="D64" i="40"/>
  <c r="D65" i="40" s="1"/>
  <c r="D66" i="40" s="1"/>
  <c r="G120" i="55" s="1"/>
  <c r="D64" i="39"/>
  <c r="D65" i="39" s="1"/>
  <c r="D66" i="39" s="1"/>
  <c r="G86" i="55" s="1"/>
  <c r="M30" i="52"/>
  <c r="L46" i="41"/>
  <c r="L64" i="40"/>
  <c r="L65" i="40" s="1"/>
  <c r="L66" i="40" s="1"/>
  <c r="O120" i="55" s="1"/>
  <c r="L64" i="39"/>
  <c r="L65" i="39" s="1"/>
  <c r="L66" i="39" s="1"/>
  <c r="O86" i="55" s="1"/>
  <c r="U30" i="52"/>
  <c r="T46" i="41"/>
  <c r="T64" i="40"/>
  <c r="T65" i="40" s="1"/>
  <c r="T66" i="40" s="1"/>
  <c r="W120" i="55" s="1"/>
  <c r="T64" i="39"/>
  <c r="T65" i="39" s="1"/>
  <c r="T66" i="39" s="1"/>
  <c r="W86" i="55" s="1"/>
  <c r="AC30" i="52"/>
  <c r="AB46" i="41"/>
  <c r="AB64" i="40"/>
  <c r="AB65" i="40" s="1"/>
  <c r="AB66" i="40" s="1"/>
  <c r="AE120" i="55" s="1"/>
  <c r="AB64" i="39"/>
  <c r="AB65" i="39" s="1"/>
  <c r="AB66" i="39" s="1"/>
  <c r="AE86" i="55" s="1"/>
  <c r="AK30" i="52"/>
  <c r="AJ46" i="41"/>
  <c r="AJ64" i="40"/>
  <c r="AJ65" i="40" s="1"/>
  <c r="AJ66" i="40" s="1"/>
  <c r="AM120" i="55" s="1"/>
  <c r="AJ64" i="39"/>
  <c r="AJ65" i="39" s="1"/>
  <c r="AJ66" i="39" s="1"/>
  <c r="AM86" i="55" s="1"/>
  <c r="I48" i="41"/>
  <c r="I68" i="40"/>
  <c r="I69" i="40" s="1"/>
  <c r="I68" i="39"/>
  <c r="I69" i="39" s="1"/>
  <c r="I70" i="39" s="1"/>
  <c r="L87" i="55" s="1"/>
  <c r="Q48" i="41"/>
  <c r="Q68" i="40"/>
  <c r="Q69" i="40" s="1"/>
  <c r="Q68" i="39"/>
  <c r="Q69" i="39" s="1"/>
  <c r="Q70" i="39" s="1"/>
  <c r="T87" i="55" s="1"/>
  <c r="Y48" i="41"/>
  <c r="Y68" i="40"/>
  <c r="Y69" i="40" s="1"/>
  <c r="Y68" i="39"/>
  <c r="Y69" i="39" s="1"/>
  <c r="Y70" i="39" s="1"/>
  <c r="AB87" i="55" s="1"/>
  <c r="AG48" i="41"/>
  <c r="AG68" i="40"/>
  <c r="AG69" i="40" s="1"/>
  <c r="AG68" i="39"/>
  <c r="AG69" i="39" s="1"/>
  <c r="AG70" i="39" s="1"/>
  <c r="AJ87" i="55" s="1"/>
  <c r="F49" i="41"/>
  <c r="F72" i="40"/>
  <c r="F73" i="40" s="1"/>
  <c r="F72" i="39"/>
  <c r="F73" i="39" s="1"/>
  <c r="F74" i="39" s="1"/>
  <c r="I88" i="55" s="1"/>
  <c r="N49" i="41"/>
  <c r="N72" i="40"/>
  <c r="N73" i="40" s="1"/>
  <c r="N72" i="39"/>
  <c r="N73" i="39" s="1"/>
  <c r="N74" i="39" s="1"/>
  <c r="Q88" i="55" s="1"/>
  <c r="V49" i="41"/>
  <c r="V72" i="40"/>
  <c r="V73" i="40" s="1"/>
  <c r="V72" i="39"/>
  <c r="V73" i="39" s="1"/>
  <c r="V74" i="39" s="1"/>
  <c r="Y88" i="55" s="1"/>
  <c r="AD49" i="41"/>
  <c r="AD72" i="40"/>
  <c r="AD73" i="40" s="1"/>
  <c r="AD72" i="39"/>
  <c r="AD73" i="39" s="1"/>
  <c r="AD74" i="39" s="1"/>
  <c r="AG88" i="55" s="1"/>
  <c r="E51" i="33"/>
  <c r="F51" i="33" s="1"/>
  <c r="C50" i="41"/>
  <c r="C76" i="40"/>
  <c r="C77" i="40" s="1"/>
  <c r="C76" i="39"/>
  <c r="K50" i="41"/>
  <c r="K76" i="40"/>
  <c r="K77" i="40" s="1"/>
  <c r="K78" i="40" s="1"/>
  <c r="N123" i="55" s="1"/>
  <c r="K76" i="39"/>
  <c r="K77" i="39" s="1"/>
  <c r="K78" i="39" s="1"/>
  <c r="N89" i="55" s="1"/>
  <c r="S50" i="41"/>
  <c r="S76" i="40"/>
  <c r="S77" i="40" s="1"/>
  <c r="S78" i="40" s="1"/>
  <c r="V123" i="55" s="1"/>
  <c r="S76" i="39"/>
  <c r="S77" i="39" s="1"/>
  <c r="S78" i="39" s="1"/>
  <c r="V89" i="55" s="1"/>
  <c r="AA50" i="41"/>
  <c r="AA76" i="40"/>
  <c r="AA77" i="40" s="1"/>
  <c r="AA78" i="40" s="1"/>
  <c r="AD123" i="55" s="1"/>
  <c r="AA76" i="39"/>
  <c r="AA77" i="39" s="1"/>
  <c r="AA78" i="39" s="1"/>
  <c r="AD89" i="55" s="1"/>
  <c r="AI50" i="41"/>
  <c r="AI76" i="40"/>
  <c r="AI77" i="40" s="1"/>
  <c r="AI78" i="40" s="1"/>
  <c r="AL123" i="55" s="1"/>
  <c r="AI76" i="39"/>
  <c r="AI77" i="39" s="1"/>
  <c r="AI78" i="39" s="1"/>
  <c r="AL89" i="55" s="1"/>
  <c r="E55" i="41"/>
  <c r="E84" i="40"/>
  <c r="E85" i="40" s="1"/>
  <c r="E92" i="39"/>
  <c r="E93" i="39" s="1"/>
  <c r="E94" i="39" s="1"/>
  <c r="H90" i="55" s="1"/>
  <c r="M55" i="41"/>
  <c r="M84" i="40"/>
  <c r="M85" i="40" s="1"/>
  <c r="M92" i="39"/>
  <c r="M93" i="39" s="1"/>
  <c r="M94" i="39" s="1"/>
  <c r="P90" i="55" s="1"/>
  <c r="U55" i="41"/>
  <c r="U84" i="40"/>
  <c r="U85" i="40" s="1"/>
  <c r="U92" i="39"/>
  <c r="U93" i="39" s="1"/>
  <c r="U94" i="39" s="1"/>
  <c r="X90" i="55" s="1"/>
  <c r="AC55" i="41"/>
  <c r="AC84" i="40"/>
  <c r="AC85" i="40" s="1"/>
  <c r="AC92" i="39"/>
  <c r="AC93" i="39" s="1"/>
  <c r="AC94" i="39" s="1"/>
  <c r="AF90" i="55" s="1"/>
  <c r="AK55" i="41"/>
  <c r="AK84" i="40"/>
  <c r="AK85" i="40" s="1"/>
  <c r="AK92" i="39"/>
  <c r="AK93" i="39" s="1"/>
  <c r="AK94" i="39" s="1"/>
  <c r="AN90" i="55" s="1"/>
  <c r="J88" i="40"/>
  <c r="J89" i="40" s="1"/>
  <c r="J90" i="40" s="1"/>
  <c r="M125" i="55" s="1"/>
  <c r="J56" i="41"/>
  <c r="J96" i="39"/>
  <c r="J97" i="39" s="1"/>
  <c r="J98" i="39" s="1"/>
  <c r="M91" i="55" s="1"/>
  <c r="R88" i="40"/>
  <c r="R89" i="40" s="1"/>
  <c r="R90" i="40" s="1"/>
  <c r="U125" i="55" s="1"/>
  <c r="R56" i="41"/>
  <c r="R96" i="39"/>
  <c r="R97" i="39" s="1"/>
  <c r="R98" i="39" s="1"/>
  <c r="U91" i="55" s="1"/>
  <c r="Z88" i="40"/>
  <c r="Z89" i="40" s="1"/>
  <c r="Z90" i="40" s="1"/>
  <c r="AC125" i="55" s="1"/>
  <c r="Z56" i="41"/>
  <c r="Z96" i="39"/>
  <c r="Z97" i="39" s="1"/>
  <c r="Z98" i="39" s="1"/>
  <c r="AC91" i="55" s="1"/>
  <c r="AH56" i="41"/>
  <c r="AH88" i="40"/>
  <c r="AH89" i="40" s="1"/>
  <c r="AH90" i="40" s="1"/>
  <c r="AK125" i="55" s="1"/>
  <c r="AH96" i="39"/>
  <c r="AH97" i="39" s="1"/>
  <c r="AH98" i="39" s="1"/>
  <c r="AK91" i="55" s="1"/>
  <c r="G100" i="39"/>
  <c r="G101" i="39" s="1"/>
  <c r="G102" i="39" s="1"/>
  <c r="J92" i="55" s="1"/>
  <c r="O100" i="39"/>
  <c r="O101" i="39" s="1"/>
  <c r="O102" i="39" s="1"/>
  <c r="R92" i="55" s="1"/>
  <c r="W100" i="39"/>
  <c r="W101" i="39" s="1"/>
  <c r="W102" i="39" s="1"/>
  <c r="Z92" i="55" s="1"/>
  <c r="AE100" i="39"/>
  <c r="AE101" i="39" s="1"/>
  <c r="AE102" i="39" s="1"/>
  <c r="AH92" i="55" s="1"/>
  <c r="F62" i="33"/>
  <c r="G52" i="55" s="1"/>
  <c r="I104" i="39"/>
  <c r="I105" i="39" s="1"/>
  <c r="I106" i="39" s="1"/>
  <c r="L93" i="55" s="1"/>
  <c r="Q104" i="39"/>
  <c r="Q105" i="39" s="1"/>
  <c r="Q106" i="39" s="1"/>
  <c r="T93" i="55" s="1"/>
  <c r="Y104" i="39"/>
  <c r="Y105" i="39" s="1"/>
  <c r="Y106" i="39" s="1"/>
  <c r="AB93" i="55" s="1"/>
  <c r="AG104" i="39"/>
  <c r="AG105" i="39" s="1"/>
  <c r="AG106" i="39" s="1"/>
  <c r="AJ93" i="55" s="1"/>
  <c r="E65" i="33"/>
  <c r="F65" i="33" s="1"/>
  <c r="G55" i="55" s="1"/>
  <c r="C108" i="39"/>
  <c r="K108" i="39"/>
  <c r="K109" i="39" s="1"/>
  <c r="K110" i="39" s="1"/>
  <c r="N94" i="55" s="1"/>
  <c r="S108" i="39"/>
  <c r="S109" i="39" s="1"/>
  <c r="S110" i="39" s="1"/>
  <c r="V94" i="55" s="1"/>
  <c r="AA108" i="39"/>
  <c r="AA109" i="39" s="1"/>
  <c r="AA110" i="39" s="1"/>
  <c r="AD94" i="55" s="1"/>
  <c r="AI108" i="39"/>
  <c r="AI109" i="39" s="1"/>
  <c r="AI110" i="39" s="1"/>
  <c r="AL94" i="55" s="1"/>
  <c r="AY46" i="45"/>
  <c r="AE10" i="30"/>
  <c r="AI85" i="30"/>
  <c r="AI86" i="30" s="1"/>
  <c r="AW43" i="45"/>
  <c r="BA55" i="45"/>
  <c r="G10" i="52"/>
  <c r="H10" i="52"/>
  <c r="E9" i="52"/>
  <c r="AC9" i="52"/>
  <c r="X11" i="32"/>
  <c r="U28" i="41"/>
  <c r="AK48" i="40"/>
  <c r="AK49" i="40" s="1"/>
  <c r="AK40" i="41"/>
  <c r="AK40" i="39"/>
  <c r="AK41" i="39" s="1"/>
  <c r="AK42" i="39" s="1"/>
  <c r="AN80" i="55" s="1"/>
  <c r="I52" i="39"/>
  <c r="I53" i="39" s="1"/>
  <c r="I54" i="39" s="1"/>
  <c r="L83" i="55" s="1"/>
  <c r="Y52" i="39"/>
  <c r="Y53" i="39" s="1"/>
  <c r="Y54" i="39" s="1"/>
  <c r="AB83" i="55" s="1"/>
  <c r="AG52" i="39"/>
  <c r="AG53" i="39" s="1"/>
  <c r="AG54" i="39" s="1"/>
  <c r="AJ83" i="55" s="1"/>
  <c r="E45" i="33"/>
  <c r="F45" i="33" s="1"/>
  <c r="G42" i="55" s="1"/>
  <c r="C56" i="40"/>
  <c r="C44" i="41"/>
  <c r="C56" i="39"/>
  <c r="K56" i="40"/>
  <c r="K57" i="40" s="1"/>
  <c r="K44" i="41"/>
  <c r="K56" i="39"/>
  <c r="S56" i="40"/>
  <c r="S57" i="40" s="1"/>
  <c r="S44" i="41"/>
  <c r="S56" i="39"/>
  <c r="AA44" i="41"/>
  <c r="AA56" i="40"/>
  <c r="AA57" i="40" s="1"/>
  <c r="AA56" i="39"/>
  <c r="AI44" i="41"/>
  <c r="AI56" i="40"/>
  <c r="AI57" i="40" s="1"/>
  <c r="AI56" i="39"/>
  <c r="H45" i="41"/>
  <c r="H60" i="40"/>
  <c r="H61" i="40" s="1"/>
  <c r="H60" i="39"/>
  <c r="H61" i="39" s="1"/>
  <c r="H62" i="39" s="1"/>
  <c r="K85" i="55" s="1"/>
  <c r="P45" i="41"/>
  <c r="P60" i="40"/>
  <c r="P61" i="40" s="1"/>
  <c r="P60" i="39"/>
  <c r="P61" i="39" s="1"/>
  <c r="P62" i="39" s="1"/>
  <c r="S85" i="55" s="1"/>
  <c r="X45" i="41"/>
  <c r="X60" i="40"/>
  <c r="X61" i="40" s="1"/>
  <c r="X60" i="39"/>
  <c r="X61" i="39" s="1"/>
  <c r="X62" i="39" s="1"/>
  <c r="AA85" i="55" s="1"/>
  <c r="AF45" i="41"/>
  <c r="AG29" i="52"/>
  <c r="AF60" i="40"/>
  <c r="AF61" i="40" s="1"/>
  <c r="AF60" i="39"/>
  <c r="AF61" i="39" s="1"/>
  <c r="AF62" i="39" s="1"/>
  <c r="AI85" i="55" s="1"/>
  <c r="F30" i="52"/>
  <c r="E46" i="41"/>
  <c r="E64" i="40"/>
  <c r="E65" i="40" s="1"/>
  <c r="E66" i="40" s="1"/>
  <c r="H120" i="55" s="1"/>
  <c r="E64" i="39"/>
  <c r="E65" i="39" s="1"/>
  <c r="E66" i="39" s="1"/>
  <c r="H86" i="55" s="1"/>
  <c r="M46" i="41"/>
  <c r="N30" i="52"/>
  <c r="M64" i="40"/>
  <c r="M65" i="40" s="1"/>
  <c r="M66" i="40" s="1"/>
  <c r="P120" i="55" s="1"/>
  <c r="M64" i="39"/>
  <c r="M65" i="39" s="1"/>
  <c r="M66" i="39" s="1"/>
  <c r="P86" i="55" s="1"/>
  <c r="U46" i="41"/>
  <c r="V30" i="52"/>
  <c r="U64" i="40"/>
  <c r="U65" i="40" s="1"/>
  <c r="U66" i="40" s="1"/>
  <c r="X120" i="55" s="1"/>
  <c r="U64" i="39"/>
  <c r="U65" i="39" s="1"/>
  <c r="U66" i="39" s="1"/>
  <c r="X86" i="55" s="1"/>
  <c r="AD30" i="52"/>
  <c r="AC46" i="41"/>
  <c r="AC64" i="40"/>
  <c r="AC65" i="40" s="1"/>
  <c r="AC66" i="40" s="1"/>
  <c r="AF120" i="55" s="1"/>
  <c r="AC64" i="39"/>
  <c r="AC65" i="39" s="1"/>
  <c r="AC66" i="39" s="1"/>
  <c r="AF86" i="55" s="1"/>
  <c r="AK46" i="41"/>
  <c r="AL30" i="52"/>
  <c r="AK64" i="40"/>
  <c r="AK65" i="40" s="1"/>
  <c r="AK66" i="40" s="1"/>
  <c r="AN120" i="55" s="1"/>
  <c r="AK64" i="39"/>
  <c r="AK65" i="39" s="1"/>
  <c r="AK66" i="39" s="1"/>
  <c r="AN86" i="55" s="1"/>
  <c r="J48" i="41"/>
  <c r="K32" i="52"/>
  <c r="J68" i="40"/>
  <c r="J69" i="40" s="1"/>
  <c r="J68" i="39"/>
  <c r="J69" i="39" s="1"/>
  <c r="J70" i="39" s="1"/>
  <c r="M87" i="55" s="1"/>
  <c r="R48" i="41"/>
  <c r="R68" i="40"/>
  <c r="R69" i="40" s="1"/>
  <c r="R68" i="39"/>
  <c r="R69" i="39" s="1"/>
  <c r="R70" i="39" s="1"/>
  <c r="U87" i="55" s="1"/>
  <c r="Z48" i="41"/>
  <c r="Z68" i="40"/>
  <c r="Z69" i="40" s="1"/>
  <c r="Z68" i="39"/>
  <c r="Z69" i="39" s="1"/>
  <c r="Z70" i="39" s="1"/>
  <c r="AC87" i="55" s="1"/>
  <c r="AH48" i="41"/>
  <c r="AH68" i="40"/>
  <c r="AH69" i="40" s="1"/>
  <c r="AH68" i="39"/>
  <c r="AH69" i="39" s="1"/>
  <c r="AH70" i="39" s="1"/>
  <c r="AK87" i="55" s="1"/>
  <c r="G49" i="41"/>
  <c r="H33" i="52"/>
  <c r="G72" i="40"/>
  <c r="G73" i="40" s="1"/>
  <c r="G72" i="39"/>
  <c r="G73" i="39" s="1"/>
  <c r="G74" i="39" s="1"/>
  <c r="J88" i="55" s="1"/>
  <c r="O49" i="41"/>
  <c r="P33" i="52"/>
  <c r="O72" i="40"/>
  <c r="O73" i="40" s="1"/>
  <c r="O72" i="39"/>
  <c r="O73" i="39" s="1"/>
  <c r="O74" i="39" s="1"/>
  <c r="R88" i="55" s="1"/>
  <c r="W49" i="41"/>
  <c r="X33" i="52"/>
  <c r="W72" i="40"/>
  <c r="W73" i="40" s="1"/>
  <c r="W72" i="39"/>
  <c r="W73" i="39" s="1"/>
  <c r="W74" i="39" s="1"/>
  <c r="Z88" i="55" s="1"/>
  <c r="AE49" i="41"/>
  <c r="AF33" i="52"/>
  <c r="AE72" i="40"/>
  <c r="AE73" i="40" s="1"/>
  <c r="AE72" i="39"/>
  <c r="AE73" i="39" s="1"/>
  <c r="AE74" i="39" s="1"/>
  <c r="AH88" i="55" s="1"/>
  <c r="E34" i="52"/>
  <c r="D76" i="40"/>
  <c r="D77" i="40" s="1"/>
  <c r="D78" i="40" s="1"/>
  <c r="G123" i="55" s="1"/>
  <c r="D50" i="41"/>
  <c r="D76" i="39"/>
  <c r="D77" i="39" s="1"/>
  <c r="D78" i="39" s="1"/>
  <c r="G89" i="55" s="1"/>
  <c r="M34" i="52"/>
  <c r="L76" i="40"/>
  <c r="L77" i="40" s="1"/>
  <c r="L78" i="40" s="1"/>
  <c r="O123" i="55" s="1"/>
  <c r="L50" i="41"/>
  <c r="L76" i="39"/>
  <c r="L77" i="39" s="1"/>
  <c r="L78" i="39" s="1"/>
  <c r="O89" i="55" s="1"/>
  <c r="U34" i="52"/>
  <c r="T50" i="41"/>
  <c r="T76" i="40"/>
  <c r="T77" i="40" s="1"/>
  <c r="T78" i="40" s="1"/>
  <c r="W123" i="55" s="1"/>
  <c r="T76" i="39"/>
  <c r="T77" i="39" s="1"/>
  <c r="T78" i="39" s="1"/>
  <c r="W89" i="55" s="1"/>
  <c r="AC34" i="52"/>
  <c r="AB76" i="40"/>
  <c r="AB77" i="40" s="1"/>
  <c r="AB78" i="40" s="1"/>
  <c r="AE123" i="55" s="1"/>
  <c r="AB50" i="41"/>
  <c r="AB76" i="39"/>
  <c r="AB77" i="39" s="1"/>
  <c r="AB78" i="39" s="1"/>
  <c r="AE89" i="55" s="1"/>
  <c r="AK34" i="52"/>
  <c r="AJ76" i="40"/>
  <c r="AJ77" i="40" s="1"/>
  <c r="AJ78" i="40" s="1"/>
  <c r="AM123" i="55" s="1"/>
  <c r="AJ50" i="41"/>
  <c r="AJ76" i="39"/>
  <c r="AJ77" i="39" s="1"/>
  <c r="AJ78" i="39" s="1"/>
  <c r="AM89" i="55" s="1"/>
  <c r="G36" i="52"/>
  <c r="F55" i="41"/>
  <c r="F84" i="40"/>
  <c r="F85" i="40" s="1"/>
  <c r="F92" i="39"/>
  <c r="F93" i="39" s="1"/>
  <c r="F94" i="39" s="1"/>
  <c r="I90" i="55" s="1"/>
  <c r="O36" i="52"/>
  <c r="N84" i="40"/>
  <c r="N85" i="40" s="1"/>
  <c r="N55" i="41"/>
  <c r="N92" i="39"/>
  <c r="N93" i="39" s="1"/>
  <c r="N94" i="39" s="1"/>
  <c r="Q90" i="55" s="1"/>
  <c r="W36" i="52"/>
  <c r="V84" i="40"/>
  <c r="V85" i="40" s="1"/>
  <c r="V55" i="41"/>
  <c r="V92" i="39"/>
  <c r="V93" i="39" s="1"/>
  <c r="V94" i="39" s="1"/>
  <c r="Y90" i="55" s="1"/>
  <c r="AE36" i="52"/>
  <c r="AD84" i="40"/>
  <c r="AD85" i="40" s="1"/>
  <c r="AD55" i="41"/>
  <c r="AD92" i="39"/>
  <c r="AD93" i="39" s="1"/>
  <c r="AD94" i="39" s="1"/>
  <c r="AG90" i="55" s="1"/>
  <c r="E60" i="33"/>
  <c r="F60" i="33" s="1"/>
  <c r="G50" i="55" s="1"/>
  <c r="C56" i="41"/>
  <c r="C88" i="40"/>
  <c r="C96" i="39"/>
  <c r="K56" i="41"/>
  <c r="K88" i="40"/>
  <c r="K89" i="40" s="1"/>
  <c r="K90" i="40" s="1"/>
  <c r="N125" i="55" s="1"/>
  <c r="K96" i="39"/>
  <c r="K97" i="39" s="1"/>
  <c r="K98" i="39" s="1"/>
  <c r="N91" i="55" s="1"/>
  <c r="S56" i="41"/>
  <c r="S88" i="40"/>
  <c r="S89" i="40" s="1"/>
  <c r="S90" i="40" s="1"/>
  <c r="V125" i="55" s="1"/>
  <c r="S96" i="39"/>
  <c r="S97" i="39" s="1"/>
  <c r="S98" i="39" s="1"/>
  <c r="V91" i="55" s="1"/>
  <c r="AA56" i="41"/>
  <c r="AA88" i="40"/>
  <c r="AA89" i="40" s="1"/>
  <c r="AA90" i="40" s="1"/>
  <c r="AD125" i="55" s="1"/>
  <c r="AA96" i="39"/>
  <c r="AA97" i="39" s="1"/>
  <c r="AA98" i="39" s="1"/>
  <c r="AD91" i="55" s="1"/>
  <c r="AI56" i="41"/>
  <c r="AI88" i="40"/>
  <c r="AI89" i="40" s="1"/>
  <c r="AI90" i="40" s="1"/>
  <c r="AL125" i="55" s="1"/>
  <c r="AI96" i="39"/>
  <c r="AI97" i="39" s="1"/>
  <c r="AI98" i="39" s="1"/>
  <c r="AL91" i="55" s="1"/>
  <c r="H100" i="39"/>
  <c r="H101" i="39" s="1"/>
  <c r="H102" i="39" s="1"/>
  <c r="K92" i="55" s="1"/>
  <c r="P100" i="39"/>
  <c r="P101" i="39" s="1"/>
  <c r="P102" i="39" s="1"/>
  <c r="S92" i="55" s="1"/>
  <c r="J104" i="39"/>
  <c r="J105" i="39" s="1"/>
  <c r="J106" i="39" s="1"/>
  <c r="M93" i="55" s="1"/>
  <c r="R104" i="39"/>
  <c r="R105" i="39" s="1"/>
  <c r="R106" i="39" s="1"/>
  <c r="U93" i="55" s="1"/>
  <c r="Z104" i="39"/>
  <c r="Z105" i="39" s="1"/>
  <c r="Z106" i="39" s="1"/>
  <c r="AC93" i="55" s="1"/>
  <c r="AH104" i="39"/>
  <c r="AH105" i="39" s="1"/>
  <c r="AH106" i="39" s="1"/>
  <c r="AK93" i="55" s="1"/>
  <c r="D108" i="39"/>
  <c r="D109" i="39" s="1"/>
  <c r="D110" i="39" s="1"/>
  <c r="G94" i="55" s="1"/>
  <c r="L108" i="39"/>
  <c r="L109" i="39" s="1"/>
  <c r="L110" i="39" s="1"/>
  <c r="O94" i="55" s="1"/>
  <c r="T108" i="39"/>
  <c r="T109" i="39" s="1"/>
  <c r="T110" i="39" s="1"/>
  <c r="W94" i="55" s="1"/>
  <c r="AB108" i="39"/>
  <c r="AB109" i="39" s="1"/>
  <c r="AB110" i="39" s="1"/>
  <c r="AE94" i="55" s="1"/>
  <c r="AJ108" i="39"/>
  <c r="AJ109" i="39" s="1"/>
  <c r="AJ110" i="39" s="1"/>
  <c r="AM94" i="55" s="1"/>
  <c r="T46" i="45"/>
  <c r="AB46" i="45"/>
  <c r="AV56" i="45"/>
  <c r="Q8" i="24"/>
  <c r="X8" i="24" s="1"/>
  <c r="C35" i="41"/>
  <c r="P10" i="52"/>
  <c r="M9" i="52"/>
  <c r="P11" i="32"/>
  <c r="M28" i="41"/>
  <c r="AK28" i="41"/>
  <c r="G34" i="41"/>
  <c r="Q52" i="39"/>
  <c r="Q53" i="39" s="1"/>
  <c r="Q54" i="39" s="1"/>
  <c r="T83" i="55" s="1"/>
  <c r="X100" i="39"/>
  <c r="X101" i="39" s="1"/>
  <c r="X102" i="39" s="1"/>
  <c r="AA92" i="55" s="1"/>
  <c r="F8" i="40"/>
  <c r="F9" i="40" s="1"/>
  <c r="AD8" i="40"/>
  <c r="AD9" i="40" s="1"/>
  <c r="I10" i="52"/>
  <c r="Q10" i="52"/>
  <c r="Y10" i="52"/>
  <c r="AG10" i="52"/>
  <c r="F9" i="52"/>
  <c r="N9" i="52"/>
  <c r="V9" i="52"/>
  <c r="AD9" i="52"/>
  <c r="AL9" i="52"/>
  <c r="D18" i="32"/>
  <c r="AJ18" i="32"/>
  <c r="F28" i="41"/>
  <c r="N28" i="41"/>
  <c r="V28" i="41"/>
  <c r="AD28" i="41"/>
  <c r="I39" i="41"/>
  <c r="I44" i="40"/>
  <c r="I45" i="40" s="1"/>
  <c r="I36" i="39"/>
  <c r="Q39" i="41"/>
  <c r="Q44" i="40"/>
  <c r="Q45" i="40" s="1"/>
  <c r="Q36" i="39"/>
  <c r="Y39" i="41"/>
  <c r="Y44" i="40"/>
  <c r="Y45" i="40" s="1"/>
  <c r="Y36" i="39"/>
  <c r="AG39" i="41"/>
  <c r="AG44" i="40"/>
  <c r="AG45" i="40" s="1"/>
  <c r="AG36" i="39"/>
  <c r="F40" i="41"/>
  <c r="F48" i="40"/>
  <c r="F49" i="40" s="1"/>
  <c r="F40" i="39"/>
  <c r="F41" i="39" s="1"/>
  <c r="F42" i="39" s="1"/>
  <c r="I80" i="55" s="1"/>
  <c r="N40" i="41"/>
  <c r="N48" i="40"/>
  <c r="N49" i="40" s="1"/>
  <c r="N40" i="39"/>
  <c r="N41" i="39" s="1"/>
  <c r="N42" i="39" s="1"/>
  <c r="Q80" i="55" s="1"/>
  <c r="V40" i="41"/>
  <c r="V48" i="40"/>
  <c r="V49" i="40" s="1"/>
  <c r="V40" i="39"/>
  <c r="V41" i="39" s="1"/>
  <c r="V42" i="39" s="1"/>
  <c r="Y80" i="55" s="1"/>
  <c r="AD40" i="41"/>
  <c r="AD48" i="40"/>
  <c r="AD49" i="40" s="1"/>
  <c r="AD50" i="40" s="1"/>
  <c r="AG116" i="55" s="1"/>
  <c r="AD40" i="39"/>
  <c r="AD41" i="39" s="1"/>
  <c r="AD42" i="39" s="1"/>
  <c r="AG80" i="55" s="1"/>
  <c r="E39" i="33"/>
  <c r="F39" i="33" s="1"/>
  <c r="G37" i="55" s="1"/>
  <c r="C41" i="41"/>
  <c r="C52" i="40"/>
  <c r="C44" i="39"/>
  <c r="C45" i="39" s="1"/>
  <c r="K41" i="41"/>
  <c r="K52" i="40"/>
  <c r="K53" i="40" s="1"/>
  <c r="K44" i="39"/>
  <c r="K45" i="39" s="1"/>
  <c r="K46" i="39" s="1"/>
  <c r="N81" i="55" s="1"/>
  <c r="S41" i="41"/>
  <c r="S52" i="40"/>
  <c r="S53" i="40" s="1"/>
  <c r="S44" i="39"/>
  <c r="S45" i="39" s="1"/>
  <c r="S46" i="39" s="1"/>
  <c r="V81" i="55" s="1"/>
  <c r="AA41" i="41"/>
  <c r="AA52" i="40"/>
  <c r="AA53" i="40" s="1"/>
  <c r="AA44" i="39"/>
  <c r="AA45" i="39" s="1"/>
  <c r="AA46" i="39" s="1"/>
  <c r="AD81" i="55" s="1"/>
  <c r="AI41" i="41"/>
  <c r="AI52" i="40"/>
  <c r="AI53" i="40" s="1"/>
  <c r="AI54" i="40" s="1"/>
  <c r="AL117" i="55" s="1"/>
  <c r="AI44" i="39"/>
  <c r="AI45" i="39" s="1"/>
  <c r="AI46" i="39" s="1"/>
  <c r="AL81" i="55" s="1"/>
  <c r="H42" i="41"/>
  <c r="H48" i="39"/>
  <c r="H49" i="39" s="1"/>
  <c r="H50" i="39" s="1"/>
  <c r="K82" i="55" s="1"/>
  <c r="P42" i="41"/>
  <c r="P48" i="39"/>
  <c r="P49" i="39" s="1"/>
  <c r="P50" i="39" s="1"/>
  <c r="S82" i="55" s="1"/>
  <c r="X42" i="41"/>
  <c r="X48" i="39"/>
  <c r="X49" i="39" s="1"/>
  <c r="X50" i="39" s="1"/>
  <c r="AA82" i="55" s="1"/>
  <c r="AF42" i="41"/>
  <c r="AF48" i="39"/>
  <c r="AF49" i="39" s="1"/>
  <c r="AF50" i="39" s="1"/>
  <c r="AI82" i="55" s="1"/>
  <c r="D48" i="32"/>
  <c r="L48" i="32"/>
  <c r="M42" i="41" s="1"/>
  <c r="T48" i="32"/>
  <c r="U42" i="41" s="1"/>
  <c r="AB48" i="32"/>
  <c r="AJ48" i="32"/>
  <c r="J52" i="39"/>
  <c r="J53" i="39" s="1"/>
  <c r="J54" i="39" s="1"/>
  <c r="M83" i="55" s="1"/>
  <c r="R52" i="39"/>
  <c r="R53" i="39" s="1"/>
  <c r="R54" i="39" s="1"/>
  <c r="U83" i="55" s="1"/>
  <c r="Z52" i="39"/>
  <c r="Z53" i="39" s="1"/>
  <c r="Z54" i="39" s="1"/>
  <c r="AC83" i="55" s="1"/>
  <c r="AH52" i="39"/>
  <c r="AH53" i="39" s="1"/>
  <c r="AH54" i="39" s="1"/>
  <c r="AK83" i="55" s="1"/>
  <c r="D44" i="41"/>
  <c r="E28" i="52"/>
  <c r="D56" i="40"/>
  <c r="D57" i="40" s="1"/>
  <c r="D56" i="39"/>
  <c r="L44" i="41"/>
  <c r="L56" i="40"/>
  <c r="L57" i="40" s="1"/>
  <c r="L56" i="39"/>
  <c r="T44" i="41"/>
  <c r="T56" i="40"/>
  <c r="T57" i="40" s="1"/>
  <c r="T56" i="39"/>
  <c r="AB44" i="41"/>
  <c r="AB56" i="40"/>
  <c r="AB57" i="40" s="1"/>
  <c r="AB56" i="39"/>
  <c r="AJ44" i="41"/>
  <c r="AK28" i="52"/>
  <c r="AJ56" i="40"/>
  <c r="AJ57" i="40" s="1"/>
  <c r="AJ56" i="39"/>
  <c r="I45" i="41"/>
  <c r="J29" i="52"/>
  <c r="I60" i="40"/>
  <c r="I61" i="40" s="1"/>
  <c r="I60" i="39"/>
  <c r="I61" i="39" s="1"/>
  <c r="I62" i="39" s="1"/>
  <c r="L85" i="55" s="1"/>
  <c r="Q45" i="41"/>
  <c r="Q60" i="40"/>
  <c r="Q61" i="40" s="1"/>
  <c r="Q60" i="39"/>
  <c r="Q61" i="39" s="1"/>
  <c r="Q62" i="39" s="1"/>
  <c r="T85" i="55" s="1"/>
  <c r="Y45" i="41"/>
  <c r="Y60" i="40"/>
  <c r="Y61" i="40" s="1"/>
  <c r="Y60" i="39"/>
  <c r="Y61" i="39" s="1"/>
  <c r="Y62" i="39" s="1"/>
  <c r="AB85" i="55" s="1"/>
  <c r="AG45" i="41"/>
  <c r="AG60" i="40"/>
  <c r="AG61" i="40" s="1"/>
  <c r="AG60" i="39"/>
  <c r="AG61" i="39" s="1"/>
  <c r="AG62" i="39" s="1"/>
  <c r="AJ85" i="55" s="1"/>
  <c r="F46" i="41"/>
  <c r="F64" i="40"/>
  <c r="F65" i="40" s="1"/>
  <c r="F66" i="40" s="1"/>
  <c r="I120" i="55" s="1"/>
  <c r="F64" i="39"/>
  <c r="F65" i="39" s="1"/>
  <c r="F66" i="39" s="1"/>
  <c r="I86" i="55" s="1"/>
  <c r="N46" i="41"/>
  <c r="N64" i="40"/>
  <c r="N65" i="40" s="1"/>
  <c r="N66" i="40" s="1"/>
  <c r="Q120" i="55" s="1"/>
  <c r="N64" i="39"/>
  <c r="N65" i="39" s="1"/>
  <c r="N66" i="39" s="1"/>
  <c r="Q86" i="55" s="1"/>
  <c r="V46" i="41"/>
  <c r="V64" i="40"/>
  <c r="V65" i="40" s="1"/>
  <c r="V66" i="40" s="1"/>
  <c r="Y120" i="55" s="1"/>
  <c r="V64" i="39"/>
  <c r="V65" i="39" s="1"/>
  <c r="V66" i="39" s="1"/>
  <c r="Y86" i="55" s="1"/>
  <c r="AD46" i="41"/>
  <c r="AD64" i="40"/>
  <c r="AD65" i="40" s="1"/>
  <c r="AD66" i="40" s="1"/>
  <c r="AG120" i="55" s="1"/>
  <c r="AD64" i="39"/>
  <c r="AD65" i="39" s="1"/>
  <c r="AD66" i="39" s="1"/>
  <c r="AG86" i="55" s="1"/>
  <c r="C48" i="41"/>
  <c r="E49" i="33"/>
  <c r="C68" i="40"/>
  <c r="C68" i="39"/>
  <c r="K48" i="41"/>
  <c r="K68" i="40"/>
  <c r="K69" i="40" s="1"/>
  <c r="K68" i="39"/>
  <c r="K69" i="39" s="1"/>
  <c r="K70" i="39" s="1"/>
  <c r="N87" i="55" s="1"/>
  <c r="S48" i="41"/>
  <c r="S68" i="40"/>
  <c r="S69" i="40" s="1"/>
  <c r="S68" i="39"/>
  <c r="S69" i="39" s="1"/>
  <c r="S70" i="39" s="1"/>
  <c r="V87" i="55" s="1"/>
  <c r="AA48" i="41"/>
  <c r="AA68" i="40"/>
  <c r="AA69" i="40" s="1"/>
  <c r="AA68" i="39"/>
  <c r="AA69" i="39" s="1"/>
  <c r="AA70" i="39" s="1"/>
  <c r="AD87" i="55" s="1"/>
  <c r="AI48" i="41"/>
  <c r="AI68" i="40"/>
  <c r="AI69" i="40" s="1"/>
  <c r="AI68" i="39"/>
  <c r="AI69" i="39" s="1"/>
  <c r="AI70" i="39" s="1"/>
  <c r="AL87" i="55" s="1"/>
  <c r="H72" i="40"/>
  <c r="H73" i="40" s="1"/>
  <c r="H49" i="41"/>
  <c r="H72" i="39"/>
  <c r="H73" i="39" s="1"/>
  <c r="H74" i="39" s="1"/>
  <c r="K88" i="55" s="1"/>
  <c r="P72" i="40"/>
  <c r="P73" i="40" s="1"/>
  <c r="P49" i="41"/>
  <c r="P72" i="39"/>
  <c r="P73" i="39" s="1"/>
  <c r="P74" i="39" s="1"/>
  <c r="S88" i="55" s="1"/>
  <c r="X49" i="41"/>
  <c r="X72" i="40"/>
  <c r="X73" i="40" s="1"/>
  <c r="X72" i="39"/>
  <c r="X73" i="39" s="1"/>
  <c r="X74" i="39" s="1"/>
  <c r="AA88" i="55" s="1"/>
  <c r="AF72" i="40"/>
  <c r="AF73" i="40" s="1"/>
  <c r="AF49" i="41"/>
  <c r="AF72" i="39"/>
  <c r="AF73" i="39" s="1"/>
  <c r="AF74" i="39" s="1"/>
  <c r="AI88" i="55" s="1"/>
  <c r="F34" i="52"/>
  <c r="E50" i="41"/>
  <c r="E76" i="40"/>
  <c r="E77" i="40" s="1"/>
  <c r="E78" i="40" s="1"/>
  <c r="H123" i="55" s="1"/>
  <c r="E76" i="39"/>
  <c r="E77" i="39" s="1"/>
  <c r="E78" i="39" s="1"/>
  <c r="H89" i="55" s="1"/>
  <c r="N34" i="52"/>
  <c r="M50" i="41"/>
  <c r="M76" i="40"/>
  <c r="M77" i="40" s="1"/>
  <c r="M78" i="40" s="1"/>
  <c r="P123" i="55" s="1"/>
  <c r="M76" i="39"/>
  <c r="M77" i="39" s="1"/>
  <c r="M78" i="39" s="1"/>
  <c r="P89" i="55" s="1"/>
  <c r="V34" i="52"/>
  <c r="U50" i="41"/>
  <c r="U76" i="40"/>
  <c r="U77" i="40" s="1"/>
  <c r="U78" i="40" s="1"/>
  <c r="X123" i="55" s="1"/>
  <c r="U76" i="39"/>
  <c r="U77" i="39" s="1"/>
  <c r="U78" i="39" s="1"/>
  <c r="X89" i="55" s="1"/>
  <c r="AD34" i="52"/>
  <c r="AC50" i="41"/>
  <c r="AC76" i="40"/>
  <c r="AC77" i="40" s="1"/>
  <c r="AC78" i="40" s="1"/>
  <c r="AF123" i="55" s="1"/>
  <c r="AC76" i="39"/>
  <c r="AC77" i="39" s="1"/>
  <c r="AC78" i="39" s="1"/>
  <c r="AF89" i="55" s="1"/>
  <c r="AK50" i="41"/>
  <c r="AL34" i="52"/>
  <c r="AK76" i="40"/>
  <c r="AK77" i="40" s="1"/>
  <c r="AK78" i="40" s="1"/>
  <c r="AN123" i="55" s="1"/>
  <c r="AK76" i="39"/>
  <c r="AK77" i="39" s="1"/>
  <c r="AK78" i="39" s="1"/>
  <c r="AN89" i="55" s="1"/>
  <c r="G55" i="41"/>
  <c r="G84" i="40"/>
  <c r="G85" i="40" s="1"/>
  <c r="G92" i="39"/>
  <c r="G93" i="39" s="1"/>
  <c r="G94" i="39" s="1"/>
  <c r="J90" i="55" s="1"/>
  <c r="O55" i="41"/>
  <c r="O84" i="40"/>
  <c r="O85" i="40" s="1"/>
  <c r="O92" i="39"/>
  <c r="O93" i="39" s="1"/>
  <c r="O94" i="39" s="1"/>
  <c r="R90" i="55" s="1"/>
  <c r="W55" i="41"/>
  <c r="W84" i="40"/>
  <c r="W85" i="40" s="1"/>
  <c r="W92" i="39"/>
  <c r="W93" i="39" s="1"/>
  <c r="W94" i="39" s="1"/>
  <c r="Z90" i="55" s="1"/>
  <c r="AE55" i="41"/>
  <c r="AE84" i="40"/>
  <c r="AE85" i="40" s="1"/>
  <c r="AE92" i="39"/>
  <c r="AE93" i="39" s="1"/>
  <c r="AE94" i="39" s="1"/>
  <c r="AH90" i="55" s="1"/>
  <c r="D56" i="41"/>
  <c r="D88" i="40"/>
  <c r="D89" i="40" s="1"/>
  <c r="D90" i="40" s="1"/>
  <c r="G125" i="55" s="1"/>
  <c r="D96" i="39"/>
  <c r="D97" i="39" s="1"/>
  <c r="D98" i="39" s="1"/>
  <c r="G91" i="55" s="1"/>
  <c r="L56" i="41"/>
  <c r="L88" i="40"/>
  <c r="L89" i="40" s="1"/>
  <c r="L90" i="40" s="1"/>
  <c r="O125" i="55" s="1"/>
  <c r="L96" i="39"/>
  <c r="L97" i="39" s="1"/>
  <c r="L98" i="39" s="1"/>
  <c r="O91" i="55" s="1"/>
  <c r="T56" i="41"/>
  <c r="T88" i="40"/>
  <c r="T89" i="40" s="1"/>
  <c r="T90" i="40" s="1"/>
  <c r="W125" i="55" s="1"/>
  <c r="T96" i="39"/>
  <c r="T97" i="39" s="1"/>
  <c r="T98" i="39" s="1"/>
  <c r="W91" i="55" s="1"/>
  <c r="AB56" i="41"/>
  <c r="AB88" i="40"/>
  <c r="AB89" i="40" s="1"/>
  <c r="AB90" i="40" s="1"/>
  <c r="AE125" i="55" s="1"/>
  <c r="AB96" i="39"/>
  <c r="AB97" i="39" s="1"/>
  <c r="AB98" i="39" s="1"/>
  <c r="AE91" i="55" s="1"/>
  <c r="AJ56" i="41"/>
  <c r="AJ88" i="40"/>
  <c r="AJ89" i="40" s="1"/>
  <c r="AJ90" i="40" s="1"/>
  <c r="AM125" i="55" s="1"/>
  <c r="AJ96" i="39"/>
  <c r="AJ97" i="39" s="1"/>
  <c r="AJ98" i="39" s="1"/>
  <c r="AM91" i="55" s="1"/>
  <c r="I57" i="41"/>
  <c r="I100" i="39"/>
  <c r="I101" i="39" s="1"/>
  <c r="I102" i="39" s="1"/>
  <c r="L92" i="55" s="1"/>
  <c r="Q57" i="41"/>
  <c r="Q100" i="39"/>
  <c r="Q101" i="39" s="1"/>
  <c r="Q102" i="39" s="1"/>
  <c r="T92" i="55" s="1"/>
  <c r="Y57" i="41"/>
  <c r="Y100" i="39"/>
  <c r="Y101" i="39" s="1"/>
  <c r="Y102" i="39" s="1"/>
  <c r="AB92" i="55" s="1"/>
  <c r="AG57" i="41"/>
  <c r="AG100" i="39"/>
  <c r="AG101" i="39" s="1"/>
  <c r="AG102" i="39" s="1"/>
  <c r="AJ92" i="55" s="1"/>
  <c r="E68" i="32"/>
  <c r="M68" i="32"/>
  <c r="U68" i="32"/>
  <c r="V57" i="41" s="1"/>
  <c r="AC68" i="32"/>
  <c r="C58" i="41"/>
  <c r="E63" i="33"/>
  <c r="F63" i="33" s="1"/>
  <c r="G53" i="55" s="1"/>
  <c r="C104" i="39"/>
  <c r="K58" i="41"/>
  <c r="K104" i="39"/>
  <c r="K105" i="39" s="1"/>
  <c r="K106" i="39" s="1"/>
  <c r="N93" i="55" s="1"/>
  <c r="S58" i="41"/>
  <c r="S104" i="39"/>
  <c r="S105" i="39" s="1"/>
  <c r="S106" i="39" s="1"/>
  <c r="V93" i="55" s="1"/>
  <c r="AA58" i="41"/>
  <c r="AA104" i="39"/>
  <c r="AA105" i="39" s="1"/>
  <c r="AA106" i="39" s="1"/>
  <c r="AD93" i="55" s="1"/>
  <c r="AI58" i="41"/>
  <c r="AI104" i="39"/>
  <c r="AI105" i="39" s="1"/>
  <c r="AI106" i="39" s="1"/>
  <c r="AL93" i="55" s="1"/>
  <c r="G70" i="32"/>
  <c r="O70" i="32"/>
  <c r="W70" i="32"/>
  <c r="AE70" i="32"/>
  <c r="AF58" i="41" s="1"/>
  <c r="E59" i="41"/>
  <c r="E108" i="39"/>
  <c r="E109" i="39" s="1"/>
  <c r="E110" i="39" s="1"/>
  <c r="H94" i="55" s="1"/>
  <c r="M59" i="41"/>
  <c r="M108" i="39"/>
  <c r="M109" i="39" s="1"/>
  <c r="M110" i="39" s="1"/>
  <c r="P94" i="55" s="1"/>
  <c r="U59" i="41"/>
  <c r="U108" i="39"/>
  <c r="U109" i="39" s="1"/>
  <c r="U110" i="39" s="1"/>
  <c r="X94" i="55" s="1"/>
  <c r="AC59" i="41"/>
  <c r="AC108" i="39"/>
  <c r="AC109" i="39" s="1"/>
  <c r="AC110" i="39" s="1"/>
  <c r="AF94" i="55" s="1"/>
  <c r="AK59" i="41"/>
  <c r="AK108" i="39"/>
  <c r="AK109" i="39" s="1"/>
  <c r="AK110" i="39" s="1"/>
  <c r="AN94" i="55" s="1"/>
  <c r="I72" i="32"/>
  <c r="J59" i="41" s="1"/>
  <c r="Q72" i="32"/>
  <c r="R59" i="41" s="1"/>
  <c r="Y72" i="32"/>
  <c r="Z59" i="41" s="1"/>
  <c r="AG72" i="32"/>
  <c r="B14" i="30"/>
  <c r="J14" i="30"/>
  <c r="R14" i="30"/>
  <c r="Z14" i="30"/>
  <c r="AH14" i="30"/>
  <c r="AS46" i="45"/>
  <c r="BA46" i="45"/>
  <c r="AD63" i="35"/>
  <c r="AY57" i="45"/>
  <c r="AX63" i="45"/>
  <c r="W10" i="52"/>
  <c r="AB9" i="52"/>
  <c r="AF10" i="52"/>
  <c r="U9" i="52"/>
  <c r="H11" i="32"/>
  <c r="E28" i="41"/>
  <c r="AC28" i="41"/>
  <c r="W48" i="39"/>
  <c r="W49" i="39" s="1"/>
  <c r="W50" i="39" s="1"/>
  <c r="Z82" i="55" s="1"/>
  <c r="C14" i="19"/>
  <c r="C17" i="19" s="1"/>
  <c r="G44" i="33"/>
  <c r="H23" i="55" s="1"/>
  <c r="E44" i="33"/>
  <c r="F44" i="33"/>
  <c r="G23" i="55" s="1"/>
  <c r="AK33" i="41"/>
  <c r="AC33" i="41"/>
  <c r="U33" i="41"/>
  <c r="M33" i="41"/>
  <c r="E33" i="41"/>
  <c r="AJ33" i="41"/>
  <c r="AB33" i="41"/>
  <c r="T33" i="41"/>
  <c r="L33" i="41"/>
  <c r="D33" i="41"/>
  <c r="AI33" i="41"/>
  <c r="AA33" i="41"/>
  <c r="S33" i="41"/>
  <c r="K33" i="41"/>
  <c r="C33" i="41"/>
  <c r="AH33" i="41"/>
  <c r="Z33" i="41"/>
  <c r="R33" i="41"/>
  <c r="J33" i="41"/>
  <c r="AG33" i="41"/>
  <c r="Y33" i="41"/>
  <c r="Q33" i="41"/>
  <c r="I33" i="41"/>
  <c r="AF33" i="41"/>
  <c r="X33" i="41"/>
  <c r="P33" i="41"/>
  <c r="H33" i="41"/>
  <c r="AE33" i="41"/>
  <c r="W33" i="41"/>
  <c r="O33" i="41"/>
  <c r="G33" i="41"/>
  <c r="AD33" i="41"/>
  <c r="V33" i="41"/>
  <c r="N33" i="41"/>
  <c r="F33" i="41"/>
  <c r="AD12" i="40"/>
  <c r="AD13" i="40" s="1"/>
  <c r="V12" i="40"/>
  <c r="V13" i="40" s="1"/>
  <c r="N12" i="40"/>
  <c r="N13" i="40" s="1"/>
  <c r="F12" i="40"/>
  <c r="F13" i="40" s="1"/>
  <c r="C8" i="40"/>
  <c r="AK12" i="40"/>
  <c r="AK13" i="40" s="1"/>
  <c r="AC12" i="40"/>
  <c r="AC13" i="40" s="1"/>
  <c r="U12" i="40"/>
  <c r="U13" i="40" s="1"/>
  <c r="M12" i="40"/>
  <c r="M13" i="40" s="1"/>
  <c r="E12" i="40"/>
  <c r="E13" i="40" s="1"/>
  <c r="AJ12" i="40"/>
  <c r="AJ13" i="40" s="1"/>
  <c r="AB12" i="40"/>
  <c r="AB13" i="40" s="1"/>
  <c r="T12" i="40"/>
  <c r="T13" i="40" s="1"/>
  <c r="L12" i="40"/>
  <c r="L13" i="40" s="1"/>
  <c r="D12" i="40"/>
  <c r="D13" i="40" s="1"/>
  <c r="AI12" i="40"/>
  <c r="AI13" i="40" s="1"/>
  <c r="AA12" i="40"/>
  <c r="AA13" i="40" s="1"/>
  <c r="S12" i="40"/>
  <c r="S13" i="40" s="1"/>
  <c r="K12" i="40"/>
  <c r="K13" i="40" s="1"/>
  <c r="C12" i="40"/>
  <c r="W8" i="40"/>
  <c r="W9" i="40" s="1"/>
  <c r="W10" i="40" s="1"/>
  <c r="AG12" i="40"/>
  <c r="AG13" i="40" s="1"/>
  <c r="Y12" i="40"/>
  <c r="Y13" i="40" s="1"/>
  <c r="Q12" i="40"/>
  <c r="Q13" i="40" s="1"/>
  <c r="I12" i="40"/>
  <c r="I13" i="40" s="1"/>
  <c r="V8" i="40"/>
  <c r="V9" i="40" s="1"/>
  <c r="N8" i="40"/>
  <c r="N9" i="40" s="1"/>
  <c r="AF12" i="40"/>
  <c r="AF13" i="40" s="1"/>
  <c r="X12" i="40"/>
  <c r="X13" i="40" s="1"/>
  <c r="P12" i="40"/>
  <c r="P13" i="40" s="1"/>
  <c r="H12" i="40"/>
  <c r="H13" i="40" s="1"/>
  <c r="AK8" i="40"/>
  <c r="AK9" i="40" s="1"/>
  <c r="E8" i="40"/>
  <c r="E9" i="40" s="1"/>
  <c r="AE12" i="40"/>
  <c r="AE13" i="40" s="1"/>
  <c r="W12" i="40"/>
  <c r="W13" i="40" s="1"/>
  <c r="O12" i="40"/>
  <c r="O13" i="40" s="1"/>
  <c r="G12" i="40"/>
  <c r="G13" i="40" s="1"/>
  <c r="AJ8" i="40"/>
  <c r="AJ9" i="40" s="1"/>
  <c r="AJ10" i="40" s="1"/>
  <c r="AB8" i="40"/>
  <c r="AB9" i="40" s="1"/>
  <c r="AB10" i="40" s="1"/>
  <c r="T8" i="40"/>
  <c r="T9" i="40" s="1"/>
  <c r="L8" i="40"/>
  <c r="L9" i="40" s="1"/>
  <c r="D8" i="40"/>
  <c r="D9" i="40" s="1"/>
  <c r="G8" i="40"/>
  <c r="G9" i="40" s="1"/>
  <c r="AE8" i="40"/>
  <c r="AE9" i="40" s="1"/>
  <c r="E8" i="52"/>
  <c r="AC8" i="52"/>
  <c r="G9" i="52"/>
  <c r="O9" i="52"/>
  <c r="W9" i="52"/>
  <c r="AE9" i="52"/>
  <c r="Z11" i="32"/>
  <c r="M18" i="32"/>
  <c r="N127" i="39" s="1"/>
  <c r="G28" i="41"/>
  <c r="O28" i="41"/>
  <c r="W28" i="41"/>
  <c r="AE28" i="41"/>
  <c r="E39" i="32"/>
  <c r="F35" i="41" s="1"/>
  <c r="M39" i="32"/>
  <c r="N35" i="41" s="1"/>
  <c r="U39" i="32"/>
  <c r="V35" i="41" s="1"/>
  <c r="AC39" i="32"/>
  <c r="AD35" i="41" s="1"/>
  <c r="E34" i="33"/>
  <c r="F34" i="33" s="1"/>
  <c r="G34" i="33" s="1"/>
  <c r="G42" i="32"/>
  <c r="I25" i="52" s="1"/>
  <c r="O42" i="32"/>
  <c r="Q25" i="52" s="1"/>
  <c r="W42" i="32"/>
  <c r="Y25" i="52" s="1"/>
  <c r="AE42" i="32"/>
  <c r="AG25" i="52" s="1"/>
  <c r="J44" i="40"/>
  <c r="J45" i="40" s="1"/>
  <c r="J39" i="41"/>
  <c r="J36" i="39"/>
  <c r="R44" i="40"/>
  <c r="R45" i="40" s="1"/>
  <c r="R39" i="41"/>
  <c r="R36" i="39"/>
  <c r="Z44" i="40"/>
  <c r="Z45" i="40" s="1"/>
  <c r="Z39" i="41"/>
  <c r="Z36" i="39"/>
  <c r="AH44" i="40"/>
  <c r="AH45" i="40" s="1"/>
  <c r="AH39" i="41"/>
  <c r="AH36" i="39"/>
  <c r="G40" i="41"/>
  <c r="G48" i="40"/>
  <c r="G49" i="40" s="1"/>
  <c r="G40" i="39"/>
  <c r="G41" i="39" s="1"/>
  <c r="G42" i="39" s="1"/>
  <c r="J80" i="55" s="1"/>
  <c r="O40" i="41"/>
  <c r="O48" i="40"/>
  <c r="O49" i="40" s="1"/>
  <c r="O40" i="39"/>
  <c r="O41" i="39" s="1"/>
  <c r="O42" i="39" s="1"/>
  <c r="R80" i="55" s="1"/>
  <c r="W40" i="41"/>
  <c r="W48" i="40"/>
  <c r="W49" i="40" s="1"/>
  <c r="W40" i="39"/>
  <c r="W41" i="39" s="1"/>
  <c r="W42" i="39" s="1"/>
  <c r="Z80" i="55" s="1"/>
  <c r="AE40" i="41"/>
  <c r="AE48" i="40"/>
  <c r="AE49" i="40" s="1"/>
  <c r="AE40" i="39"/>
  <c r="AE41" i="39" s="1"/>
  <c r="AE42" i="39" s="1"/>
  <c r="AH80" i="55" s="1"/>
  <c r="D41" i="41"/>
  <c r="D52" i="40"/>
  <c r="D53" i="40" s="1"/>
  <c r="D44" i="39"/>
  <c r="D45" i="39" s="1"/>
  <c r="D46" i="39" s="1"/>
  <c r="G81" i="55" s="1"/>
  <c r="L41" i="41"/>
  <c r="L52" i="40"/>
  <c r="L53" i="40" s="1"/>
  <c r="L44" i="39"/>
  <c r="L45" i="39" s="1"/>
  <c r="L46" i="39" s="1"/>
  <c r="O81" i="55" s="1"/>
  <c r="T41" i="41"/>
  <c r="T52" i="40"/>
  <c r="T53" i="40" s="1"/>
  <c r="T44" i="39"/>
  <c r="T45" i="39" s="1"/>
  <c r="T46" i="39" s="1"/>
  <c r="W81" i="55" s="1"/>
  <c r="AB41" i="41"/>
  <c r="AB52" i="40"/>
  <c r="AB53" i="40" s="1"/>
  <c r="AB44" i="39"/>
  <c r="AB45" i="39" s="1"/>
  <c r="AB46" i="39" s="1"/>
  <c r="AE81" i="55" s="1"/>
  <c r="AJ41" i="41"/>
  <c r="AJ52" i="40"/>
  <c r="AJ53" i="40" s="1"/>
  <c r="AJ44" i="39"/>
  <c r="AJ45" i="39" s="1"/>
  <c r="AJ46" i="39" s="1"/>
  <c r="AM81" i="55" s="1"/>
  <c r="I42" i="41"/>
  <c r="I48" i="39"/>
  <c r="I49" i="39" s="1"/>
  <c r="I50" i="39" s="1"/>
  <c r="L82" i="55" s="1"/>
  <c r="Q42" i="41"/>
  <c r="Q48" i="39"/>
  <c r="Q49" i="39" s="1"/>
  <c r="Q50" i="39" s="1"/>
  <c r="T82" i="55" s="1"/>
  <c r="Y42" i="41"/>
  <c r="Y48" i="39"/>
  <c r="Y49" i="39" s="1"/>
  <c r="Y50" i="39" s="1"/>
  <c r="AB82" i="55" s="1"/>
  <c r="AG42" i="41"/>
  <c r="AG48" i="39"/>
  <c r="AG49" i="39" s="1"/>
  <c r="AG50" i="39" s="1"/>
  <c r="AJ82" i="55" s="1"/>
  <c r="E48" i="32"/>
  <c r="M48" i="32"/>
  <c r="U48" i="32"/>
  <c r="V42" i="41" s="1"/>
  <c r="AC48" i="32"/>
  <c r="E42" i="33"/>
  <c r="F42" i="33" s="1"/>
  <c r="G40" i="55" s="1"/>
  <c r="C52" i="39"/>
  <c r="K43" i="41"/>
  <c r="K52" i="39"/>
  <c r="K53" i="39" s="1"/>
  <c r="K54" i="39" s="1"/>
  <c r="N83" i="55" s="1"/>
  <c r="S43" i="41"/>
  <c r="S52" i="39"/>
  <c r="S53" i="39" s="1"/>
  <c r="S54" i="39" s="1"/>
  <c r="V83" i="55" s="1"/>
  <c r="AA43" i="41"/>
  <c r="AA52" i="39"/>
  <c r="AA53" i="39" s="1"/>
  <c r="AA54" i="39" s="1"/>
  <c r="AD83" i="55" s="1"/>
  <c r="AI43" i="41"/>
  <c r="AI52" i="39"/>
  <c r="AI53" i="39" s="1"/>
  <c r="AI54" i="39" s="1"/>
  <c r="AL83" i="55" s="1"/>
  <c r="E44" i="41"/>
  <c r="E56" i="40"/>
  <c r="E57" i="40" s="1"/>
  <c r="E56" i="39"/>
  <c r="M44" i="41"/>
  <c r="M56" i="40"/>
  <c r="M57" i="40" s="1"/>
  <c r="M56" i="39"/>
  <c r="U44" i="41"/>
  <c r="U56" i="40"/>
  <c r="U57" i="40" s="1"/>
  <c r="U56" i="39"/>
  <c r="AD28" i="52"/>
  <c r="AC44" i="41"/>
  <c r="AC56" i="40"/>
  <c r="AC57" i="40" s="1"/>
  <c r="AC56" i="39"/>
  <c r="AK44" i="41"/>
  <c r="AK56" i="40"/>
  <c r="AK57" i="40" s="1"/>
  <c r="AK56" i="39"/>
  <c r="J45" i="41"/>
  <c r="J60" i="40"/>
  <c r="J61" i="40" s="1"/>
  <c r="J60" i="39"/>
  <c r="J61" i="39" s="1"/>
  <c r="J62" i="39" s="1"/>
  <c r="M85" i="55" s="1"/>
  <c r="R45" i="41"/>
  <c r="R60" i="40"/>
  <c r="R61" i="40" s="1"/>
  <c r="R60" i="39"/>
  <c r="R61" i="39" s="1"/>
  <c r="R62" i="39" s="1"/>
  <c r="U85" i="55" s="1"/>
  <c r="Z45" i="41"/>
  <c r="Z60" i="40"/>
  <c r="Z61" i="40" s="1"/>
  <c r="Z60" i="39"/>
  <c r="Z61" i="39" s="1"/>
  <c r="Z62" i="39" s="1"/>
  <c r="AC85" i="55" s="1"/>
  <c r="AH45" i="41"/>
  <c r="AH60" i="40"/>
  <c r="AH61" i="40" s="1"/>
  <c r="AH60" i="39"/>
  <c r="AH61" i="39" s="1"/>
  <c r="AH62" i="39" s="1"/>
  <c r="AK85" i="55" s="1"/>
  <c r="G46" i="41"/>
  <c r="H30" i="52"/>
  <c r="G64" i="40"/>
  <c r="G65" i="40" s="1"/>
  <c r="G66" i="40" s="1"/>
  <c r="J120" i="55" s="1"/>
  <c r="G64" i="39"/>
  <c r="G65" i="39" s="1"/>
  <c r="G66" i="39" s="1"/>
  <c r="J86" i="55" s="1"/>
  <c r="O46" i="41"/>
  <c r="P30" i="52"/>
  <c r="O64" i="40"/>
  <c r="O65" i="40" s="1"/>
  <c r="O66" i="40" s="1"/>
  <c r="R120" i="55" s="1"/>
  <c r="O64" i="39"/>
  <c r="O65" i="39" s="1"/>
  <c r="O66" i="39" s="1"/>
  <c r="R86" i="55" s="1"/>
  <c r="W46" i="41"/>
  <c r="X30" i="52"/>
  <c r="W64" i="40"/>
  <c r="W65" i="40" s="1"/>
  <c r="W66" i="40" s="1"/>
  <c r="Z120" i="55" s="1"/>
  <c r="W64" i="39"/>
  <c r="W65" i="39" s="1"/>
  <c r="W66" i="39" s="1"/>
  <c r="Z86" i="55" s="1"/>
  <c r="AF30" i="52"/>
  <c r="AE46" i="41"/>
  <c r="AE64" i="40"/>
  <c r="AE65" i="40" s="1"/>
  <c r="AE66" i="40" s="1"/>
  <c r="AH120" i="55" s="1"/>
  <c r="AE64" i="39"/>
  <c r="AE65" i="39" s="1"/>
  <c r="AE66" i="39" s="1"/>
  <c r="AH86" i="55" s="1"/>
  <c r="D68" i="40"/>
  <c r="D69" i="40" s="1"/>
  <c r="D48" i="41"/>
  <c r="D68" i="39"/>
  <c r="D69" i="39" s="1"/>
  <c r="D70" i="39" s="1"/>
  <c r="G87" i="55" s="1"/>
  <c r="L68" i="40"/>
  <c r="L69" i="40" s="1"/>
  <c r="L48" i="41"/>
  <c r="L68" i="39"/>
  <c r="L69" i="39" s="1"/>
  <c r="L70" i="39" s="1"/>
  <c r="O87" i="55" s="1"/>
  <c r="T68" i="40"/>
  <c r="T69" i="40" s="1"/>
  <c r="T48" i="41"/>
  <c r="T68" i="39"/>
  <c r="T69" i="39" s="1"/>
  <c r="T70" i="39" s="1"/>
  <c r="W87" i="55" s="1"/>
  <c r="AB48" i="41"/>
  <c r="AB68" i="40"/>
  <c r="AB69" i="40" s="1"/>
  <c r="AB68" i="39"/>
  <c r="AB69" i="39" s="1"/>
  <c r="AB70" i="39" s="1"/>
  <c r="AE87" i="55" s="1"/>
  <c r="AJ68" i="40"/>
  <c r="AJ69" i="40" s="1"/>
  <c r="AJ48" i="41"/>
  <c r="AJ68" i="39"/>
  <c r="AJ69" i="39" s="1"/>
  <c r="AJ70" i="39" s="1"/>
  <c r="AM87" i="55" s="1"/>
  <c r="J33" i="52"/>
  <c r="I49" i="41"/>
  <c r="I72" i="40"/>
  <c r="I73" i="40" s="1"/>
  <c r="I72" i="39"/>
  <c r="I73" i="39" s="1"/>
  <c r="I74" i="39" s="1"/>
  <c r="L88" i="55" s="1"/>
  <c r="Q49" i="41"/>
  <c r="Q72" i="40"/>
  <c r="Q73" i="40" s="1"/>
  <c r="Q72" i="39"/>
  <c r="Q73" i="39" s="1"/>
  <c r="Q74" i="39" s="1"/>
  <c r="T88" i="55" s="1"/>
  <c r="Z33" i="52"/>
  <c r="Y49" i="41"/>
  <c r="Y72" i="40"/>
  <c r="Y73" i="40" s="1"/>
  <c r="Y72" i="39"/>
  <c r="Y73" i="39" s="1"/>
  <c r="Y74" i="39" s="1"/>
  <c r="AB88" i="55" s="1"/>
  <c r="AG49" i="41"/>
  <c r="AG72" i="40"/>
  <c r="AG73" i="40" s="1"/>
  <c r="AG72" i="39"/>
  <c r="AG73" i="39" s="1"/>
  <c r="AG74" i="39" s="1"/>
  <c r="AJ88" i="55" s="1"/>
  <c r="F50" i="41"/>
  <c r="F76" i="40"/>
  <c r="F77" i="40" s="1"/>
  <c r="F78" i="40" s="1"/>
  <c r="I123" i="55" s="1"/>
  <c r="F76" i="39"/>
  <c r="F77" i="39" s="1"/>
  <c r="F78" i="39" s="1"/>
  <c r="I89" i="55" s="1"/>
  <c r="N50" i="41"/>
  <c r="N76" i="40"/>
  <c r="N77" i="40" s="1"/>
  <c r="N78" i="40" s="1"/>
  <c r="Q123" i="55" s="1"/>
  <c r="N76" i="39"/>
  <c r="N77" i="39" s="1"/>
  <c r="N78" i="39" s="1"/>
  <c r="Q89" i="55" s="1"/>
  <c r="V50" i="41"/>
  <c r="V76" i="40"/>
  <c r="V77" i="40" s="1"/>
  <c r="V78" i="40" s="1"/>
  <c r="Y123" i="55" s="1"/>
  <c r="V76" i="39"/>
  <c r="V77" i="39" s="1"/>
  <c r="V78" i="39" s="1"/>
  <c r="Y89" i="55" s="1"/>
  <c r="AD50" i="41"/>
  <c r="AD76" i="40"/>
  <c r="AD77" i="40" s="1"/>
  <c r="AD78" i="40" s="1"/>
  <c r="AG123" i="55" s="1"/>
  <c r="AD76" i="39"/>
  <c r="AD77" i="39" s="1"/>
  <c r="AD78" i="39" s="1"/>
  <c r="AG89" i="55" s="1"/>
  <c r="H55" i="41"/>
  <c r="H84" i="40"/>
  <c r="H85" i="40" s="1"/>
  <c r="H92" i="39"/>
  <c r="H93" i="39" s="1"/>
  <c r="H94" i="39" s="1"/>
  <c r="K90" i="55" s="1"/>
  <c r="P55" i="41"/>
  <c r="P84" i="40"/>
  <c r="P85" i="40" s="1"/>
  <c r="P92" i="39"/>
  <c r="P93" i="39" s="1"/>
  <c r="P94" i="39" s="1"/>
  <c r="S90" i="55" s="1"/>
  <c r="X55" i="41"/>
  <c r="X84" i="40"/>
  <c r="X85" i="40" s="1"/>
  <c r="X92" i="39"/>
  <c r="X93" i="39" s="1"/>
  <c r="X94" i="39" s="1"/>
  <c r="AA90" i="55" s="1"/>
  <c r="AF55" i="41"/>
  <c r="AF84" i="40"/>
  <c r="AF85" i="40" s="1"/>
  <c r="AF92" i="39"/>
  <c r="AF93" i="39" s="1"/>
  <c r="AF94" i="39" s="1"/>
  <c r="AI90" i="55" s="1"/>
  <c r="E56" i="41"/>
  <c r="E88" i="40"/>
  <c r="E89" i="40" s="1"/>
  <c r="E90" i="40" s="1"/>
  <c r="H125" i="55" s="1"/>
  <c r="E96" i="39"/>
  <c r="E97" i="39" s="1"/>
  <c r="E98" i="39" s="1"/>
  <c r="H91" i="55" s="1"/>
  <c r="M56" i="41"/>
  <c r="M88" i="40"/>
  <c r="M89" i="40" s="1"/>
  <c r="M90" i="40" s="1"/>
  <c r="P125" i="55" s="1"/>
  <c r="M96" i="39"/>
  <c r="M97" i="39" s="1"/>
  <c r="M98" i="39" s="1"/>
  <c r="P91" i="55" s="1"/>
  <c r="U56" i="41"/>
  <c r="U88" i="40"/>
  <c r="U89" i="40" s="1"/>
  <c r="U90" i="40" s="1"/>
  <c r="X125" i="55" s="1"/>
  <c r="U96" i="39"/>
  <c r="U97" i="39" s="1"/>
  <c r="U98" i="39" s="1"/>
  <c r="X91" i="55" s="1"/>
  <c r="AC56" i="41"/>
  <c r="AC88" i="40"/>
  <c r="AC89" i="40" s="1"/>
  <c r="AC90" i="40" s="1"/>
  <c r="AF125" i="55" s="1"/>
  <c r="AC96" i="39"/>
  <c r="AC97" i="39" s="1"/>
  <c r="AC98" i="39" s="1"/>
  <c r="AF91" i="55" s="1"/>
  <c r="AK56" i="41"/>
  <c r="AK88" i="40"/>
  <c r="AK89" i="40" s="1"/>
  <c r="AK90" i="40" s="1"/>
  <c r="AN125" i="55" s="1"/>
  <c r="AK96" i="39"/>
  <c r="AK97" i="39" s="1"/>
  <c r="AK98" i="39" s="1"/>
  <c r="AN91" i="55" s="1"/>
  <c r="J57" i="41"/>
  <c r="J100" i="39"/>
  <c r="J101" i="39" s="1"/>
  <c r="J102" i="39" s="1"/>
  <c r="M92" i="55" s="1"/>
  <c r="R57" i="41"/>
  <c r="R100" i="39"/>
  <c r="R101" i="39" s="1"/>
  <c r="R102" i="39" s="1"/>
  <c r="U92" i="55" s="1"/>
  <c r="Z57" i="41"/>
  <c r="Z100" i="39"/>
  <c r="Z101" i="39" s="1"/>
  <c r="Z102" i="39" s="1"/>
  <c r="AC92" i="55" s="1"/>
  <c r="AH57" i="41"/>
  <c r="AH100" i="39"/>
  <c r="AH101" i="39" s="1"/>
  <c r="AH102" i="39" s="1"/>
  <c r="AK92" i="55" s="1"/>
  <c r="F68" i="32"/>
  <c r="N68" i="32"/>
  <c r="V68" i="32"/>
  <c r="AD68" i="32"/>
  <c r="AE57" i="41" s="1"/>
  <c r="D58" i="41"/>
  <c r="D104" i="39"/>
  <c r="D105" i="39" s="1"/>
  <c r="D106" i="39" s="1"/>
  <c r="G93" i="55" s="1"/>
  <c r="L58" i="41"/>
  <c r="L104" i="39"/>
  <c r="L105" i="39" s="1"/>
  <c r="L106" i="39" s="1"/>
  <c r="O93" i="55" s="1"/>
  <c r="T58" i="41"/>
  <c r="T104" i="39"/>
  <c r="T105" i="39" s="1"/>
  <c r="T106" i="39" s="1"/>
  <c r="W93" i="55" s="1"/>
  <c r="AB58" i="41"/>
  <c r="AB104" i="39"/>
  <c r="AB105" i="39" s="1"/>
  <c r="AB106" i="39" s="1"/>
  <c r="AE93" i="55" s="1"/>
  <c r="AJ58" i="41"/>
  <c r="AJ104" i="39"/>
  <c r="AJ105" i="39" s="1"/>
  <c r="AJ106" i="39" s="1"/>
  <c r="AM93" i="55" s="1"/>
  <c r="H70" i="32"/>
  <c r="I58" i="41" s="1"/>
  <c r="P70" i="32"/>
  <c r="Q58" i="41" s="1"/>
  <c r="X70" i="32"/>
  <c r="Y58" i="41" s="1"/>
  <c r="AF70" i="32"/>
  <c r="F59" i="41"/>
  <c r="F108" i="39"/>
  <c r="F109" i="39" s="1"/>
  <c r="F110" i="39" s="1"/>
  <c r="I94" i="55" s="1"/>
  <c r="N59" i="41"/>
  <c r="N108" i="39"/>
  <c r="N109" i="39" s="1"/>
  <c r="N110" i="39" s="1"/>
  <c r="Q94" i="55" s="1"/>
  <c r="V59" i="41"/>
  <c r="V108" i="39"/>
  <c r="V109" i="39" s="1"/>
  <c r="V110" i="39" s="1"/>
  <c r="Y94" i="55" s="1"/>
  <c r="AD59" i="41"/>
  <c r="AD108" i="39"/>
  <c r="AD109" i="39" s="1"/>
  <c r="AD110" i="39" s="1"/>
  <c r="AG94" i="55" s="1"/>
  <c r="B72" i="32"/>
  <c r="E66" i="33" s="1"/>
  <c r="J72" i="32"/>
  <c r="K59" i="41" s="1"/>
  <c r="R72" i="32"/>
  <c r="S59" i="41" s="1"/>
  <c r="Z72" i="32"/>
  <c r="AH72" i="32"/>
  <c r="F13" i="30"/>
  <c r="N13" i="30"/>
  <c r="V13" i="30"/>
  <c r="AD13" i="30"/>
  <c r="U10" i="30"/>
  <c r="L16" i="36"/>
  <c r="AJ16" i="36"/>
  <c r="AF86" i="30"/>
  <c r="B60" i="44"/>
  <c r="BA64" i="45"/>
  <c r="M8" i="52"/>
  <c r="O10" i="52"/>
  <c r="E8" i="33"/>
  <c r="D9" i="52"/>
  <c r="L9" i="52"/>
  <c r="T9" i="52"/>
  <c r="AJ9" i="52"/>
  <c r="X10" i="52"/>
  <c r="AK9" i="52"/>
  <c r="AF11" i="32"/>
  <c r="H39" i="41"/>
  <c r="H44" i="40"/>
  <c r="H45" i="40" s="1"/>
  <c r="H36" i="39"/>
  <c r="P39" i="41"/>
  <c r="P44" i="40"/>
  <c r="P45" i="40" s="1"/>
  <c r="P36" i="39"/>
  <c r="X39" i="41"/>
  <c r="X44" i="40"/>
  <c r="X45" i="40" s="1"/>
  <c r="X36" i="39"/>
  <c r="AF39" i="41"/>
  <c r="AF44" i="40"/>
  <c r="AF45" i="40" s="1"/>
  <c r="AF36" i="39"/>
  <c r="E48" i="40"/>
  <c r="E49" i="40" s="1"/>
  <c r="E40" i="41"/>
  <c r="E40" i="39"/>
  <c r="E41" i="39" s="1"/>
  <c r="E42" i="39" s="1"/>
  <c r="H80" i="55" s="1"/>
  <c r="M48" i="40"/>
  <c r="M49" i="40" s="1"/>
  <c r="M40" i="41"/>
  <c r="M40" i="39"/>
  <c r="M41" i="39" s="1"/>
  <c r="M42" i="39" s="1"/>
  <c r="P80" i="55" s="1"/>
  <c r="U48" i="40"/>
  <c r="U49" i="40" s="1"/>
  <c r="U40" i="41"/>
  <c r="U40" i="39"/>
  <c r="U41" i="39" s="1"/>
  <c r="U42" i="39" s="1"/>
  <c r="X80" i="55" s="1"/>
  <c r="AC48" i="40"/>
  <c r="AC49" i="40" s="1"/>
  <c r="AC40" i="41"/>
  <c r="AC40" i="39"/>
  <c r="AC41" i="39" s="1"/>
  <c r="AC42" i="39" s="1"/>
  <c r="AF80" i="55" s="1"/>
  <c r="J41" i="41"/>
  <c r="J52" i="40"/>
  <c r="J53" i="40" s="1"/>
  <c r="J44" i="39"/>
  <c r="J45" i="39" s="1"/>
  <c r="J46" i="39" s="1"/>
  <c r="M81" i="55" s="1"/>
  <c r="R41" i="41"/>
  <c r="R52" i="40"/>
  <c r="R53" i="40" s="1"/>
  <c r="R44" i="39"/>
  <c r="R45" i="39" s="1"/>
  <c r="R46" i="39" s="1"/>
  <c r="U81" i="55" s="1"/>
  <c r="Z41" i="41"/>
  <c r="Z52" i="40"/>
  <c r="Z53" i="40" s="1"/>
  <c r="Z44" i="39"/>
  <c r="Z45" i="39" s="1"/>
  <c r="Z46" i="39" s="1"/>
  <c r="AC81" i="55" s="1"/>
  <c r="AH41" i="41"/>
  <c r="AH52" i="40"/>
  <c r="AH53" i="40" s="1"/>
  <c r="AH44" i="39"/>
  <c r="AH45" i="39" s="1"/>
  <c r="AH46" i="39" s="1"/>
  <c r="AK81" i="55" s="1"/>
  <c r="G48" i="39"/>
  <c r="G49" i="39" s="1"/>
  <c r="G50" i="39" s="1"/>
  <c r="J82" i="55" s="1"/>
  <c r="O48" i="39"/>
  <c r="O49" i="39" s="1"/>
  <c r="O50" i="39" s="1"/>
  <c r="R82" i="55" s="1"/>
  <c r="AE48" i="39"/>
  <c r="AE49" i="39" s="1"/>
  <c r="AE50" i="39" s="1"/>
  <c r="AH82" i="55" s="1"/>
  <c r="AF100" i="39"/>
  <c r="AF101" i="39" s="1"/>
  <c r="AF102" i="39" s="1"/>
  <c r="AI92" i="55" s="1"/>
  <c r="O24" i="40"/>
  <c r="O25" i="40" s="1"/>
  <c r="L20" i="40"/>
  <c r="L21" i="40" s="1"/>
  <c r="N24" i="40"/>
  <c r="N25" i="40" s="1"/>
  <c r="AK24" i="40"/>
  <c r="AK25" i="40" s="1"/>
  <c r="E24" i="40"/>
  <c r="E25" i="40" s="1"/>
  <c r="T24" i="40"/>
  <c r="T25" i="40" s="1"/>
  <c r="L24" i="40"/>
  <c r="L25" i="40" s="1"/>
  <c r="AI24" i="40"/>
  <c r="AI25" i="40" s="1"/>
  <c r="AA24" i="40"/>
  <c r="AA25" i="40" s="1"/>
  <c r="C24" i="40"/>
  <c r="H20" i="40"/>
  <c r="H21" i="40" s="1"/>
  <c r="J24" i="40"/>
  <c r="J25" i="40" s="1"/>
  <c r="AG24" i="40"/>
  <c r="AG25" i="40" s="1"/>
  <c r="I24" i="40"/>
  <c r="I25" i="40" s="1"/>
  <c r="AF24" i="40"/>
  <c r="AF25" i="40" s="1"/>
  <c r="P24" i="40"/>
  <c r="P25" i="40" s="1"/>
  <c r="H24" i="40"/>
  <c r="H25" i="40" s="1"/>
  <c r="AF16" i="39"/>
  <c r="AF17" i="39" s="1"/>
  <c r="AF18" i="39" s="1"/>
  <c r="H16" i="39"/>
  <c r="H17" i="39" s="1"/>
  <c r="H18" i="39" s="1"/>
  <c r="H8" i="40"/>
  <c r="H9" i="40" s="1"/>
  <c r="AF8" i="40"/>
  <c r="AF9" i="40" s="1"/>
  <c r="J12" i="40"/>
  <c r="J13" i="40" s="1"/>
  <c r="H9" i="52"/>
  <c r="P9" i="52"/>
  <c r="X9" i="52"/>
  <c r="AF9" i="52"/>
  <c r="C11" i="32"/>
  <c r="K11" i="32"/>
  <c r="S11" i="32"/>
  <c r="AA11" i="32"/>
  <c r="AI11" i="32"/>
  <c r="H28" i="41"/>
  <c r="P28" i="41"/>
  <c r="X28" i="41"/>
  <c r="AF28" i="41"/>
  <c r="F39" i="32"/>
  <c r="N39" i="32"/>
  <c r="O35" i="41" s="1"/>
  <c r="V39" i="32"/>
  <c r="W35" i="41" s="1"/>
  <c r="AD39" i="32"/>
  <c r="AE35" i="41" s="1"/>
  <c r="H42" i="32"/>
  <c r="J25" i="52" s="1"/>
  <c r="P42" i="32"/>
  <c r="X42" i="32"/>
  <c r="Z25" i="52" s="1"/>
  <c r="AF42" i="32"/>
  <c r="E37" i="33"/>
  <c r="C39" i="41"/>
  <c r="C44" i="40"/>
  <c r="C36" i="39"/>
  <c r="K39" i="41"/>
  <c r="K44" i="40"/>
  <c r="K45" i="40" s="1"/>
  <c r="K36" i="39"/>
  <c r="S39" i="41"/>
  <c r="S44" i="40"/>
  <c r="S45" i="40" s="1"/>
  <c r="S36" i="39"/>
  <c r="AA39" i="41"/>
  <c r="AA44" i="40"/>
  <c r="AA45" i="40" s="1"/>
  <c r="AA36" i="39"/>
  <c r="AI39" i="41"/>
  <c r="AI44" i="40"/>
  <c r="AI45" i="40" s="1"/>
  <c r="AI36" i="39"/>
  <c r="H40" i="41"/>
  <c r="H48" i="40"/>
  <c r="H49" i="40" s="1"/>
  <c r="H40" i="39"/>
  <c r="H41" i="39" s="1"/>
  <c r="H42" i="39" s="1"/>
  <c r="K80" i="55" s="1"/>
  <c r="P40" i="41"/>
  <c r="P48" i="40"/>
  <c r="P49" i="40" s="1"/>
  <c r="P40" i="39"/>
  <c r="P41" i="39" s="1"/>
  <c r="P42" i="39" s="1"/>
  <c r="S80" i="55" s="1"/>
  <c r="X40" i="41"/>
  <c r="X48" i="40"/>
  <c r="X49" i="40" s="1"/>
  <c r="X40" i="39"/>
  <c r="X41" i="39" s="1"/>
  <c r="X42" i="39" s="1"/>
  <c r="AA80" i="55" s="1"/>
  <c r="AF40" i="41"/>
  <c r="AF48" i="40"/>
  <c r="AF49" i="40" s="1"/>
  <c r="AF40" i="39"/>
  <c r="AF41" i="39" s="1"/>
  <c r="AF42" i="39" s="1"/>
  <c r="AI80" i="55" s="1"/>
  <c r="E41" i="41"/>
  <c r="E52" i="40"/>
  <c r="E53" i="40" s="1"/>
  <c r="E44" i="39"/>
  <c r="E45" i="39" s="1"/>
  <c r="E46" i="39" s="1"/>
  <c r="H81" i="55" s="1"/>
  <c r="M41" i="41"/>
  <c r="M52" i="40"/>
  <c r="M53" i="40" s="1"/>
  <c r="M44" i="39"/>
  <c r="M45" i="39" s="1"/>
  <c r="M46" i="39" s="1"/>
  <c r="P81" i="55" s="1"/>
  <c r="U41" i="41"/>
  <c r="U52" i="40"/>
  <c r="U53" i="40" s="1"/>
  <c r="U44" i="39"/>
  <c r="U45" i="39" s="1"/>
  <c r="U46" i="39" s="1"/>
  <c r="X81" i="55" s="1"/>
  <c r="AC41" i="41"/>
  <c r="AC52" i="40"/>
  <c r="AC53" i="40" s="1"/>
  <c r="AC44" i="39"/>
  <c r="AC45" i="39" s="1"/>
  <c r="AC46" i="39" s="1"/>
  <c r="AF81" i="55" s="1"/>
  <c r="AK41" i="41"/>
  <c r="AK52" i="40"/>
  <c r="AK53" i="40" s="1"/>
  <c r="AK44" i="39"/>
  <c r="AK45" i="39" s="1"/>
  <c r="AK46" i="39" s="1"/>
  <c r="AN81" i="55" s="1"/>
  <c r="J42" i="41"/>
  <c r="J48" i="39"/>
  <c r="J49" i="39" s="1"/>
  <c r="J50" i="39" s="1"/>
  <c r="M82" i="55" s="1"/>
  <c r="R42" i="41"/>
  <c r="R48" i="39"/>
  <c r="R49" i="39" s="1"/>
  <c r="R50" i="39" s="1"/>
  <c r="U82" i="55" s="1"/>
  <c r="Z42" i="41"/>
  <c r="Z48" i="39"/>
  <c r="Z49" i="39" s="1"/>
  <c r="Z50" i="39" s="1"/>
  <c r="AC82" i="55" s="1"/>
  <c r="AH42" i="41"/>
  <c r="AH48" i="39"/>
  <c r="AH49" i="39" s="1"/>
  <c r="AH50" i="39" s="1"/>
  <c r="AK82" i="55" s="1"/>
  <c r="F48" i="32"/>
  <c r="G42" i="41" s="1"/>
  <c r="N48" i="32"/>
  <c r="V48" i="32"/>
  <c r="AD48" i="32"/>
  <c r="AE42" i="41" s="1"/>
  <c r="D52" i="39"/>
  <c r="D53" i="39" s="1"/>
  <c r="D54" i="39" s="1"/>
  <c r="G83" i="55" s="1"/>
  <c r="L43" i="41"/>
  <c r="L52" i="39"/>
  <c r="L53" i="39" s="1"/>
  <c r="L54" i="39" s="1"/>
  <c r="O83" i="55" s="1"/>
  <c r="T43" i="41"/>
  <c r="T52" i="39"/>
  <c r="T53" i="39" s="1"/>
  <c r="T54" i="39" s="1"/>
  <c r="W83" i="55" s="1"/>
  <c r="AB43" i="41"/>
  <c r="AB52" i="39"/>
  <c r="AB53" i="39" s="1"/>
  <c r="AB54" i="39" s="1"/>
  <c r="AE83" i="55" s="1"/>
  <c r="AJ43" i="41"/>
  <c r="AJ52" i="39"/>
  <c r="AJ53" i="39" s="1"/>
  <c r="AJ54" i="39" s="1"/>
  <c r="AM83" i="55" s="1"/>
  <c r="H50" i="32"/>
  <c r="I43" i="41" s="1"/>
  <c r="P50" i="32"/>
  <c r="X50" i="32"/>
  <c r="Y43" i="41" s="1"/>
  <c r="AF50" i="32"/>
  <c r="G28" i="52"/>
  <c r="F56" i="40"/>
  <c r="F57" i="40" s="1"/>
  <c r="F44" i="41"/>
  <c r="F56" i="39"/>
  <c r="O28" i="52"/>
  <c r="N44" i="41"/>
  <c r="N56" i="40"/>
  <c r="N57" i="40" s="1"/>
  <c r="N56" i="39"/>
  <c r="V44" i="41"/>
  <c r="V56" i="40"/>
  <c r="V57" i="40" s="1"/>
  <c r="V56" i="39"/>
  <c r="AD44" i="41"/>
  <c r="AD56" i="40"/>
  <c r="AD57" i="40" s="1"/>
  <c r="AD56" i="39"/>
  <c r="E46" i="33"/>
  <c r="F46" i="33" s="1"/>
  <c r="G43" i="55" s="1"/>
  <c r="C45" i="41"/>
  <c r="C60" i="40"/>
  <c r="C60" i="39"/>
  <c r="K45" i="41"/>
  <c r="K60" i="40"/>
  <c r="K61" i="40" s="1"/>
  <c r="K60" i="39"/>
  <c r="K61" i="39" s="1"/>
  <c r="K62" i="39" s="1"/>
  <c r="N85" i="55" s="1"/>
  <c r="S45" i="41"/>
  <c r="S60" i="40"/>
  <c r="S61" i="40" s="1"/>
  <c r="S60" i="39"/>
  <c r="S61" i="39" s="1"/>
  <c r="S62" i="39" s="1"/>
  <c r="V85" i="55" s="1"/>
  <c r="AA45" i="41"/>
  <c r="AA60" i="40"/>
  <c r="AA61" i="40" s="1"/>
  <c r="AA60" i="39"/>
  <c r="AA61" i="39" s="1"/>
  <c r="AA62" i="39" s="1"/>
  <c r="AD85" i="55" s="1"/>
  <c r="AI45" i="41"/>
  <c r="AI60" i="40"/>
  <c r="AI61" i="40" s="1"/>
  <c r="AI60" i="39"/>
  <c r="AI61" i="39" s="1"/>
  <c r="AI62" i="39" s="1"/>
  <c r="AL85" i="55" s="1"/>
  <c r="I30" i="52"/>
  <c r="H64" i="40"/>
  <c r="H65" i="40" s="1"/>
  <c r="H66" i="40" s="1"/>
  <c r="K120" i="55" s="1"/>
  <c r="H46" i="41"/>
  <c r="H64" i="39"/>
  <c r="H65" i="39" s="1"/>
  <c r="H66" i="39" s="1"/>
  <c r="K86" i="55" s="1"/>
  <c r="Q30" i="52"/>
  <c r="P64" i="40"/>
  <c r="P65" i="40" s="1"/>
  <c r="P66" i="40" s="1"/>
  <c r="S120" i="55" s="1"/>
  <c r="P46" i="41"/>
  <c r="P64" i="39"/>
  <c r="P65" i="39" s="1"/>
  <c r="P66" i="39" s="1"/>
  <c r="S86" i="55" s="1"/>
  <c r="Y30" i="52"/>
  <c r="X64" i="40"/>
  <c r="X65" i="40" s="1"/>
  <c r="X66" i="40" s="1"/>
  <c r="AA120" i="55" s="1"/>
  <c r="X46" i="41"/>
  <c r="X64" i="39"/>
  <c r="X65" i="39" s="1"/>
  <c r="X66" i="39" s="1"/>
  <c r="AA86" i="55" s="1"/>
  <c r="AG30" i="52"/>
  <c r="AF46" i="41"/>
  <c r="AF64" i="40"/>
  <c r="AF65" i="40" s="1"/>
  <c r="AF66" i="40" s="1"/>
  <c r="AI120" i="55" s="1"/>
  <c r="AF64" i="39"/>
  <c r="AF65" i="39" s="1"/>
  <c r="AF66" i="39" s="1"/>
  <c r="AI86" i="55" s="1"/>
  <c r="E48" i="41"/>
  <c r="E68" i="40"/>
  <c r="E69" i="40" s="1"/>
  <c r="E68" i="39"/>
  <c r="E69" i="39" s="1"/>
  <c r="E70" i="39" s="1"/>
  <c r="H87" i="55" s="1"/>
  <c r="M48" i="41"/>
  <c r="M68" i="40"/>
  <c r="M69" i="40" s="1"/>
  <c r="M68" i="39"/>
  <c r="M69" i="39" s="1"/>
  <c r="M70" i="39" s="1"/>
  <c r="P87" i="55" s="1"/>
  <c r="U48" i="41"/>
  <c r="U68" i="40"/>
  <c r="U69" i="40" s="1"/>
  <c r="U68" i="39"/>
  <c r="U69" i="39" s="1"/>
  <c r="U70" i="39" s="1"/>
  <c r="X87" i="55" s="1"/>
  <c r="AC48" i="41"/>
  <c r="AC68" i="40"/>
  <c r="AC69" i="40" s="1"/>
  <c r="AC68" i="39"/>
  <c r="AC69" i="39" s="1"/>
  <c r="AC70" i="39" s="1"/>
  <c r="AF87" i="55" s="1"/>
  <c r="AK48" i="41"/>
  <c r="AK68" i="40"/>
  <c r="AK69" i="40" s="1"/>
  <c r="AK68" i="39"/>
  <c r="AK69" i="39" s="1"/>
  <c r="AK70" i="39" s="1"/>
  <c r="AN87" i="55" s="1"/>
  <c r="K33" i="52"/>
  <c r="J49" i="41"/>
  <c r="J72" i="40"/>
  <c r="J73" i="40" s="1"/>
  <c r="J72" i="39"/>
  <c r="J73" i="39" s="1"/>
  <c r="J74" i="39" s="1"/>
  <c r="M88" i="55" s="1"/>
  <c r="S33" i="52"/>
  <c r="R49" i="41"/>
  <c r="R72" i="40"/>
  <c r="R73" i="40" s="1"/>
  <c r="R72" i="39"/>
  <c r="R73" i="39" s="1"/>
  <c r="R74" i="39" s="1"/>
  <c r="U88" i="55" s="1"/>
  <c r="AA33" i="52"/>
  <c r="Z49" i="41"/>
  <c r="Z72" i="40"/>
  <c r="Z73" i="40" s="1"/>
  <c r="Z72" i="39"/>
  <c r="Z73" i="39" s="1"/>
  <c r="Z74" i="39" s="1"/>
  <c r="AC88" i="55" s="1"/>
  <c r="AI33" i="52"/>
  <c r="AH49" i="41"/>
  <c r="AH72" i="40"/>
  <c r="AH73" i="40" s="1"/>
  <c r="AH72" i="39"/>
  <c r="AH73" i="39" s="1"/>
  <c r="AH74" i="39" s="1"/>
  <c r="AK88" i="55" s="1"/>
  <c r="H34" i="52"/>
  <c r="G50" i="41"/>
  <c r="G76" i="40"/>
  <c r="G77" i="40" s="1"/>
  <c r="G78" i="40" s="1"/>
  <c r="J123" i="55" s="1"/>
  <c r="G76" i="39"/>
  <c r="G77" i="39" s="1"/>
  <c r="G78" i="39" s="1"/>
  <c r="J89" i="55" s="1"/>
  <c r="O50" i="41"/>
  <c r="P34" i="52"/>
  <c r="O76" i="40"/>
  <c r="O77" i="40" s="1"/>
  <c r="O78" i="40" s="1"/>
  <c r="R123" i="55" s="1"/>
  <c r="O76" i="39"/>
  <c r="O77" i="39" s="1"/>
  <c r="O78" i="39" s="1"/>
  <c r="R89" i="55" s="1"/>
  <c r="X34" i="52"/>
  <c r="W50" i="41"/>
  <c r="W76" i="40"/>
  <c r="W77" i="40" s="1"/>
  <c r="W78" i="40" s="1"/>
  <c r="Z123" i="55" s="1"/>
  <c r="W76" i="39"/>
  <c r="W77" i="39" s="1"/>
  <c r="W78" i="39" s="1"/>
  <c r="Z89" i="55" s="1"/>
  <c r="AF34" i="52"/>
  <c r="AE50" i="41"/>
  <c r="AE76" i="40"/>
  <c r="AE77" i="40" s="1"/>
  <c r="AE78" i="40" s="1"/>
  <c r="AH123" i="55" s="1"/>
  <c r="AE76" i="39"/>
  <c r="AE77" i="39" s="1"/>
  <c r="AE78" i="39" s="1"/>
  <c r="AH89" i="55" s="1"/>
  <c r="I55" i="41"/>
  <c r="I84" i="40"/>
  <c r="I85" i="40" s="1"/>
  <c r="I92" i="39"/>
  <c r="I93" i="39" s="1"/>
  <c r="I94" i="39" s="1"/>
  <c r="L90" i="55" s="1"/>
  <c r="Q55" i="41"/>
  <c r="Q84" i="40"/>
  <c r="Q85" i="40" s="1"/>
  <c r="Q92" i="39"/>
  <c r="Q93" i="39" s="1"/>
  <c r="Q94" i="39" s="1"/>
  <c r="T90" i="55" s="1"/>
  <c r="Y55" i="41"/>
  <c r="Y84" i="40"/>
  <c r="Y85" i="40" s="1"/>
  <c r="Y92" i="39"/>
  <c r="Y93" i="39" s="1"/>
  <c r="Y94" i="39" s="1"/>
  <c r="AB90" i="55" s="1"/>
  <c r="AG55" i="41"/>
  <c r="AG84" i="40"/>
  <c r="AG85" i="40" s="1"/>
  <c r="AG92" i="39"/>
  <c r="AG93" i="39" s="1"/>
  <c r="AG94" i="39" s="1"/>
  <c r="AJ90" i="55" s="1"/>
  <c r="F56" i="41"/>
  <c r="F88" i="40"/>
  <c r="F89" i="40" s="1"/>
  <c r="F90" i="40" s="1"/>
  <c r="I125" i="55" s="1"/>
  <c r="F96" i="39"/>
  <c r="F97" i="39" s="1"/>
  <c r="F98" i="39" s="1"/>
  <c r="I91" i="55" s="1"/>
  <c r="N56" i="41"/>
  <c r="N88" i="40"/>
  <c r="N89" i="40" s="1"/>
  <c r="N90" i="40" s="1"/>
  <c r="Q125" i="55" s="1"/>
  <c r="N96" i="39"/>
  <c r="N97" i="39" s="1"/>
  <c r="N98" i="39" s="1"/>
  <c r="Q91" i="55" s="1"/>
  <c r="V56" i="41"/>
  <c r="V88" i="40"/>
  <c r="V89" i="40" s="1"/>
  <c r="V90" i="40" s="1"/>
  <c r="Y125" i="55" s="1"/>
  <c r="V96" i="39"/>
  <c r="V97" i="39" s="1"/>
  <c r="V98" i="39" s="1"/>
  <c r="Y91" i="55" s="1"/>
  <c r="AD56" i="41"/>
  <c r="AD88" i="40"/>
  <c r="AD89" i="40" s="1"/>
  <c r="AD90" i="40" s="1"/>
  <c r="AG125" i="55" s="1"/>
  <c r="AD96" i="39"/>
  <c r="AD97" i="39" s="1"/>
  <c r="AD98" i="39" s="1"/>
  <c r="AG91" i="55" s="1"/>
  <c r="E61" i="33"/>
  <c r="F61" i="33" s="1"/>
  <c r="G51" i="55" s="1"/>
  <c r="C57" i="41"/>
  <c r="C100" i="39"/>
  <c r="K57" i="41"/>
  <c r="K100" i="39"/>
  <c r="K101" i="39" s="1"/>
  <c r="K102" i="39" s="1"/>
  <c r="N92" i="55" s="1"/>
  <c r="S57" i="41"/>
  <c r="S100" i="39"/>
  <c r="S101" i="39" s="1"/>
  <c r="S102" i="39" s="1"/>
  <c r="V92" i="55" s="1"/>
  <c r="AA57" i="41"/>
  <c r="AA100" i="39"/>
  <c r="AA101" i="39" s="1"/>
  <c r="AA102" i="39" s="1"/>
  <c r="AD92" i="55" s="1"/>
  <c r="AI57" i="41"/>
  <c r="AI100" i="39"/>
  <c r="AI101" i="39" s="1"/>
  <c r="AI102" i="39" s="1"/>
  <c r="AL92" i="55" s="1"/>
  <c r="G68" i="32"/>
  <c r="O68" i="32"/>
  <c r="W68" i="32"/>
  <c r="X57" i="41" s="1"/>
  <c r="AE68" i="32"/>
  <c r="AF57" i="41" s="1"/>
  <c r="E58" i="41"/>
  <c r="E104" i="39"/>
  <c r="E105" i="39" s="1"/>
  <c r="E106" i="39" s="1"/>
  <c r="H93" i="55" s="1"/>
  <c r="M58" i="41"/>
  <c r="M104" i="39"/>
  <c r="M105" i="39" s="1"/>
  <c r="M106" i="39" s="1"/>
  <c r="P93" i="55" s="1"/>
  <c r="U58" i="41"/>
  <c r="U104" i="39"/>
  <c r="U105" i="39" s="1"/>
  <c r="U106" i="39" s="1"/>
  <c r="X93" i="55" s="1"/>
  <c r="AC58" i="41"/>
  <c r="AC104" i="39"/>
  <c r="AC105" i="39" s="1"/>
  <c r="AC106" i="39" s="1"/>
  <c r="AF93" i="55" s="1"/>
  <c r="AK58" i="41"/>
  <c r="AK104" i="39"/>
  <c r="AK105" i="39" s="1"/>
  <c r="AK106" i="39" s="1"/>
  <c r="AN93" i="55" s="1"/>
  <c r="I70" i="32"/>
  <c r="J58" i="41" s="1"/>
  <c r="Q70" i="32"/>
  <c r="Y70" i="32"/>
  <c r="Z58" i="41" s="1"/>
  <c r="AG70" i="32"/>
  <c r="G59" i="41"/>
  <c r="G108" i="39"/>
  <c r="G109" i="39" s="1"/>
  <c r="G110" i="39" s="1"/>
  <c r="J94" i="55" s="1"/>
  <c r="O59" i="41"/>
  <c r="O108" i="39"/>
  <c r="O109" i="39" s="1"/>
  <c r="O110" i="39" s="1"/>
  <c r="R94" i="55" s="1"/>
  <c r="W59" i="41"/>
  <c r="W108" i="39"/>
  <c r="W109" i="39" s="1"/>
  <c r="W110" i="39" s="1"/>
  <c r="Z94" i="55" s="1"/>
  <c r="AE59" i="41"/>
  <c r="AE108" i="39"/>
  <c r="AE109" i="39" s="1"/>
  <c r="AE110" i="39" s="1"/>
  <c r="AH94" i="55" s="1"/>
  <c r="C72" i="32"/>
  <c r="K72" i="32"/>
  <c r="S72" i="32"/>
  <c r="T59" i="41" s="1"/>
  <c r="AA72" i="32"/>
  <c r="AI72" i="32"/>
  <c r="AM46" i="45"/>
  <c r="AU46" i="45"/>
  <c r="M16" i="36"/>
  <c r="AK16" i="36"/>
  <c r="AG86" i="30"/>
  <c r="AT14" i="45"/>
  <c r="AL14" i="45"/>
  <c r="AD14" i="45"/>
  <c r="V14" i="45"/>
  <c r="AS14" i="45"/>
  <c r="AK14" i="45"/>
  <c r="AC14" i="45"/>
  <c r="U14" i="45"/>
  <c r="AR14" i="45"/>
  <c r="AJ14" i="45"/>
  <c r="AB14" i="45"/>
  <c r="T14" i="45"/>
  <c r="AQ14" i="45"/>
  <c r="AI14" i="45"/>
  <c r="AA14" i="45"/>
  <c r="S14" i="45"/>
  <c r="AP14" i="45"/>
  <c r="AH14" i="45"/>
  <c r="Z14" i="45"/>
  <c r="AV14" i="45"/>
  <c r="AN14" i="45"/>
  <c r="AF14" i="45"/>
  <c r="X14" i="45"/>
  <c r="AU14" i="45"/>
  <c r="AM14" i="45"/>
  <c r="AE14" i="45"/>
  <c r="W14" i="45"/>
  <c r="AZ36" i="45"/>
  <c r="AV65" i="45"/>
  <c r="AL17" i="36"/>
  <c r="AD17" i="36"/>
  <c r="V17" i="36"/>
  <c r="N17" i="36"/>
  <c r="F17" i="36"/>
  <c r="AK17" i="36"/>
  <c r="AC17" i="36"/>
  <c r="U17" i="36"/>
  <c r="M17" i="36"/>
  <c r="AJ17" i="36"/>
  <c r="AB17" i="36"/>
  <c r="T17" i="36"/>
  <c r="L17" i="36"/>
  <c r="AH17" i="36"/>
  <c r="Z17" i="36"/>
  <c r="R17" i="36"/>
  <c r="J17" i="36"/>
  <c r="AN17" i="36"/>
  <c r="AF17" i="36"/>
  <c r="X17" i="36"/>
  <c r="P17" i="36"/>
  <c r="H17" i="36"/>
  <c r="AM17" i="36"/>
  <c r="AE17" i="36"/>
  <c r="W17" i="36"/>
  <c r="O17" i="36"/>
  <c r="G17" i="36"/>
  <c r="Q17" i="36"/>
  <c r="K17" i="36"/>
  <c r="I17" i="36"/>
  <c r="AI17" i="36"/>
  <c r="AG17" i="36"/>
  <c r="Y17" i="36"/>
  <c r="S17" i="36"/>
  <c r="AA17" i="36"/>
  <c r="AE40" i="40"/>
  <c r="AE41" i="40" s="1"/>
  <c r="W40" i="40"/>
  <c r="W41" i="40" s="1"/>
  <c r="O40" i="40"/>
  <c r="O41" i="40" s="1"/>
  <c r="G40" i="40"/>
  <c r="G41" i="40" s="1"/>
  <c r="AD40" i="40"/>
  <c r="AD41" i="40" s="1"/>
  <c r="V40" i="40"/>
  <c r="V41" i="40" s="1"/>
  <c r="N40" i="40"/>
  <c r="N41" i="40" s="1"/>
  <c r="F40" i="40"/>
  <c r="F41" i="40" s="1"/>
  <c r="AK40" i="40"/>
  <c r="AK41" i="40" s="1"/>
  <c r="AC40" i="40"/>
  <c r="AC41" i="40" s="1"/>
  <c r="U40" i="40"/>
  <c r="U41" i="40" s="1"/>
  <c r="M40" i="40"/>
  <c r="M41" i="40" s="1"/>
  <c r="E40" i="40"/>
  <c r="E41" i="40" s="1"/>
  <c r="AJ40" i="40"/>
  <c r="AJ41" i="40" s="1"/>
  <c r="AB40" i="40"/>
  <c r="AB41" i="40" s="1"/>
  <c r="T40" i="40"/>
  <c r="T41" i="40" s="1"/>
  <c r="L40" i="40"/>
  <c r="L41" i="40" s="1"/>
  <c r="D40" i="40"/>
  <c r="D41" i="40" s="1"/>
  <c r="AI40" i="40"/>
  <c r="AI41" i="40" s="1"/>
  <c r="AA40" i="40"/>
  <c r="AA41" i="40" s="1"/>
  <c r="S40" i="40"/>
  <c r="S41" i="40" s="1"/>
  <c r="K40" i="40"/>
  <c r="K41" i="40" s="1"/>
  <c r="C40" i="40"/>
  <c r="AH40" i="40"/>
  <c r="AH41" i="40" s="1"/>
  <c r="Z40" i="40"/>
  <c r="Z41" i="40" s="1"/>
  <c r="R40" i="40"/>
  <c r="R41" i="40" s="1"/>
  <c r="J40" i="40"/>
  <c r="J41" i="40" s="1"/>
  <c r="AG40" i="40"/>
  <c r="AG41" i="40" s="1"/>
  <c r="Y40" i="40"/>
  <c r="Y41" i="40" s="1"/>
  <c r="Q40" i="40"/>
  <c r="Q41" i="40" s="1"/>
  <c r="I40" i="40"/>
  <c r="I41" i="40" s="1"/>
  <c r="AF40" i="40"/>
  <c r="AF41" i="40" s="1"/>
  <c r="X40" i="40"/>
  <c r="X41" i="40" s="1"/>
  <c r="P40" i="40"/>
  <c r="P41" i="40" s="1"/>
  <c r="H40" i="40"/>
  <c r="H41" i="40" s="1"/>
  <c r="AE32" i="39"/>
  <c r="AE33" i="39" s="1"/>
  <c r="AE34" i="39" s="1"/>
  <c r="AH78" i="55" s="1"/>
  <c r="W32" i="39"/>
  <c r="W33" i="39" s="1"/>
  <c r="W34" i="39" s="1"/>
  <c r="Z78" i="55" s="1"/>
  <c r="O32" i="39"/>
  <c r="O33" i="39" s="1"/>
  <c r="O34" i="39" s="1"/>
  <c r="R78" i="55" s="1"/>
  <c r="G32" i="39"/>
  <c r="G33" i="39" s="1"/>
  <c r="G34" i="39" s="1"/>
  <c r="J78" i="55" s="1"/>
  <c r="AD32" i="39"/>
  <c r="AD33" i="39" s="1"/>
  <c r="AD34" i="39" s="1"/>
  <c r="AG78" i="55" s="1"/>
  <c r="V32" i="39"/>
  <c r="V33" i="39" s="1"/>
  <c r="V34" i="39" s="1"/>
  <c r="Y78" i="55" s="1"/>
  <c r="N32" i="39"/>
  <c r="N33" i="39" s="1"/>
  <c r="N34" i="39" s="1"/>
  <c r="Q78" i="55" s="1"/>
  <c r="F32" i="39"/>
  <c r="F33" i="39" s="1"/>
  <c r="F34" i="39" s="1"/>
  <c r="I78" i="55" s="1"/>
  <c r="AK32" i="39"/>
  <c r="AK33" i="39" s="1"/>
  <c r="AK34" i="39" s="1"/>
  <c r="AN78" i="55" s="1"/>
  <c r="AC32" i="39"/>
  <c r="AC33" i="39" s="1"/>
  <c r="AC34" i="39" s="1"/>
  <c r="AF78" i="55" s="1"/>
  <c r="U32" i="39"/>
  <c r="U33" i="39" s="1"/>
  <c r="U34" i="39" s="1"/>
  <c r="X78" i="55" s="1"/>
  <c r="M32" i="39"/>
  <c r="M33" i="39" s="1"/>
  <c r="M34" i="39" s="1"/>
  <c r="P78" i="55" s="1"/>
  <c r="E32" i="39"/>
  <c r="E33" i="39" s="1"/>
  <c r="E34" i="39" s="1"/>
  <c r="H78" i="55" s="1"/>
  <c r="AJ32" i="39"/>
  <c r="AJ33" i="39" s="1"/>
  <c r="AJ34" i="39" s="1"/>
  <c r="AM78" i="55" s="1"/>
  <c r="AB32" i="39"/>
  <c r="AB33" i="39" s="1"/>
  <c r="AB34" i="39" s="1"/>
  <c r="AE78" i="55" s="1"/>
  <c r="T32" i="39"/>
  <c r="T33" i="39" s="1"/>
  <c r="T34" i="39" s="1"/>
  <c r="W78" i="55" s="1"/>
  <c r="L32" i="39"/>
  <c r="L33" i="39" s="1"/>
  <c r="L34" i="39" s="1"/>
  <c r="O78" i="55" s="1"/>
  <c r="D32" i="39"/>
  <c r="D33" i="39" s="1"/>
  <c r="D34" i="39" s="1"/>
  <c r="G78" i="55" s="1"/>
  <c r="AI32" i="39"/>
  <c r="AI33" i="39" s="1"/>
  <c r="AI34" i="39" s="1"/>
  <c r="AL78" i="55" s="1"/>
  <c r="AA32" i="39"/>
  <c r="AA33" i="39" s="1"/>
  <c r="AA34" i="39" s="1"/>
  <c r="AD78" i="55" s="1"/>
  <c r="S32" i="39"/>
  <c r="S33" i="39" s="1"/>
  <c r="S34" i="39" s="1"/>
  <c r="V78" i="55" s="1"/>
  <c r="K32" i="39"/>
  <c r="K33" i="39" s="1"/>
  <c r="K34" i="39" s="1"/>
  <c r="N78" i="55" s="1"/>
  <c r="C32" i="39"/>
  <c r="C33" i="39" s="1"/>
  <c r="AH32" i="39"/>
  <c r="AH33" i="39" s="1"/>
  <c r="AH34" i="39" s="1"/>
  <c r="AK78" i="55" s="1"/>
  <c r="Z32" i="39"/>
  <c r="Z33" i="39" s="1"/>
  <c r="Z34" i="39" s="1"/>
  <c r="AC78" i="55" s="1"/>
  <c r="R32" i="39"/>
  <c r="R33" i="39" s="1"/>
  <c r="R34" i="39" s="1"/>
  <c r="U78" i="55" s="1"/>
  <c r="J32" i="39"/>
  <c r="J33" i="39" s="1"/>
  <c r="J34" i="39" s="1"/>
  <c r="M78" i="55" s="1"/>
  <c r="AG32" i="39"/>
  <c r="AG33" i="39" s="1"/>
  <c r="AG34" i="39" s="1"/>
  <c r="AJ78" i="55" s="1"/>
  <c r="Y32" i="39"/>
  <c r="Y33" i="39" s="1"/>
  <c r="Y34" i="39" s="1"/>
  <c r="AB78" i="55" s="1"/>
  <c r="Q32" i="39"/>
  <c r="Q33" i="39" s="1"/>
  <c r="Q34" i="39" s="1"/>
  <c r="T78" i="55" s="1"/>
  <c r="I32" i="39"/>
  <c r="I33" i="39" s="1"/>
  <c r="I34" i="39" s="1"/>
  <c r="L78" i="55" s="1"/>
  <c r="AF32" i="39"/>
  <c r="AF33" i="39" s="1"/>
  <c r="AF34" i="39" s="1"/>
  <c r="AI78" i="55" s="1"/>
  <c r="X32" i="39"/>
  <c r="X33" i="39" s="1"/>
  <c r="X34" i="39" s="1"/>
  <c r="AA78" i="55" s="1"/>
  <c r="P32" i="39"/>
  <c r="P33" i="39" s="1"/>
  <c r="P34" i="39" s="1"/>
  <c r="S78" i="55" s="1"/>
  <c r="H32" i="39"/>
  <c r="H33" i="39" s="1"/>
  <c r="H34" i="39" s="1"/>
  <c r="K78" i="55" s="1"/>
  <c r="I9" i="52"/>
  <c r="Q9" i="52"/>
  <c r="Y9" i="52"/>
  <c r="AG9" i="52"/>
  <c r="E11" i="52"/>
  <c r="M11" i="52"/>
  <c r="U11" i="52"/>
  <c r="AC11" i="52"/>
  <c r="AK11" i="52"/>
  <c r="I28" i="41"/>
  <c r="Q28" i="41"/>
  <c r="Y28" i="41"/>
  <c r="AG28" i="41"/>
  <c r="E24" i="33"/>
  <c r="D39" i="41"/>
  <c r="D44" i="40"/>
  <c r="D45" i="40" s="1"/>
  <c r="D36" i="39"/>
  <c r="L39" i="41"/>
  <c r="L44" i="40"/>
  <c r="L45" i="40" s="1"/>
  <c r="L36" i="39"/>
  <c r="T39" i="41"/>
  <c r="T44" i="40"/>
  <c r="T45" i="40" s="1"/>
  <c r="T36" i="39"/>
  <c r="AB39" i="41"/>
  <c r="AB44" i="40"/>
  <c r="AB45" i="40" s="1"/>
  <c r="AB36" i="39"/>
  <c r="AJ39" i="41"/>
  <c r="AJ44" i="40"/>
  <c r="AJ45" i="40" s="1"/>
  <c r="AJ36" i="39"/>
  <c r="I40" i="41"/>
  <c r="I48" i="40"/>
  <c r="I49" i="40" s="1"/>
  <c r="I40" i="39"/>
  <c r="I41" i="39" s="1"/>
  <c r="I42" i="39" s="1"/>
  <c r="L80" i="55" s="1"/>
  <c r="Q40" i="41"/>
  <c r="Q48" i="40"/>
  <c r="Q49" i="40" s="1"/>
  <c r="Q40" i="39"/>
  <c r="Q41" i="39" s="1"/>
  <c r="Q42" i="39" s="1"/>
  <c r="T80" i="55" s="1"/>
  <c r="Y40" i="41"/>
  <c r="Y48" i="40"/>
  <c r="Y49" i="40" s="1"/>
  <c r="Y40" i="39"/>
  <c r="Y41" i="39" s="1"/>
  <c r="Y42" i="39" s="1"/>
  <c r="AB80" i="55" s="1"/>
  <c r="AG40" i="41"/>
  <c r="AG48" i="40"/>
  <c r="AG49" i="40" s="1"/>
  <c r="AG40" i="39"/>
  <c r="AG41" i="39" s="1"/>
  <c r="AG42" i="39" s="1"/>
  <c r="AJ80" i="55" s="1"/>
  <c r="F41" i="41"/>
  <c r="F52" i="40"/>
  <c r="F53" i="40" s="1"/>
  <c r="F44" i="39"/>
  <c r="F45" i="39" s="1"/>
  <c r="F46" i="39" s="1"/>
  <c r="I81" i="55" s="1"/>
  <c r="N41" i="41"/>
  <c r="N52" i="40"/>
  <c r="N53" i="40" s="1"/>
  <c r="N44" i="39"/>
  <c r="N45" i="39" s="1"/>
  <c r="N46" i="39" s="1"/>
  <c r="Q81" i="55" s="1"/>
  <c r="V41" i="41"/>
  <c r="V52" i="40"/>
  <c r="V53" i="40" s="1"/>
  <c r="V44" i="39"/>
  <c r="V45" i="39" s="1"/>
  <c r="V46" i="39" s="1"/>
  <c r="Y81" i="55" s="1"/>
  <c r="AD41" i="41"/>
  <c r="AD52" i="40"/>
  <c r="AD53" i="40" s="1"/>
  <c r="AD44" i="39"/>
  <c r="AD45" i="39" s="1"/>
  <c r="AD46" i="39" s="1"/>
  <c r="AG81" i="55" s="1"/>
  <c r="E40" i="33"/>
  <c r="C42" i="41"/>
  <c r="C48" i="39"/>
  <c r="C49" i="39" s="1"/>
  <c r="K42" i="41"/>
  <c r="K48" i="39"/>
  <c r="K49" i="39" s="1"/>
  <c r="K50" i="39" s="1"/>
  <c r="N82" i="55" s="1"/>
  <c r="S42" i="41"/>
  <c r="S48" i="39"/>
  <c r="S49" i="39" s="1"/>
  <c r="S50" i="39" s="1"/>
  <c r="V82" i="55" s="1"/>
  <c r="AA42" i="41"/>
  <c r="AA48" i="39"/>
  <c r="AA49" i="39" s="1"/>
  <c r="AA50" i="39" s="1"/>
  <c r="AD82" i="55" s="1"/>
  <c r="AI42" i="41"/>
  <c r="AI48" i="39"/>
  <c r="AI49" i="39" s="1"/>
  <c r="AI50" i="39" s="1"/>
  <c r="AL82" i="55" s="1"/>
  <c r="E52" i="39"/>
  <c r="E53" i="39" s="1"/>
  <c r="E54" i="39" s="1"/>
  <c r="H83" i="55" s="1"/>
  <c r="M52" i="39"/>
  <c r="M53" i="39" s="1"/>
  <c r="M54" i="39" s="1"/>
  <c r="P83" i="55" s="1"/>
  <c r="U52" i="39"/>
  <c r="U53" i="39" s="1"/>
  <c r="U54" i="39" s="1"/>
  <c r="X83" i="55" s="1"/>
  <c r="AC52" i="39"/>
  <c r="AC53" i="39" s="1"/>
  <c r="AC54" i="39" s="1"/>
  <c r="AF83" i="55" s="1"/>
  <c r="AK52" i="39"/>
  <c r="AK53" i="39" s="1"/>
  <c r="AK54" i="39" s="1"/>
  <c r="AN83" i="55" s="1"/>
  <c r="G44" i="41"/>
  <c r="H28" i="52"/>
  <c r="G56" i="40"/>
  <c r="G57" i="40" s="1"/>
  <c r="G56" i="39"/>
  <c r="O44" i="41"/>
  <c r="O56" i="40"/>
  <c r="O57" i="40" s="1"/>
  <c r="O56" i="39"/>
  <c r="W44" i="41"/>
  <c r="W56" i="40"/>
  <c r="W57" i="40" s="1"/>
  <c r="W56" i="39"/>
  <c r="AE44" i="41"/>
  <c r="AE56" i="40"/>
  <c r="AE57" i="40" s="1"/>
  <c r="AE56" i="39"/>
  <c r="D45" i="41"/>
  <c r="D60" i="40"/>
  <c r="D61" i="40" s="1"/>
  <c r="D60" i="39"/>
  <c r="D61" i="39" s="1"/>
  <c r="D62" i="39" s="1"/>
  <c r="G85" i="55" s="1"/>
  <c r="L60" i="40"/>
  <c r="L61" i="40" s="1"/>
  <c r="L45" i="41"/>
  <c r="L60" i="39"/>
  <c r="L61" i="39" s="1"/>
  <c r="L62" i="39" s="1"/>
  <c r="O85" i="55" s="1"/>
  <c r="U29" i="52"/>
  <c r="T60" i="40"/>
  <c r="T61" i="40" s="1"/>
  <c r="T45" i="41"/>
  <c r="T60" i="39"/>
  <c r="T61" i="39" s="1"/>
  <c r="T62" i="39" s="1"/>
  <c r="W85" i="55" s="1"/>
  <c r="AB45" i="41"/>
  <c r="AB60" i="40"/>
  <c r="AB61" i="40" s="1"/>
  <c r="AB60" i="39"/>
  <c r="AB61" i="39" s="1"/>
  <c r="AB62" i="39" s="1"/>
  <c r="AE85" i="55" s="1"/>
  <c r="AJ45" i="41"/>
  <c r="AJ60" i="40"/>
  <c r="AJ61" i="40" s="1"/>
  <c r="AJ60" i="39"/>
  <c r="AJ61" i="39" s="1"/>
  <c r="AJ62" i="39" s="1"/>
  <c r="AM85" i="55" s="1"/>
  <c r="I46" i="41"/>
  <c r="I64" i="40"/>
  <c r="I65" i="40" s="1"/>
  <c r="I66" i="40" s="1"/>
  <c r="L120" i="55" s="1"/>
  <c r="I64" i="39"/>
  <c r="I65" i="39" s="1"/>
  <c r="I66" i="39" s="1"/>
  <c r="L86" i="55" s="1"/>
  <c r="Q46" i="41"/>
  <c r="Q64" i="40"/>
  <c r="Q65" i="40" s="1"/>
  <c r="Q66" i="40" s="1"/>
  <c r="T120" i="55" s="1"/>
  <c r="Q64" i="39"/>
  <c r="Q65" i="39" s="1"/>
  <c r="Q66" i="39" s="1"/>
  <c r="T86" i="55" s="1"/>
  <c r="Y46" i="41"/>
  <c r="Y64" i="40"/>
  <c r="Y65" i="40" s="1"/>
  <c r="Y66" i="40" s="1"/>
  <c r="AB120" i="55" s="1"/>
  <c r="Y64" i="39"/>
  <c r="Y65" i="39" s="1"/>
  <c r="Y66" i="39" s="1"/>
  <c r="AB86" i="55" s="1"/>
  <c r="AG46" i="41"/>
  <c r="AG64" i="40"/>
  <c r="AG65" i="40" s="1"/>
  <c r="AG66" i="40" s="1"/>
  <c r="AJ120" i="55" s="1"/>
  <c r="AG64" i="39"/>
  <c r="AG65" i="39" s="1"/>
  <c r="AG66" i="39" s="1"/>
  <c r="AJ86" i="55" s="1"/>
  <c r="F48" i="41"/>
  <c r="F68" i="40"/>
  <c r="F69" i="40" s="1"/>
  <c r="F68" i="39"/>
  <c r="F69" i="39" s="1"/>
  <c r="F70" i="39" s="1"/>
  <c r="I87" i="55" s="1"/>
  <c r="N48" i="41"/>
  <c r="N68" i="40"/>
  <c r="N69" i="40" s="1"/>
  <c r="N68" i="39"/>
  <c r="N69" i="39" s="1"/>
  <c r="N70" i="39" s="1"/>
  <c r="Q87" i="55" s="1"/>
  <c r="V48" i="41"/>
  <c r="V68" i="40"/>
  <c r="V69" i="40" s="1"/>
  <c r="V68" i="39"/>
  <c r="V69" i="39" s="1"/>
  <c r="V70" i="39" s="1"/>
  <c r="Y87" i="55" s="1"/>
  <c r="AD48" i="41"/>
  <c r="AD68" i="40"/>
  <c r="AD69" i="40" s="1"/>
  <c r="AD68" i="39"/>
  <c r="AD69" i="39" s="1"/>
  <c r="AD70" i="39" s="1"/>
  <c r="AG87" i="55" s="1"/>
  <c r="E50" i="33"/>
  <c r="C49" i="41"/>
  <c r="C72" i="40"/>
  <c r="C72" i="39"/>
  <c r="K49" i="41"/>
  <c r="K72" i="40"/>
  <c r="K73" i="40" s="1"/>
  <c r="K72" i="39"/>
  <c r="K73" i="39" s="1"/>
  <c r="K74" i="39" s="1"/>
  <c r="N88" i="55" s="1"/>
  <c r="S49" i="41"/>
  <c r="S72" i="40"/>
  <c r="S73" i="40" s="1"/>
  <c r="S72" i="39"/>
  <c r="S73" i="39" s="1"/>
  <c r="S74" i="39" s="1"/>
  <c r="V88" i="55" s="1"/>
  <c r="AA49" i="41"/>
  <c r="AA72" i="40"/>
  <c r="AA73" i="40" s="1"/>
  <c r="AA72" i="39"/>
  <c r="AA73" i="39" s="1"/>
  <c r="AA74" i="39" s="1"/>
  <c r="AD88" i="55" s="1"/>
  <c r="AI49" i="41"/>
  <c r="AI72" i="40"/>
  <c r="AI73" i="40" s="1"/>
  <c r="AI72" i="39"/>
  <c r="AI73" i="39" s="1"/>
  <c r="AI74" i="39" s="1"/>
  <c r="AL88" i="55" s="1"/>
  <c r="I34" i="52"/>
  <c r="H50" i="41"/>
  <c r="H76" i="40"/>
  <c r="H77" i="40" s="1"/>
  <c r="H78" i="40" s="1"/>
  <c r="K123" i="55" s="1"/>
  <c r="H76" i="39"/>
  <c r="H77" i="39" s="1"/>
  <c r="H78" i="39" s="1"/>
  <c r="K89" i="55" s="1"/>
  <c r="Q34" i="52"/>
  <c r="P50" i="41"/>
  <c r="P76" i="40"/>
  <c r="P77" i="40" s="1"/>
  <c r="P78" i="40" s="1"/>
  <c r="S123" i="55" s="1"/>
  <c r="P76" i="39"/>
  <c r="P77" i="39" s="1"/>
  <c r="P78" i="39" s="1"/>
  <c r="S89" i="55" s="1"/>
  <c r="Y34" i="52"/>
  <c r="X50" i="41"/>
  <c r="X76" i="40"/>
  <c r="X77" i="40" s="1"/>
  <c r="X78" i="40" s="1"/>
  <c r="AA123" i="55" s="1"/>
  <c r="X76" i="39"/>
  <c r="X77" i="39" s="1"/>
  <c r="X78" i="39" s="1"/>
  <c r="AA89" i="55" s="1"/>
  <c r="AG34" i="52"/>
  <c r="AF50" i="41"/>
  <c r="AF76" i="40"/>
  <c r="AF77" i="40" s="1"/>
  <c r="AF78" i="40" s="1"/>
  <c r="AI123" i="55" s="1"/>
  <c r="AF76" i="39"/>
  <c r="AF77" i="39" s="1"/>
  <c r="AF78" i="39" s="1"/>
  <c r="AI89" i="55" s="1"/>
  <c r="J55" i="41"/>
  <c r="J84" i="40"/>
  <c r="J85" i="40" s="1"/>
  <c r="J92" i="39"/>
  <c r="J93" i="39" s="1"/>
  <c r="J94" i="39" s="1"/>
  <c r="M90" i="55" s="1"/>
  <c r="R55" i="41"/>
  <c r="R84" i="40"/>
  <c r="R85" i="40" s="1"/>
  <c r="R92" i="39"/>
  <c r="R93" i="39" s="1"/>
  <c r="R94" i="39" s="1"/>
  <c r="U90" i="55" s="1"/>
  <c r="Z55" i="41"/>
  <c r="Z84" i="40"/>
  <c r="Z85" i="40" s="1"/>
  <c r="Z92" i="39"/>
  <c r="Z93" i="39" s="1"/>
  <c r="Z94" i="39" s="1"/>
  <c r="AC90" i="55" s="1"/>
  <c r="AH55" i="41"/>
  <c r="AH84" i="40"/>
  <c r="AH85" i="40" s="1"/>
  <c r="AH92" i="39"/>
  <c r="AH93" i="39" s="1"/>
  <c r="AH94" i="39" s="1"/>
  <c r="AK90" i="55" s="1"/>
  <c r="G56" i="41"/>
  <c r="G88" i="40"/>
  <c r="G89" i="40" s="1"/>
  <c r="G90" i="40" s="1"/>
  <c r="J125" i="55" s="1"/>
  <c r="G96" i="39"/>
  <c r="G97" i="39" s="1"/>
  <c r="G98" i="39" s="1"/>
  <c r="J91" i="55" s="1"/>
  <c r="O56" i="41"/>
  <c r="O88" i="40"/>
  <c r="O89" i="40" s="1"/>
  <c r="O90" i="40" s="1"/>
  <c r="R125" i="55" s="1"/>
  <c r="O96" i="39"/>
  <c r="O97" i="39" s="1"/>
  <c r="O98" i="39" s="1"/>
  <c r="R91" i="55" s="1"/>
  <c r="W56" i="41"/>
  <c r="W88" i="40"/>
  <c r="W89" i="40" s="1"/>
  <c r="W90" i="40" s="1"/>
  <c r="Z125" i="55" s="1"/>
  <c r="W96" i="39"/>
  <c r="W97" i="39" s="1"/>
  <c r="W98" i="39" s="1"/>
  <c r="Z91" i="55" s="1"/>
  <c r="AE56" i="41"/>
  <c r="AF37" i="52"/>
  <c r="AE88" i="40"/>
  <c r="AE89" i="40" s="1"/>
  <c r="AE90" i="40" s="1"/>
  <c r="AH125" i="55" s="1"/>
  <c r="AE96" i="39"/>
  <c r="AE97" i="39" s="1"/>
  <c r="AE98" i="39" s="1"/>
  <c r="AH91" i="55" s="1"/>
  <c r="D57" i="41"/>
  <c r="D100" i="39"/>
  <c r="D101" i="39" s="1"/>
  <c r="D102" i="39" s="1"/>
  <c r="G92" i="55" s="1"/>
  <c r="L57" i="41"/>
  <c r="L100" i="39"/>
  <c r="L101" i="39" s="1"/>
  <c r="L102" i="39" s="1"/>
  <c r="O92" i="55" s="1"/>
  <c r="T57" i="41"/>
  <c r="T100" i="39"/>
  <c r="T101" i="39" s="1"/>
  <c r="T102" i="39" s="1"/>
  <c r="W92" i="55" s="1"/>
  <c r="AB57" i="41"/>
  <c r="AB100" i="39"/>
  <c r="AB101" i="39" s="1"/>
  <c r="AB102" i="39" s="1"/>
  <c r="AE92" i="55" s="1"/>
  <c r="AJ57" i="41"/>
  <c r="AJ100" i="39"/>
  <c r="AJ101" i="39" s="1"/>
  <c r="AJ102" i="39" s="1"/>
  <c r="AM92" i="55" s="1"/>
  <c r="F58" i="41"/>
  <c r="F104" i="39"/>
  <c r="F105" i="39" s="1"/>
  <c r="F106" i="39" s="1"/>
  <c r="I93" i="55" s="1"/>
  <c r="N58" i="41"/>
  <c r="N104" i="39"/>
  <c r="N105" i="39" s="1"/>
  <c r="N106" i="39" s="1"/>
  <c r="Q93" i="55" s="1"/>
  <c r="V58" i="41"/>
  <c r="V104" i="39"/>
  <c r="V105" i="39" s="1"/>
  <c r="V106" i="39" s="1"/>
  <c r="Y93" i="55" s="1"/>
  <c r="AD58" i="41"/>
  <c r="AD104" i="39"/>
  <c r="AD105" i="39" s="1"/>
  <c r="AD106" i="39" s="1"/>
  <c r="AG93" i="55" s="1"/>
  <c r="F54" i="55"/>
  <c r="H59" i="41"/>
  <c r="H108" i="39"/>
  <c r="H109" i="39" s="1"/>
  <c r="H110" i="39" s="1"/>
  <c r="K94" i="55" s="1"/>
  <c r="P59" i="41"/>
  <c r="P108" i="39"/>
  <c r="P109" i="39" s="1"/>
  <c r="P110" i="39" s="1"/>
  <c r="S94" i="55" s="1"/>
  <c r="X59" i="41"/>
  <c r="X108" i="39"/>
  <c r="X109" i="39" s="1"/>
  <c r="X110" i="39" s="1"/>
  <c r="AA94" i="55" s="1"/>
  <c r="AF59" i="41"/>
  <c r="AF108" i="39"/>
  <c r="AF109" i="39" s="1"/>
  <c r="AF110" i="39" s="1"/>
  <c r="AI94" i="55" s="1"/>
  <c r="AJ62" i="41"/>
  <c r="AD16" i="36"/>
  <c r="AL16" i="36"/>
  <c r="Y14" i="45"/>
  <c r="AZ59" i="45"/>
  <c r="S66" i="45"/>
  <c r="R66" i="45" s="1"/>
  <c r="U8" i="45"/>
  <c r="AC8" i="45"/>
  <c r="AK8" i="45"/>
  <c r="AS8" i="45"/>
  <c r="BA8" i="45"/>
  <c r="X9" i="45"/>
  <c r="AF9" i="45"/>
  <c r="S10" i="45"/>
  <c r="AA10" i="45"/>
  <c r="AI10" i="45"/>
  <c r="AQ10" i="45"/>
  <c r="AY10" i="45"/>
  <c r="V11" i="45"/>
  <c r="AD11" i="45"/>
  <c r="AL11" i="45"/>
  <c r="Y12" i="45"/>
  <c r="T13" i="45"/>
  <c r="AB13" i="45"/>
  <c r="AJ13" i="45"/>
  <c r="AR13" i="45"/>
  <c r="AZ13" i="45"/>
  <c r="U16" i="45"/>
  <c r="AC16" i="45"/>
  <c r="AK16" i="45"/>
  <c r="X17" i="45"/>
  <c r="S18" i="45"/>
  <c r="AA18" i="45"/>
  <c r="V19" i="45"/>
  <c r="Y20" i="45"/>
  <c r="T21" i="45"/>
  <c r="AB21" i="45"/>
  <c r="AJ21" i="45"/>
  <c r="AR21" i="45"/>
  <c r="AZ21" i="45"/>
  <c r="W22" i="45"/>
  <c r="AE22" i="45"/>
  <c r="AM22" i="45"/>
  <c r="AU22" i="45"/>
  <c r="Z23" i="45"/>
  <c r="U24" i="45"/>
  <c r="AC24" i="45"/>
  <c r="AK24" i="45"/>
  <c r="AS24" i="45"/>
  <c r="BA24" i="45"/>
  <c r="X25" i="45"/>
  <c r="AF25" i="45"/>
  <c r="AN25" i="45"/>
  <c r="AV25" i="45"/>
  <c r="S26" i="45"/>
  <c r="AA26" i="45"/>
  <c r="AI26" i="45"/>
  <c r="AQ26" i="45"/>
  <c r="AY26" i="45"/>
  <c r="T29" i="45"/>
  <c r="T32" i="45"/>
  <c r="BA33" i="45"/>
  <c r="V36" i="45"/>
  <c r="AD36" i="45"/>
  <c r="AL36" i="45"/>
  <c r="AT36" i="45"/>
  <c r="Y37" i="45"/>
  <c r="AG37" i="45"/>
  <c r="AO37" i="45"/>
  <c r="AW37" i="45"/>
  <c r="X41" i="45"/>
  <c r="AF41" i="45"/>
  <c r="AN41" i="45"/>
  <c r="AV41" i="45"/>
  <c r="Z43" i="45"/>
  <c r="AH43" i="45"/>
  <c r="AP43" i="45"/>
  <c r="AX43" i="45"/>
  <c r="W46" i="45"/>
  <c r="AE46" i="45"/>
  <c r="S48" i="45"/>
  <c r="AA48" i="45"/>
  <c r="AI48" i="45"/>
  <c r="AQ48" i="45"/>
  <c r="AY48" i="45"/>
  <c r="T51" i="45"/>
  <c r="AB51" i="45"/>
  <c r="AJ51" i="45"/>
  <c r="AR51" i="45"/>
  <c r="AZ51" i="45"/>
  <c r="W52" i="45"/>
  <c r="AE52" i="45"/>
  <c r="AM52" i="45"/>
  <c r="AU52" i="45"/>
  <c r="V55" i="45"/>
  <c r="AD55" i="45"/>
  <c r="AL55" i="45"/>
  <c r="AT55" i="45"/>
  <c r="Y56" i="45"/>
  <c r="AG56" i="45"/>
  <c r="AO56" i="45"/>
  <c r="AW56" i="45"/>
  <c r="T57" i="45"/>
  <c r="AB57" i="45"/>
  <c r="AJ57" i="45"/>
  <c r="AR57" i="45"/>
  <c r="AZ57" i="45"/>
  <c r="AS59" i="45"/>
  <c r="BA59" i="45"/>
  <c r="AN60" i="45"/>
  <c r="AV60" i="45"/>
  <c r="S61" i="45"/>
  <c r="AA61" i="45"/>
  <c r="AI61" i="45"/>
  <c r="AQ61" i="45"/>
  <c r="AY61" i="45"/>
  <c r="Y65" i="45"/>
  <c r="AG65" i="45"/>
  <c r="AO65" i="45"/>
  <c r="AW65" i="45"/>
  <c r="S7" i="45"/>
  <c r="V8" i="45"/>
  <c r="AD8" i="45"/>
  <c r="AL8" i="45"/>
  <c r="AT8" i="45"/>
  <c r="Y9" i="45"/>
  <c r="AG9" i="45"/>
  <c r="T10" i="45"/>
  <c r="AB10" i="45"/>
  <c r="AJ10" i="45"/>
  <c r="AR10" i="45"/>
  <c r="AZ10" i="45"/>
  <c r="W11" i="45"/>
  <c r="AE11" i="45"/>
  <c r="AM11" i="45"/>
  <c r="U13" i="45"/>
  <c r="AC13" i="45"/>
  <c r="AK13" i="45"/>
  <c r="AS13" i="45"/>
  <c r="BA13" i="45"/>
  <c r="S15" i="45"/>
  <c r="V16" i="45"/>
  <c r="AD16" i="45"/>
  <c r="AL16" i="45"/>
  <c r="Y17" i="45"/>
  <c r="T18" i="45"/>
  <c r="AB18" i="45"/>
  <c r="W19" i="45"/>
  <c r="Z20" i="45"/>
  <c r="U21" i="45"/>
  <c r="AC21" i="45"/>
  <c r="AK21" i="45"/>
  <c r="AS21" i="45"/>
  <c r="BA21" i="45"/>
  <c r="X22" i="45"/>
  <c r="AF22" i="45"/>
  <c r="AN22" i="45"/>
  <c r="AV22" i="45"/>
  <c r="S23" i="45"/>
  <c r="AA23" i="45"/>
  <c r="AD24" i="45"/>
  <c r="AL24" i="45"/>
  <c r="AT24" i="45"/>
  <c r="Y25" i="45"/>
  <c r="AG25" i="45"/>
  <c r="AO25" i="45"/>
  <c r="AW25" i="45"/>
  <c r="T26" i="45"/>
  <c r="AB26" i="45"/>
  <c r="AJ26" i="45"/>
  <c r="AR26" i="45"/>
  <c r="AZ26" i="45"/>
  <c r="U29" i="45"/>
  <c r="U32" i="45"/>
  <c r="W36" i="45"/>
  <c r="AE36" i="45"/>
  <c r="AM36" i="45"/>
  <c r="AU36" i="45"/>
  <c r="Z37" i="45"/>
  <c r="AH37" i="45"/>
  <c r="AP37" i="45"/>
  <c r="AX37" i="45"/>
  <c r="Y41" i="45"/>
  <c r="AG41" i="45"/>
  <c r="AO41" i="45"/>
  <c r="AW41" i="45"/>
  <c r="S43" i="45"/>
  <c r="AA43" i="45"/>
  <c r="AI43" i="45"/>
  <c r="AQ43" i="45"/>
  <c r="AY43" i="45"/>
  <c r="AV46" i="45"/>
  <c r="T48" i="45"/>
  <c r="AB48" i="45"/>
  <c r="AJ48" i="45"/>
  <c r="AR48" i="45"/>
  <c r="AZ48" i="45"/>
  <c r="U51" i="45"/>
  <c r="AC51" i="45"/>
  <c r="AK51" i="45"/>
  <c r="AS51" i="45"/>
  <c r="BA51" i="45"/>
  <c r="X52" i="45"/>
  <c r="AF52" i="45"/>
  <c r="AN52" i="45"/>
  <c r="AV52" i="45"/>
  <c r="W55" i="45"/>
  <c r="AE55" i="45"/>
  <c r="AM55" i="45"/>
  <c r="AU55" i="45"/>
  <c r="Z56" i="45"/>
  <c r="AH56" i="45"/>
  <c r="AP56" i="45"/>
  <c r="AX56" i="45"/>
  <c r="U57" i="45"/>
  <c r="AC57" i="45"/>
  <c r="AK57" i="45"/>
  <c r="AS57" i="45"/>
  <c r="BA57" i="45"/>
  <c r="V59" i="45"/>
  <c r="AD59" i="45"/>
  <c r="AL59" i="45"/>
  <c r="AT59" i="45"/>
  <c r="Y60" i="45"/>
  <c r="AG60" i="45"/>
  <c r="AO60" i="45"/>
  <c r="AW60" i="45"/>
  <c r="T61" i="45"/>
  <c r="AB61" i="45"/>
  <c r="AJ61" i="45"/>
  <c r="AR61" i="45"/>
  <c r="AZ61" i="45"/>
  <c r="T63" i="45"/>
  <c r="AB63" i="45"/>
  <c r="AJ63" i="45"/>
  <c r="AR63" i="45"/>
  <c r="AZ63" i="45"/>
  <c r="W64" i="45"/>
  <c r="AE64" i="45"/>
  <c r="AM64" i="45"/>
  <c r="AU64" i="45"/>
  <c r="Z65" i="45"/>
  <c r="AH65" i="45"/>
  <c r="AP65" i="45"/>
  <c r="AX65" i="45"/>
  <c r="Y22" i="45"/>
  <c r="AG22" i="45"/>
  <c r="AO22" i="45"/>
  <c r="AG46" i="45"/>
  <c r="AO46" i="45"/>
  <c r="Y52" i="45"/>
  <c r="AG52" i="45"/>
  <c r="AO52" i="45"/>
  <c r="AW52" i="45"/>
  <c r="Y11" i="45"/>
  <c r="AG11" i="45"/>
  <c r="W13" i="45"/>
  <c r="AE13" i="45"/>
  <c r="AM13" i="45"/>
  <c r="AU13" i="45"/>
  <c r="AX14" i="45"/>
  <c r="Y19" i="45"/>
  <c r="W21" i="45"/>
  <c r="AE21" i="45"/>
  <c r="AM21" i="45"/>
  <c r="AU21" i="45"/>
  <c r="Z22" i="45"/>
  <c r="AH22" i="45"/>
  <c r="AP22" i="45"/>
  <c r="AX22" i="45"/>
  <c r="Y36" i="45"/>
  <c r="AG36" i="45"/>
  <c r="AO36" i="45"/>
  <c r="AW36" i="45"/>
  <c r="T37" i="45"/>
  <c r="AB37" i="45"/>
  <c r="AJ37" i="45"/>
  <c r="AR37" i="45"/>
  <c r="AZ37" i="45"/>
  <c r="S41" i="45"/>
  <c r="AA41" i="45"/>
  <c r="AI41" i="45"/>
  <c r="AQ41" i="45"/>
  <c r="AY41" i="45"/>
  <c r="U43" i="45"/>
  <c r="AC43" i="45"/>
  <c r="AK43" i="45"/>
  <c r="AS43" i="45"/>
  <c r="BA43" i="45"/>
  <c r="AH46" i="45"/>
  <c r="AP46" i="45"/>
  <c r="AX46" i="45"/>
  <c r="AT48" i="45"/>
  <c r="W51" i="45"/>
  <c r="AE51" i="45"/>
  <c r="AM51" i="45"/>
  <c r="AU51" i="45"/>
  <c r="Z52" i="45"/>
  <c r="AH52" i="45"/>
  <c r="AP52" i="45"/>
  <c r="AX52" i="45"/>
  <c r="Y55" i="45"/>
  <c r="AG55" i="45"/>
  <c r="AO55" i="45"/>
  <c r="AW55" i="45"/>
  <c r="T56" i="45"/>
  <c r="AB56" i="45"/>
  <c r="AJ56" i="45"/>
  <c r="AR56" i="45"/>
  <c r="AZ56" i="45"/>
  <c r="W57" i="45"/>
  <c r="AE57" i="45"/>
  <c r="AM57" i="45"/>
  <c r="AU57" i="45"/>
  <c r="AD61" i="45"/>
  <c r="AL61" i="45"/>
  <c r="AT61" i="45"/>
  <c r="V63" i="45"/>
  <c r="AD63" i="45"/>
  <c r="AL63" i="45"/>
  <c r="AT63" i="45"/>
  <c r="Y64" i="45"/>
  <c r="AG64" i="45"/>
  <c r="AO64" i="45"/>
  <c r="AW64" i="45"/>
  <c r="T65" i="45"/>
  <c r="AB65" i="45"/>
  <c r="AJ65" i="45"/>
  <c r="AR65" i="45"/>
  <c r="AZ65" i="45"/>
  <c r="Y8" i="45"/>
  <c r="AG8" i="45"/>
  <c r="AO8" i="45"/>
  <c r="AW8" i="45"/>
  <c r="T9" i="45"/>
  <c r="AB9" i="45"/>
  <c r="W10" i="45"/>
  <c r="AE10" i="45"/>
  <c r="AM10" i="45"/>
  <c r="AU10" i="45"/>
  <c r="Z11" i="45"/>
  <c r="AH11" i="45"/>
  <c r="U12" i="45"/>
  <c r="X13" i="45"/>
  <c r="AF13" i="45"/>
  <c r="AN13" i="45"/>
  <c r="AV13" i="45"/>
  <c r="AY14" i="45"/>
  <c r="V15" i="45"/>
  <c r="Y16" i="45"/>
  <c r="AG16" i="45"/>
  <c r="AO16" i="45"/>
  <c r="T17" i="45"/>
  <c r="W18" i="45"/>
  <c r="Z19" i="45"/>
  <c r="U20" i="45"/>
  <c r="X21" i="45"/>
  <c r="AF21" i="45"/>
  <c r="AN21" i="45"/>
  <c r="AV21" i="45"/>
  <c r="S22" i="45"/>
  <c r="AA22" i="45"/>
  <c r="AI22" i="45"/>
  <c r="AQ22" i="45"/>
  <c r="AY22" i="45"/>
  <c r="V23" i="45"/>
  <c r="Y24" i="45"/>
  <c r="AG24" i="45"/>
  <c r="AO24" i="45"/>
  <c r="AW24" i="45"/>
  <c r="T25" i="45"/>
  <c r="AB25" i="45"/>
  <c r="AJ25" i="45"/>
  <c r="AR25" i="45"/>
  <c r="AZ25" i="45"/>
  <c r="W26" i="45"/>
  <c r="AE26" i="45"/>
  <c r="AM26" i="45"/>
  <c r="AU26" i="45"/>
  <c r="AW33" i="45"/>
  <c r="Z36" i="45"/>
  <c r="AH36" i="45"/>
  <c r="AP36" i="45"/>
  <c r="AX36" i="45"/>
  <c r="U37" i="45"/>
  <c r="AC37" i="45"/>
  <c r="AK37" i="45"/>
  <c r="AS37" i="45"/>
  <c r="BA37" i="45"/>
  <c r="T41" i="45"/>
  <c r="AB41" i="45"/>
  <c r="AJ41" i="45"/>
  <c r="AR41" i="45"/>
  <c r="AZ41" i="45"/>
  <c r="V43" i="45"/>
  <c r="AD43" i="45"/>
  <c r="AL43" i="45"/>
  <c r="AT43" i="45"/>
  <c r="S46" i="45"/>
  <c r="AA46" i="45"/>
  <c r="AI46" i="45"/>
  <c r="W48" i="45"/>
  <c r="AE48" i="45"/>
  <c r="AM48" i="45"/>
  <c r="AU48" i="45"/>
  <c r="X51" i="45"/>
  <c r="AF51" i="45"/>
  <c r="AN51" i="45"/>
  <c r="AV51" i="45"/>
  <c r="S52" i="45"/>
  <c r="AA52" i="45"/>
  <c r="AI52" i="45"/>
  <c r="AQ52" i="45"/>
  <c r="AY52" i="45"/>
  <c r="Z55" i="45"/>
  <c r="AH55" i="45"/>
  <c r="AP55" i="45"/>
  <c r="AX55" i="45"/>
  <c r="U56" i="45"/>
  <c r="AC56" i="45"/>
  <c r="AK56" i="45"/>
  <c r="AS56" i="45"/>
  <c r="BA56" i="45"/>
  <c r="X57" i="45"/>
  <c r="AF57" i="45"/>
  <c r="AN57" i="45"/>
  <c r="AV57" i="45"/>
  <c r="Y59" i="45"/>
  <c r="AG59" i="45"/>
  <c r="AO59" i="45"/>
  <c r="AW59" i="45"/>
  <c r="T60" i="45"/>
  <c r="AB60" i="45"/>
  <c r="AJ60" i="45"/>
  <c r="AR60" i="45"/>
  <c r="AZ60" i="45"/>
  <c r="W61" i="45"/>
  <c r="AE61" i="45"/>
  <c r="AM61" i="45"/>
  <c r="AU61" i="45"/>
  <c r="W63" i="45"/>
  <c r="AE63" i="45"/>
  <c r="AM63" i="45"/>
  <c r="AU63" i="45"/>
  <c r="Z64" i="45"/>
  <c r="AH64" i="45"/>
  <c r="AP64" i="45"/>
  <c r="AX64" i="45"/>
  <c r="U65" i="45"/>
  <c r="AC65" i="45"/>
  <c r="AK65" i="45"/>
  <c r="AS65" i="45"/>
  <c r="BA65" i="45"/>
  <c r="Y13" i="45"/>
  <c r="AG13" i="45"/>
  <c r="AO13" i="45"/>
  <c r="Y21" i="45"/>
  <c r="AG21" i="45"/>
  <c r="AO21" i="45"/>
  <c r="AW21" i="45"/>
  <c r="T22" i="45"/>
  <c r="AB22" i="45"/>
  <c r="AJ22" i="45"/>
  <c r="AR22" i="45"/>
  <c r="AZ22" i="45"/>
  <c r="AX33" i="45"/>
  <c r="AJ46" i="45"/>
  <c r="Y51" i="45"/>
  <c r="AG51" i="45"/>
  <c r="AO51" i="45"/>
  <c r="AW51" i="45"/>
  <c r="T52" i="45"/>
  <c r="AB52" i="45"/>
  <c r="AJ52" i="45"/>
  <c r="AR52" i="45"/>
  <c r="AZ52" i="45"/>
  <c r="Y57" i="45"/>
  <c r="AG57" i="45"/>
  <c r="AO57" i="45"/>
  <c r="AW57" i="45"/>
  <c r="S8" i="45"/>
  <c r="AA8" i="45"/>
  <c r="AI8" i="45"/>
  <c r="AQ8" i="45"/>
  <c r="AY8" i="45"/>
  <c r="V9" i="45"/>
  <c r="AD9" i="45"/>
  <c r="Y10" i="45"/>
  <c r="AG10" i="45"/>
  <c r="AO10" i="45"/>
  <c r="AW10" i="45"/>
  <c r="T11" i="45"/>
  <c r="AB11" i="45"/>
  <c r="AJ11" i="45"/>
  <c r="W12" i="45"/>
  <c r="Z13" i="45"/>
  <c r="AH13" i="45"/>
  <c r="AP13" i="45"/>
  <c r="AX13" i="45"/>
  <c r="BA14" i="45"/>
  <c r="S16" i="45"/>
  <c r="AA16" i="45"/>
  <c r="AI16" i="45"/>
  <c r="AQ16" i="45"/>
  <c r="V17" i="45"/>
  <c r="Y18" i="45"/>
  <c r="T19" i="45"/>
  <c r="W20" i="45"/>
  <c r="Z21" i="45"/>
  <c r="AH21" i="45"/>
  <c r="AP21" i="45"/>
  <c r="AX21" i="45"/>
  <c r="U22" i="45"/>
  <c r="AC22" i="45"/>
  <c r="AK22" i="45"/>
  <c r="AS22" i="45"/>
  <c r="BA22" i="45"/>
  <c r="X23" i="45"/>
  <c r="S24" i="45"/>
  <c r="AA24" i="45"/>
  <c r="AI24" i="45"/>
  <c r="AQ24" i="45"/>
  <c r="AY24" i="45"/>
  <c r="V25" i="45"/>
  <c r="AD25" i="45"/>
  <c r="AL25" i="45"/>
  <c r="AT25" i="45"/>
  <c r="Y26" i="45"/>
  <c r="AG26" i="45"/>
  <c r="AO26" i="45"/>
  <c r="AW26" i="45"/>
  <c r="AY33" i="45"/>
  <c r="T36" i="45"/>
  <c r="AB36" i="45"/>
  <c r="AJ36" i="45"/>
  <c r="AR36" i="45"/>
  <c r="W37" i="45"/>
  <c r="AE37" i="45"/>
  <c r="AM37" i="45"/>
  <c r="AU37" i="45"/>
  <c r="V41" i="45"/>
  <c r="AD41" i="45"/>
  <c r="AL41" i="45"/>
  <c r="AT41" i="45"/>
  <c r="X43" i="45"/>
  <c r="AF43" i="45"/>
  <c r="AN43" i="45"/>
  <c r="AV43" i="45"/>
  <c r="S44" i="45"/>
  <c r="U46" i="45"/>
  <c r="AC46" i="45"/>
  <c r="AK46" i="45"/>
  <c r="Y48" i="45"/>
  <c r="AG48" i="45"/>
  <c r="AO48" i="45"/>
  <c r="AW48" i="45"/>
  <c r="Z51" i="45"/>
  <c r="AH51" i="45"/>
  <c r="AP51" i="45"/>
  <c r="AX51" i="45"/>
  <c r="U52" i="45"/>
  <c r="AC52" i="45"/>
  <c r="AK52" i="45"/>
  <c r="AS52" i="45"/>
  <c r="BA52" i="45"/>
  <c r="T55" i="45"/>
  <c r="AB55" i="45"/>
  <c r="AJ55" i="45"/>
  <c r="AR55" i="45"/>
  <c r="AZ55" i="45"/>
  <c r="W56" i="45"/>
  <c r="AE56" i="45"/>
  <c r="AM56" i="45"/>
  <c r="AU56" i="45"/>
  <c r="Z57" i="45"/>
  <c r="AH57" i="45"/>
  <c r="AP57" i="45"/>
  <c r="AX57" i="45"/>
  <c r="Y61" i="45"/>
  <c r="AG61" i="45"/>
  <c r="AO61" i="45"/>
  <c r="AW61" i="45"/>
  <c r="Y63" i="45"/>
  <c r="AG63" i="45"/>
  <c r="AO63" i="45"/>
  <c r="AW63" i="45"/>
  <c r="T64" i="45"/>
  <c r="AB64" i="45"/>
  <c r="AJ64" i="45"/>
  <c r="AR64" i="45"/>
  <c r="AZ64" i="45"/>
  <c r="W65" i="45"/>
  <c r="AE65" i="45"/>
  <c r="AM65" i="45"/>
  <c r="AU65" i="45"/>
  <c r="T8" i="45"/>
  <c r="AB8" i="45"/>
  <c r="AJ8" i="45"/>
  <c r="AZ8" i="45"/>
  <c r="W9" i="45"/>
  <c r="AE9" i="45"/>
  <c r="Z10" i="45"/>
  <c r="AH10" i="45"/>
  <c r="AX10" i="45"/>
  <c r="U11" i="45"/>
  <c r="AC11" i="45"/>
  <c r="AK11" i="45"/>
  <c r="X12" i="45"/>
  <c r="S13" i="45"/>
  <c r="AA13" i="45"/>
  <c r="AI13" i="45"/>
  <c r="AY13" i="45"/>
  <c r="T16" i="45"/>
  <c r="AB16" i="45"/>
  <c r="AJ16" i="45"/>
  <c r="W17" i="45"/>
  <c r="Z18" i="45"/>
  <c r="U19" i="45"/>
  <c r="S21" i="45"/>
  <c r="AA21" i="45"/>
  <c r="AI21" i="45"/>
  <c r="AY21" i="45"/>
  <c r="V22" i="45"/>
  <c r="AD22" i="45"/>
  <c r="AL22" i="45"/>
  <c r="Y23" i="45"/>
  <c r="T24" i="45"/>
  <c r="AB24" i="45"/>
  <c r="AJ24" i="45"/>
  <c r="AR24" i="45"/>
  <c r="W25" i="45"/>
  <c r="AE25" i="45"/>
  <c r="AM25" i="45"/>
  <c r="Z26" i="45"/>
  <c r="AH26" i="45"/>
  <c r="AP26" i="45"/>
  <c r="S29" i="45"/>
  <c r="W41" i="45"/>
  <c r="AE41" i="45"/>
  <c r="AM41" i="45"/>
  <c r="Y43" i="45"/>
  <c r="AG43" i="45"/>
  <c r="AO43" i="45"/>
  <c r="AL46" i="45"/>
  <c r="Z48" i="45"/>
  <c r="AH48" i="45"/>
  <c r="AP48" i="45"/>
  <c r="S51" i="45"/>
  <c r="AA51" i="45"/>
  <c r="AI51" i="45"/>
  <c r="AQ51" i="45"/>
  <c r="V52" i="45"/>
  <c r="AD52" i="45"/>
  <c r="AL52" i="45"/>
  <c r="U55" i="45"/>
  <c r="AC55" i="45"/>
  <c r="AK55" i="45"/>
  <c r="AS55" i="45"/>
  <c r="X56" i="45"/>
  <c r="AF56" i="45"/>
  <c r="AN56" i="45"/>
  <c r="S57" i="45"/>
  <c r="AA57" i="45"/>
  <c r="AI57" i="45"/>
  <c r="AQ57" i="45"/>
  <c r="T59" i="45"/>
  <c r="AB59" i="45"/>
  <c r="AJ59" i="45"/>
  <c r="AR59" i="45"/>
  <c r="W60" i="45"/>
  <c r="AE60" i="45"/>
  <c r="AM60" i="45"/>
  <c r="Z61" i="45"/>
  <c r="AH61" i="45"/>
  <c r="AP61" i="45"/>
  <c r="Z63" i="45"/>
  <c r="AH63" i="45"/>
  <c r="AP63" i="45"/>
  <c r="U64" i="45"/>
  <c r="AC64" i="45"/>
  <c r="AK64" i="45"/>
  <c r="AS64" i="45"/>
  <c r="X65" i="45"/>
  <c r="AF65" i="45"/>
  <c r="AN65" i="45"/>
  <c r="AK10" i="52"/>
  <c r="AG27" i="52"/>
  <c r="W37" i="52"/>
  <c r="AA29" i="52"/>
  <c r="G24" i="50"/>
  <c r="Z32" i="52"/>
  <c r="G21" i="50"/>
  <c r="H21" i="50" s="1"/>
  <c r="I21" i="50" s="1"/>
  <c r="J27" i="52"/>
  <c r="R27" i="52"/>
  <c r="Z27" i="52"/>
  <c r="AH27" i="52"/>
  <c r="J22" i="52"/>
  <c r="R22" i="52"/>
  <c r="Z22" i="52"/>
  <c r="AH22" i="52"/>
  <c r="K27" i="52"/>
  <c r="S27" i="52"/>
  <c r="AA27" i="52"/>
  <c r="AI27" i="52"/>
  <c r="F28" i="52"/>
  <c r="P28" i="52"/>
  <c r="AA28" i="52"/>
  <c r="AL28" i="52"/>
  <c r="K29" i="52"/>
  <c r="V29" i="52"/>
  <c r="AI29" i="52"/>
  <c r="M32" i="52"/>
  <c r="O37" i="52"/>
  <c r="AH37" i="52"/>
  <c r="F20" i="50"/>
  <c r="D27" i="52"/>
  <c r="L27" i="52"/>
  <c r="T27" i="52"/>
  <c r="AB27" i="52"/>
  <c r="AJ27" i="52"/>
  <c r="AC28" i="52"/>
  <c r="M29" i="52"/>
  <c r="X29" i="52"/>
  <c r="AK29" i="52"/>
  <c r="AL32" i="52"/>
  <c r="AD32" i="52"/>
  <c r="V32" i="52"/>
  <c r="N32" i="52"/>
  <c r="F32" i="52"/>
  <c r="AJ32" i="52"/>
  <c r="AB32" i="52"/>
  <c r="T32" i="52"/>
  <c r="L32" i="52"/>
  <c r="D32" i="52"/>
  <c r="AI32" i="52"/>
  <c r="AA32" i="52"/>
  <c r="AG32" i="52"/>
  <c r="Y32" i="52"/>
  <c r="Q32" i="52"/>
  <c r="I32" i="52"/>
  <c r="O32" i="52"/>
  <c r="AC32" i="52"/>
  <c r="AJ34" i="52"/>
  <c r="P37" i="52"/>
  <c r="E22" i="50"/>
  <c r="G23" i="50"/>
  <c r="H23" i="50" s="1"/>
  <c r="I23" i="50" s="1"/>
  <c r="J23" i="50" s="1"/>
  <c r="K23" i="50" s="1"/>
  <c r="L23" i="50" s="1"/>
  <c r="M23" i="50" s="1"/>
  <c r="N23" i="50" s="1"/>
  <c r="O23" i="50" s="1"/>
  <c r="P23" i="50" s="1"/>
  <c r="Q23" i="50" s="1"/>
  <c r="R23" i="50" s="1"/>
  <c r="S23" i="50" s="1"/>
  <c r="T23" i="50" s="1"/>
  <c r="U23" i="50" s="1"/>
  <c r="V23" i="50" s="1"/>
  <c r="W23" i="50" s="1"/>
  <c r="X23" i="50" s="1"/>
  <c r="Y23" i="50" s="1"/>
  <c r="Z23" i="50" s="1"/>
  <c r="AA23" i="50" s="1"/>
  <c r="AB23" i="50" s="1"/>
  <c r="AC23" i="50" s="1"/>
  <c r="AD23" i="50" s="1"/>
  <c r="AE23" i="50" s="1"/>
  <c r="AF23" i="50" s="1"/>
  <c r="AG23" i="50" s="1"/>
  <c r="AH23" i="50" s="1"/>
  <c r="AI23" i="50" s="1"/>
  <c r="AJ23" i="50" s="1"/>
  <c r="AK23" i="50" s="1"/>
  <c r="AL23" i="50" s="1"/>
  <c r="AM23" i="50" s="1"/>
  <c r="AN23" i="50" s="1"/>
  <c r="E27" i="52"/>
  <c r="M27" i="52"/>
  <c r="U27" i="52"/>
  <c r="AC27" i="52"/>
  <c r="AK27" i="52"/>
  <c r="N29" i="52"/>
  <c r="Y29" i="52"/>
  <c r="AL29" i="52"/>
  <c r="AE32" i="52"/>
  <c r="J10" i="52"/>
  <c r="R10" i="52"/>
  <c r="Z10" i="52"/>
  <c r="AH10" i="52"/>
  <c r="E22" i="52"/>
  <c r="M22" i="52"/>
  <c r="U22" i="52"/>
  <c r="AC22" i="52"/>
  <c r="AK22" i="52"/>
  <c r="F27" i="52"/>
  <c r="N27" i="52"/>
  <c r="V27" i="52"/>
  <c r="AD27" i="52"/>
  <c r="AL27" i="52"/>
  <c r="J28" i="52"/>
  <c r="U28" i="52"/>
  <c r="AE28" i="52"/>
  <c r="E29" i="52"/>
  <c r="P29" i="52"/>
  <c r="AE30" i="52"/>
  <c r="E32" i="52"/>
  <c r="R32" i="52"/>
  <c r="AF32" i="52"/>
  <c r="G27" i="52"/>
  <c r="O27" i="52"/>
  <c r="W27" i="52"/>
  <c r="AE27" i="52"/>
  <c r="AJ29" i="52"/>
  <c r="AB29" i="52"/>
  <c r="T29" i="52"/>
  <c r="L29" i="52"/>
  <c r="D29" i="52"/>
  <c r="AG28" i="52"/>
  <c r="Y28" i="52"/>
  <c r="Q28" i="52"/>
  <c r="I28" i="52"/>
  <c r="AH29" i="52"/>
  <c r="Z29" i="52"/>
  <c r="AE29" i="52"/>
  <c r="W29" i="52"/>
  <c r="O29" i="52"/>
  <c r="G29" i="52"/>
  <c r="AJ28" i="52"/>
  <c r="AB28" i="52"/>
  <c r="T28" i="52"/>
  <c r="L28" i="52"/>
  <c r="K28" i="52"/>
  <c r="V28" i="52"/>
  <c r="AF28" i="52"/>
  <c r="F29" i="52"/>
  <c r="Q29" i="52"/>
  <c r="AC29" i="52"/>
  <c r="G32" i="52"/>
  <c r="S32" i="52"/>
  <c r="AH32" i="52"/>
  <c r="AL37" i="52"/>
  <c r="AD37" i="52"/>
  <c r="V37" i="52"/>
  <c r="N37" i="52"/>
  <c r="F37" i="52"/>
  <c r="AK37" i="52"/>
  <c r="AC37" i="52"/>
  <c r="U37" i="52"/>
  <c r="M37" i="52"/>
  <c r="E37" i="52"/>
  <c r="AJ37" i="52"/>
  <c r="AB37" i="52"/>
  <c r="T37" i="52"/>
  <c r="L37" i="52"/>
  <c r="D37" i="52"/>
  <c r="AI37" i="52"/>
  <c r="AA37" i="52"/>
  <c r="S37" i="52"/>
  <c r="K37" i="52"/>
  <c r="AG37" i="52"/>
  <c r="Y37" i="52"/>
  <c r="Q37" i="52"/>
  <c r="I37" i="52"/>
  <c r="X37" i="52"/>
  <c r="D10" i="52"/>
  <c r="L10" i="52"/>
  <c r="T10" i="52"/>
  <c r="AB10" i="52"/>
  <c r="AJ10" i="52"/>
  <c r="G11" i="52"/>
  <c r="O11" i="52"/>
  <c r="AE11" i="52"/>
  <c r="G22" i="52"/>
  <c r="O22" i="52"/>
  <c r="W22" i="52"/>
  <c r="AE22" i="52"/>
  <c r="H27" i="52"/>
  <c r="P27" i="52"/>
  <c r="X27" i="52"/>
  <c r="AF27" i="52"/>
  <c r="M28" i="52"/>
  <c r="W28" i="52"/>
  <c r="AH28" i="52"/>
  <c r="H29" i="52"/>
  <c r="R29" i="52"/>
  <c r="AD29" i="52"/>
  <c r="H32" i="52"/>
  <c r="U32" i="52"/>
  <c r="AK32" i="52"/>
  <c r="AI36" i="52"/>
  <c r="G37" i="52"/>
  <c r="Z37" i="52"/>
  <c r="E10" i="52"/>
  <c r="M10" i="52"/>
  <c r="U10" i="52"/>
  <c r="AC10" i="52"/>
  <c r="H22" i="52"/>
  <c r="P22" i="52"/>
  <c r="X22" i="52"/>
  <c r="I27" i="52"/>
  <c r="Q27" i="52"/>
  <c r="Y27" i="52"/>
  <c r="D28" i="52"/>
  <c r="N28" i="52"/>
  <c r="X28" i="52"/>
  <c r="AI28" i="52"/>
  <c r="I29" i="52"/>
  <c r="S29" i="52"/>
  <c r="AF29" i="52"/>
  <c r="J32" i="52"/>
  <c r="W32" i="52"/>
  <c r="AG33" i="52"/>
  <c r="Y33" i="52"/>
  <c r="Q33" i="52"/>
  <c r="I33" i="52"/>
  <c r="AE33" i="52"/>
  <c r="W33" i="52"/>
  <c r="O33" i="52"/>
  <c r="G33" i="52"/>
  <c r="AL33" i="52"/>
  <c r="AD33" i="52"/>
  <c r="V33" i="52"/>
  <c r="N33" i="52"/>
  <c r="F33" i="52"/>
  <c r="AJ33" i="52"/>
  <c r="AB33" i="52"/>
  <c r="T33" i="52"/>
  <c r="L33" i="52"/>
  <c r="D33" i="52"/>
  <c r="R33" i="52"/>
  <c r="AH33" i="52"/>
  <c r="H37" i="52"/>
  <c r="AE37" i="52"/>
  <c r="E25" i="50"/>
  <c r="J30" i="52"/>
  <c r="R30" i="52"/>
  <c r="Z30" i="52"/>
  <c r="AH30" i="52"/>
  <c r="G34" i="52"/>
  <c r="O34" i="52"/>
  <c r="W34" i="52"/>
  <c r="AE34" i="52"/>
  <c r="F36" i="52"/>
  <c r="N36" i="52"/>
  <c r="V36" i="52"/>
  <c r="AD36" i="52"/>
  <c r="AL36" i="52"/>
  <c r="H36" i="52"/>
  <c r="P36" i="52"/>
  <c r="X36" i="52"/>
  <c r="AF36" i="52"/>
  <c r="J34" i="52"/>
  <c r="R34" i="52"/>
  <c r="Z34" i="52"/>
  <c r="AH34" i="52"/>
  <c r="I36" i="52"/>
  <c r="Q36" i="52"/>
  <c r="Y36" i="52"/>
  <c r="AG36" i="52"/>
  <c r="J36" i="52"/>
  <c r="R36" i="52"/>
  <c r="Z36" i="52"/>
  <c r="AH36" i="52"/>
  <c r="E170" i="68"/>
  <c r="C77" i="68"/>
  <c r="G30" i="52"/>
  <c r="O30" i="52"/>
  <c r="W30" i="52"/>
  <c r="D34" i="52"/>
  <c r="L34" i="52"/>
  <c r="T34" i="52"/>
  <c r="AB34" i="52"/>
  <c r="K36" i="52"/>
  <c r="S36" i="52"/>
  <c r="AA36" i="52"/>
  <c r="F31" i="33"/>
  <c r="K119" i="68"/>
  <c r="L119" i="68" s="1"/>
  <c r="M119" i="68" s="1"/>
  <c r="AD138" i="68"/>
  <c r="D113" i="68"/>
  <c r="E113" i="68" s="1"/>
  <c r="S127" i="68"/>
  <c r="O123" i="68"/>
  <c r="F114" i="68"/>
  <c r="G115" i="68"/>
  <c r="W131" i="68"/>
  <c r="AC137" i="68"/>
  <c r="AD137" i="68" s="1"/>
  <c r="H116" i="68"/>
  <c r="P124" i="68"/>
  <c r="X132" i="68"/>
  <c r="Y132" i="68" s="1"/>
  <c r="Z132" i="68" s="1"/>
  <c r="AF140" i="68"/>
  <c r="AG140" i="68" s="1"/>
  <c r="D180" i="68"/>
  <c r="I117" i="68"/>
  <c r="J117" i="68" s="1"/>
  <c r="Q125" i="68"/>
  <c r="Y133" i="68"/>
  <c r="AG141" i="68"/>
  <c r="AH141" i="68" s="1"/>
  <c r="J118" i="68"/>
  <c r="R126" i="68"/>
  <c r="Z134" i="68"/>
  <c r="AA134" i="68" s="1"/>
  <c r="L120" i="68"/>
  <c r="T128" i="68"/>
  <c r="U128" i="68" s="1"/>
  <c r="V128" i="68" s="1"/>
  <c r="AB136" i="68"/>
  <c r="M121" i="68"/>
  <c r="U129" i="68"/>
  <c r="N122" i="68"/>
  <c r="O122" i="68" s="1"/>
  <c r="V130" i="68"/>
  <c r="H153" i="55"/>
  <c r="E144" i="55"/>
  <c r="E169" i="55"/>
  <c r="E147" i="55"/>
  <c r="G164" i="55"/>
  <c r="H165" i="55"/>
  <c r="E136" i="55"/>
  <c r="E150" i="55"/>
  <c r="E167" i="55"/>
  <c r="E148" i="55"/>
  <c r="E166" i="55"/>
  <c r="E168" i="55"/>
  <c r="E170" i="55"/>
  <c r="F152" i="55"/>
  <c r="F164" i="55"/>
  <c r="E17" i="28"/>
  <c r="D24" i="37"/>
  <c r="E10" i="28"/>
  <c r="E13" i="28"/>
  <c r="F9" i="28"/>
  <c r="F20" i="28" s="1"/>
  <c r="D18" i="28"/>
  <c r="C15" i="28"/>
  <c r="C13" i="28"/>
  <c r="D10" i="62"/>
  <c r="D40" i="66"/>
  <c r="D41" i="66"/>
  <c r="D39" i="66"/>
  <c r="E41" i="66"/>
  <c r="E39" i="66"/>
  <c r="E40" i="66"/>
  <c r="H14" i="47"/>
  <c r="D4" i="37"/>
  <c r="E11" i="28"/>
  <c r="C12" i="28"/>
  <c r="D12" i="28"/>
  <c r="E12" i="28"/>
  <c r="C11" i="28"/>
  <c r="C16" i="28"/>
  <c r="E16" i="28"/>
  <c r="D16" i="28"/>
  <c r="D11" i="28"/>
  <c r="F22" i="36" s="1"/>
  <c r="C18" i="28"/>
  <c r="E18" i="28"/>
  <c r="E15" i="28"/>
  <c r="C17" i="28"/>
  <c r="C14" i="28"/>
  <c r="D17" i="28"/>
  <c r="E14" i="28"/>
  <c r="G16" i="56" l="1"/>
  <c r="G17" i="56" s="1"/>
  <c r="G40" i="56" s="1"/>
  <c r="G42" i="56" s="1"/>
  <c r="G44" i="56" s="1"/>
  <c r="G45" i="56" s="1"/>
  <c r="T16" i="39"/>
  <c r="T17" i="39" s="1"/>
  <c r="T18" i="39" s="1"/>
  <c r="L30" i="35"/>
  <c r="G30" i="35"/>
  <c r="C25" i="61"/>
  <c r="K30" i="35"/>
  <c r="S21" i="32"/>
  <c r="E30" i="35"/>
  <c r="T20" i="40"/>
  <c r="T21" i="40" s="1"/>
  <c r="M30" i="35"/>
  <c r="AO11" i="45"/>
  <c r="AP11" i="45"/>
  <c r="F30" i="35"/>
  <c r="D30" i="35"/>
  <c r="F44" i="35"/>
  <c r="B19" i="37"/>
  <c r="E11" i="50"/>
  <c r="F19" i="67"/>
  <c r="AD60" i="35"/>
  <c r="H31" i="35"/>
  <c r="F41" i="33"/>
  <c r="G39" i="55" s="1"/>
  <c r="P74" i="40"/>
  <c r="S122" i="55" s="1"/>
  <c r="I31" i="35"/>
  <c r="J31" i="35"/>
  <c r="N85" i="30"/>
  <c r="N86" i="30" s="1"/>
  <c r="C31" i="35"/>
  <c r="K31" i="35"/>
  <c r="D31" i="35"/>
  <c r="E31" i="35"/>
  <c r="M31" i="35"/>
  <c r="F9" i="30"/>
  <c r="E23" i="52"/>
  <c r="X37" i="35"/>
  <c r="E33" i="35"/>
  <c r="AG62" i="40"/>
  <c r="AJ119" i="55" s="1"/>
  <c r="N33" i="35"/>
  <c r="K54" i="40"/>
  <c r="N117" i="55" s="1"/>
  <c r="F50" i="40"/>
  <c r="I116" i="55" s="1"/>
  <c r="V33" i="35"/>
  <c r="D24" i="39"/>
  <c r="D25" i="39" s="1"/>
  <c r="D26" i="39" s="1"/>
  <c r="G76" i="55" s="1"/>
  <c r="Q33" i="35"/>
  <c r="D32" i="40"/>
  <c r="D33" i="40" s="1"/>
  <c r="D34" i="40" s="1"/>
  <c r="G112" i="55" s="1"/>
  <c r="U50" i="40"/>
  <c r="X116" i="55" s="1"/>
  <c r="Y33" i="35"/>
  <c r="E10" i="50"/>
  <c r="AH54" i="40"/>
  <c r="AK117" i="55" s="1"/>
  <c r="K33" i="35"/>
  <c r="E32" i="50"/>
  <c r="L22" i="40"/>
  <c r="O109" i="55" s="1"/>
  <c r="I54" i="40"/>
  <c r="L117" i="55" s="1"/>
  <c r="S33" i="35"/>
  <c r="P33" i="35"/>
  <c r="G22" i="36"/>
  <c r="Z74" i="40"/>
  <c r="AC122" i="55" s="1"/>
  <c r="J74" i="40"/>
  <c r="M122" i="55" s="1"/>
  <c r="AJ33" i="35"/>
  <c r="E22" i="33"/>
  <c r="E379" i="19"/>
  <c r="U54" i="40"/>
  <c r="X117" i="55" s="1"/>
  <c r="W74" i="40"/>
  <c r="Z122" i="55" s="1"/>
  <c r="G74" i="40"/>
  <c r="J122" i="55" s="1"/>
  <c r="M74" i="40"/>
  <c r="P122" i="55" s="1"/>
  <c r="AD62" i="40"/>
  <c r="AG119" i="55" s="1"/>
  <c r="F33" i="35"/>
  <c r="I33" i="35"/>
  <c r="C33" i="35"/>
  <c r="AB33" i="35"/>
  <c r="M54" i="40"/>
  <c r="P117" i="55" s="1"/>
  <c r="H26" i="40"/>
  <c r="K110" i="55" s="1"/>
  <c r="AA26" i="40"/>
  <c r="AD110" i="55" s="1"/>
  <c r="T22" i="40"/>
  <c r="W109" i="55" s="1"/>
  <c r="J54" i="40"/>
  <c r="M117" i="55" s="1"/>
  <c r="AD33" i="35"/>
  <c r="AG33" i="35"/>
  <c r="AA33" i="35"/>
  <c r="M33" i="35"/>
  <c r="K74" i="40"/>
  <c r="N122" i="55" s="1"/>
  <c r="AG50" i="40"/>
  <c r="AJ116" i="55" s="1"/>
  <c r="AI26" i="40"/>
  <c r="AL110" i="55" s="1"/>
  <c r="AE50" i="40"/>
  <c r="AH116" i="55" s="1"/>
  <c r="AA54" i="40"/>
  <c r="AD117" i="55" s="1"/>
  <c r="V50" i="40"/>
  <c r="Y116" i="55" s="1"/>
  <c r="G33" i="35"/>
  <c r="J33" i="35"/>
  <c r="AI33" i="35"/>
  <c r="U33" i="35"/>
  <c r="O26" i="40"/>
  <c r="R110" i="55" s="1"/>
  <c r="I50" i="40"/>
  <c r="L116" i="55" s="1"/>
  <c r="AC54" i="40"/>
  <c r="AF117" i="55" s="1"/>
  <c r="AJ54" i="40"/>
  <c r="AM117" i="55" s="1"/>
  <c r="G50" i="40"/>
  <c r="J116" i="55" s="1"/>
  <c r="G62" i="40"/>
  <c r="J119" i="55" s="1"/>
  <c r="AJ50" i="40"/>
  <c r="AM116" i="55" s="1"/>
  <c r="S50" i="40"/>
  <c r="V116" i="55" s="1"/>
  <c r="O33" i="35"/>
  <c r="R33" i="35"/>
  <c r="D33" i="35"/>
  <c r="AC33" i="35"/>
  <c r="AB74" i="40"/>
  <c r="AE122" i="55" s="1"/>
  <c r="L74" i="40"/>
  <c r="O122" i="55" s="1"/>
  <c r="P38" i="35"/>
  <c r="AA74" i="40"/>
  <c r="AD122" i="55" s="1"/>
  <c r="AB62" i="40"/>
  <c r="AE119" i="55" s="1"/>
  <c r="L62" i="40"/>
  <c r="O119" i="55" s="1"/>
  <c r="N54" i="40"/>
  <c r="Q117" i="55" s="1"/>
  <c r="AK50" i="40"/>
  <c r="AN116" i="55" s="1"/>
  <c r="N74" i="40"/>
  <c r="Q122" i="55" s="1"/>
  <c r="L50" i="40"/>
  <c r="O116" i="55" s="1"/>
  <c r="AF33" i="35"/>
  <c r="X54" i="40"/>
  <c r="AA117" i="55" s="1"/>
  <c r="W33" i="35"/>
  <c r="Z33" i="35"/>
  <c r="L33" i="35"/>
  <c r="AK33" i="35"/>
  <c r="AC62" i="40"/>
  <c r="AF119" i="55" s="1"/>
  <c r="G54" i="40"/>
  <c r="J117" i="55" s="1"/>
  <c r="X38" i="35"/>
  <c r="X50" i="40"/>
  <c r="AA116" i="55" s="1"/>
  <c r="P26" i="40"/>
  <c r="S110" i="55" s="1"/>
  <c r="Y50" i="40"/>
  <c r="AB116" i="55" s="1"/>
  <c r="H33" i="35"/>
  <c r="AG26" i="40"/>
  <c r="AJ110" i="55" s="1"/>
  <c r="E26" i="40"/>
  <c r="H110" i="55" s="1"/>
  <c r="AC50" i="40"/>
  <c r="AF116" i="55" s="1"/>
  <c r="W50" i="40"/>
  <c r="Z116" i="55" s="1"/>
  <c r="H62" i="40"/>
  <c r="K119" i="55" s="1"/>
  <c r="Q54" i="40"/>
  <c r="T117" i="55" s="1"/>
  <c r="AI50" i="40"/>
  <c r="AL116" i="55" s="1"/>
  <c r="X33" i="35"/>
  <c r="AE33" i="35"/>
  <c r="AH33" i="35"/>
  <c r="E62" i="40"/>
  <c r="H119" i="55" s="1"/>
  <c r="AD10" i="40"/>
  <c r="S25" i="35"/>
  <c r="AJ26" i="35"/>
  <c r="AD26" i="35"/>
  <c r="H35" i="35"/>
  <c r="K25" i="35"/>
  <c r="V26" i="35"/>
  <c r="F10" i="40"/>
  <c r="AB50" i="40"/>
  <c r="AE116" i="55" s="1"/>
  <c r="K50" i="40"/>
  <c r="N116" i="55" s="1"/>
  <c r="C44" i="35"/>
  <c r="AD25" i="35"/>
  <c r="AJ25" i="35"/>
  <c r="Z26" i="35"/>
  <c r="X26" i="35"/>
  <c r="Y10" i="40"/>
  <c r="G25" i="35"/>
  <c r="E25" i="35"/>
  <c r="J50" i="40"/>
  <c r="M116" i="55" s="1"/>
  <c r="K26" i="35"/>
  <c r="AF26" i="35"/>
  <c r="AD54" i="40"/>
  <c r="AG117" i="55" s="1"/>
  <c r="L54" i="40"/>
  <c r="O117" i="55" s="1"/>
  <c r="AE10" i="40"/>
  <c r="AH106" i="55" s="1"/>
  <c r="X25" i="35"/>
  <c r="AF74" i="40"/>
  <c r="AI122" i="55" s="1"/>
  <c r="I62" i="40"/>
  <c r="L119" i="55" s="1"/>
  <c r="AG54" i="40"/>
  <c r="AJ117" i="55" s="1"/>
  <c r="D50" i="40"/>
  <c r="G116" i="55" s="1"/>
  <c r="F62" i="40"/>
  <c r="I119" i="55" s="1"/>
  <c r="P54" i="40"/>
  <c r="S117" i="55" s="1"/>
  <c r="D41" i="35"/>
  <c r="D40" i="35" s="1"/>
  <c r="D7" i="35" s="1"/>
  <c r="Q25" i="35"/>
  <c r="AA25" i="35"/>
  <c r="AC25" i="35"/>
  <c r="D26" i="35"/>
  <c r="AI26" i="35"/>
  <c r="G26" i="35"/>
  <c r="I10" i="40"/>
  <c r="L106" i="55" s="1"/>
  <c r="W64" i="35"/>
  <c r="K18" i="40"/>
  <c r="N108" i="55" s="1"/>
  <c r="M10" i="40"/>
  <c r="P106" i="55" s="1"/>
  <c r="H29" i="35"/>
  <c r="I64" i="35"/>
  <c r="G10" i="40"/>
  <c r="J106" i="55" s="1"/>
  <c r="P25" i="35"/>
  <c r="S10" i="40"/>
  <c r="V106" i="55" s="1"/>
  <c r="Y25" i="35"/>
  <c r="AK25" i="35"/>
  <c r="L26" i="35"/>
  <c r="AE26" i="35"/>
  <c r="P60" i="35"/>
  <c r="Q86" i="40"/>
  <c r="T124" i="55" s="1"/>
  <c r="S62" i="40"/>
  <c r="V119" i="55" s="1"/>
  <c r="AF50" i="40"/>
  <c r="AI116" i="55" s="1"/>
  <c r="J26" i="40"/>
  <c r="M110" i="55" s="1"/>
  <c r="AK26" i="40"/>
  <c r="AN110" i="55" s="1"/>
  <c r="R54" i="40"/>
  <c r="U117" i="55" s="1"/>
  <c r="E50" i="40"/>
  <c r="H116" i="55" s="1"/>
  <c r="I74" i="40"/>
  <c r="L122" i="55" s="1"/>
  <c r="AB54" i="40"/>
  <c r="AE117" i="55" s="1"/>
  <c r="D10" i="40"/>
  <c r="G106" i="55" s="1"/>
  <c r="V10" i="40"/>
  <c r="Y106" i="55" s="1"/>
  <c r="K10" i="40"/>
  <c r="L35" i="35"/>
  <c r="N25" i="35"/>
  <c r="AG25" i="35"/>
  <c r="D25" i="35"/>
  <c r="C19" i="35"/>
  <c r="J26" i="35"/>
  <c r="M26" i="35"/>
  <c r="H26" i="35"/>
  <c r="AG10" i="40"/>
  <c r="X60" i="35"/>
  <c r="S37" i="41"/>
  <c r="V135" i="55" s="1"/>
  <c r="AH64" i="35"/>
  <c r="H10" i="40"/>
  <c r="K106" i="55" s="1"/>
  <c r="N10" i="40"/>
  <c r="Q106" i="55" s="1"/>
  <c r="H25" i="35"/>
  <c r="F35" i="35"/>
  <c r="AI25" i="35"/>
  <c r="E26" i="35"/>
  <c r="AI74" i="40"/>
  <c r="AL122" i="55" s="1"/>
  <c r="AJ62" i="40"/>
  <c r="AM119" i="55" s="1"/>
  <c r="V54" i="40"/>
  <c r="Y117" i="55" s="1"/>
  <c r="AK54" i="40"/>
  <c r="AN117" i="55" s="1"/>
  <c r="H50" i="40"/>
  <c r="K116" i="55" s="1"/>
  <c r="H22" i="40"/>
  <c r="K109" i="55" s="1"/>
  <c r="N26" i="40"/>
  <c r="Q110" i="55" s="1"/>
  <c r="Y74" i="40"/>
  <c r="AB122" i="55" s="1"/>
  <c r="R62" i="40"/>
  <c r="U119" i="55" s="1"/>
  <c r="D54" i="40"/>
  <c r="G117" i="55" s="1"/>
  <c r="H54" i="40"/>
  <c r="K117" i="55" s="1"/>
  <c r="V25" i="35"/>
  <c r="J25" i="35"/>
  <c r="L25" i="35"/>
  <c r="R26" i="35"/>
  <c r="AK26" i="35"/>
  <c r="P26" i="35"/>
  <c r="S60" i="35"/>
  <c r="J42" i="40"/>
  <c r="M114" i="55" s="1"/>
  <c r="U42" i="40"/>
  <c r="X114" i="55" s="1"/>
  <c r="H23" i="35"/>
  <c r="W37" i="41"/>
  <c r="Q64" i="35"/>
  <c r="H42" i="40"/>
  <c r="K114" i="55" s="1"/>
  <c r="AI42" i="40"/>
  <c r="AL114" i="55" s="1"/>
  <c r="O42" i="40"/>
  <c r="R114" i="55" s="1"/>
  <c r="J35" i="35"/>
  <c r="AE54" i="40"/>
  <c r="AH117" i="55" s="1"/>
  <c r="AI64" i="35"/>
  <c r="K60" i="35"/>
  <c r="E35" i="35"/>
  <c r="F29" i="35"/>
  <c r="U64" i="35"/>
  <c r="S74" i="40"/>
  <c r="V122" i="55" s="1"/>
  <c r="N70" i="40"/>
  <c r="Q121" i="55" s="1"/>
  <c r="F54" i="40"/>
  <c r="I117" i="55" s="1"/>
  <c r="L46" i="40"/>
  <c r="O115" i="55" s="1"/>
  <c r="AA62" i="40"/>
  <c r="AD119" i="55" s="1"/>
  <c r="E54" i="40"/>
  <c r="H117" i="55" s="1"/>
  <c r="AF26" i="40"/>
  <c r="AI110" i="55" s="1"/>
  <c r="L26" i="40"/>
  <c r="O110" i="55" s="1"/>
  <c r="Z54" i="40"/>
  <c r="AC117" i="55" s="1"/>
  <c r="M50" i="40"/>
  <c r="P116" i="55" s="1"/>
  <c r="O50" i="40"/>
  <c r="R116" i="55" s="1"/>
  <c r="L10" i="40"/>
  <c r="O106" i="55" s="1"/>
  <c r="E10" i="40"/>
  <c r="T50" i="40"/>
  <c r="W116" i="55" s="1"/>
  <c r="AC74" i="40"/>
  <c r="AF122" i="55" s="1"/>
  <c r="AA50" i="40"/>
  <c r="AD116" i="55" s="1"/>
  <c r="AI10" i="40"/>
  <c r="D44" i="35"/>
  <c r="J29" i="35"/>
  <c r="AE25" i="35"/>
  <c r="AH25" i="35"/>
  <c r="T25" i="35"/>
  <c r="I23" i="35"/>
  <c r="T26" i="35"/>
  <c r="AH26" i="35"/>
  <c r="U26" i="35"/>
  <c r="O26" i="35"/>
  <c r="Q26" i="35"/>
  <c r="AC64" i="35"/>
  <c r="E60" i="35"/>
  <c r="D64" i="35"/>
  <c r="E41" i="35"/>
  <c r="E40" i="35" s="1"/>
  <c r="E7" i="35" s="1"/>
  <c r="Z37" i="41"/>
  <c r="AC135" i="55" s="1"/>
  <c r="AJ60" i="35"/>
  <c r="T62" i="40"/>
  <c r="W119" i="55" s="1"/>
  <c r="Q50" i="40"/>
  <c r="T116" i="55" s="1"/>
  <c r="P50" i="40"/>
  <c r="S116" i="55" s="1"/>
  <c r="AF10" i="40"/>
  <c r="AI106" i="55" s="1"/>
  <c r="I26" i="40"/>
  <c r="L110" i="55" s="1"/>
  <c r="T26" i="40"/>
  <c r="W110" i="55" s="1"/>
  <c r="AF25" i="35"/>
  <c r="T54" i="40"/>
  <c r="W117" i="55" s="1"/>
  <c r="T10" i="40"/>
  <c r="W106" i="55" s="1"/>
  <c r="AK10" i="40"/>
  <c r="AN106" i="55" s="1"/>
  <c r="S54" i="40"/>
  <c r="V117" i="55" s="1"/>
  <c r="N50" i="40"/>
  <c r="Q116" i="55" s="1"/>
  <c r="AE62" i="40"/>
  <c r="AH119" i="55" s="1"/>
  <c r="Y54" i="40"/>
  <c r="AB117" i="55" s="1"/>
  <c r="AF54" i="40"/>
  <c r="AI117" i="55" s="1"/>
  <c r="AA10" i="40"/>
  <c r="AD106" i="55" s="1"/>
  <c r="F25" i="35"/>
  <c r="I25" i="35"/>
  <c r="C25" i="35"/>
  <c r="S23" i="35"/>
  <c r="AH50" i="40"/>
  <c r="AK116" i="55" s="1"/>
  <c r="AB26" i="35"/>
  <c r="C26" i="35"/>
  <c r="AC26" i="35"/>
  <c r="W26" i="35"/>
  <c r="Q10" i="40"/>
  <c r="T106" i="55" s="1"/>
  <c r="Z64" i="35"/>
  <c r="O64" i="35"/>
  <c r="V60" i="35"/>
  <c r="AE37" i="41"/>
  <c r="AH135" i="55" s="1"/>
  <c r="D35" i="35"/>
  <c r="E29" i="35"/>
  <c r="W54" i="40"/>
  <c r="Z117" i="55" s="1"/>
  <c r="AF64" i="35"/>
  <c r="AA64" i="35"/>
  <c r="M64" i="35"/>
  <c r="G64" i="35"/>
  <c r="H60" i="35"/>
  <c r="C60" i="35"/>
  <c r="AB60" i="35"/>
  <c r="N60" i="35"/>
  <c r="AI18" i="40"/>
  <c r="AL108" i="55" s="1"/>
  <c r="S38" i="35"/>
  <c r="X70" i="40"/>
  <c r="AA121" i="55" s="1"/>
  <c r="G35" i="35"/>
  <c r="G29" i="35"/>
  <c r="J64" i="35"/>
  <c r="Y64" i="35"/>
  <c r="L64" i="35"/>
  <c r="AK64" i="35"/>
  <c r="AE64" i="35"/>
  <c r="AF60" i="35"/>
  <c r="AA60" i="35"/>
  <c r="M60" i="35"/>
  <c r="G60" i="35"/>
  <c r="I35" i="35"/>
  <c r="I29" i="35"/>
  <c r="R64" i="35"/>
  <c r="AG64" i="35"/>
  <c r="T64" i="35"/>
  <c r="F64" i="35"/>
  <c r="J60" i="35"/>
  <c r="I60" i="35"/>
  <c r="AI60" i="35"/>
  <c r="U60" i="35"/>
  <c r="O60" i="35"/>
  <c r="AE70" i="40"/>
  <c r="AH121" i="55" s="1"/>
  <c r="H64" i="35"/>
  <c r="C64" i="35"/>
  <c r="AB64" i="35"/>
  <c r="N64" i="35"/>
  <c r="R60" i="35"/>
  <c r="Q60" i="35"/>
  <c r="D60" i="35"/>
  <c r="AC60" i="35"/>
  <c r="W60" i="35"/>
  <c r="C35" i="35"/>
  <c r="C29" i="35"/>
  <c r="P64" i="35"/>
  <c r="K64" i="35"/>
  <c r="AJ64" i="35"/>
  <c r="V64" i="35"/>
  <c r="Z60" i="35"/>
  <c r="Y60" i="35"/>
  <c r="L60" i="35"/>
  <c r="AK60" i="35"/>
  <c r="AE60" i="35"/>
  <c r="R50" i="40"/>
  <c r="U116" i="55" s="1"/>
  <c r="X64" i="35"/>
  <c r="S64" i="35"/>
  <c r="E64" i="35"/>
  <c r="AH60" i="35"/>
  <c r="AG60" i="35"/>
  <c r="T60" i="35"/>
  <c r="AI62" i="40"/>
  <c r="AL119" i="55" s="1"/>
  <c r="P16" i="39"/>
  <c r="P17" i="39" s="1"/>
  <c r="P18" i="39" s="1"/>
  <c r="S74" i="55" s="1"/>
  <c r="J62" i="40"/>
  <c r="M119" i="55" s="1"/>
  <c r="R16" i="36"/>
  <c r="F74" i="40"/>
  <c r="I122" i="55" s="1"/>
  <c r="U74" i="40"/>
  <c r="X122" i="55" s="1"/>
  <c r="B68" i="35"/>
  <c r="O68" i="35" s="1"/>
  <c r="R55" i="35"/>
  <c r="F18" i="40"/>
  <c r="I108" i="55" s="1"/>
  <c r="R51" i="30"/>
  <c r="S51" i="35" s="1"/>
  <c r="R52" i="30"/>
  <c r="AI40" i="45" s="1"/>
  <c r="AH74" i="40"/>
  <c r="AK122" i="55" s="1"/>
  <c r="R74" i="40"/>
  <c r="U122" i="55" s="1"/>
  <c r="K62" i="40"/>
  <c r="N119" i="55" s="1"/>
  <c r="P20" i="40"/>
  <c r="P21" i="40" s="1"/>
  <c r="P22" i="40" s="1"/>
  <c r="S109" i="55" s="1"/>
  <c r="Q74" i="40"/>
  <c r="T122" i="55" s="1"/>
  <c r="AE74" i="40"/>
  <c r="AH122" i="55" s="1"/>
  <c r="O74" i="40"/>
  <c r="R122" i="55" s="1"/>
  <c r="P62" i="40"/>
  <c r="S119" i="55" s="1"/>
  <c r="Q70" i="40"/>
  <c r="T121" i="55" s="1"/>
  <c r="O62" i="40"/>
  <c r="R119" i="55" s="1"/>
  <c r="O46" i="40"/>
  <c r="R115" i="55" s="1"/>
  <c r="AE18" i="40"/>
  <c r="AH108" i="55" s="1"/>
  <c r="Z53" i="35"/>
  <c r="AJ9" i="30"/>
  <c r="N62" i="40"/>
  <c r="Q119" i="55" s="1"/>
  <c r="B76" i="35"/>
  <c r="J76" i="35" s="1"/>
  <c r="AK62" i="40"/>
  <c r="AN119" i="55" s="1"/>
  <c r="O54" i="40"/>
  <c r="R117" i="55" s="1"/>
  <c r="S18" i="40"/>
  <c r="V108" i="55" s="1"/>
  <c r="AD18" i="40"/>
  <c r="AG108" i="55" s="1"/>
  <c r="AE51" i="30"/>
  <c r="AF51" i="35" s="1"/>
  <c r="AE52" i="30"/>
  <c r="AV40" i="45" s="1"/>
  <c r="K51" i="30"/>
  <c r="AB39" i="45" s="1"/>
  <c r="K52" i="30"/>
  <c r="L52" i="35" s="1"/>
  <c r="D62" i="40"/>
  <c r="G119" i="55" s="1"/>
  <c r="AG74" i="40"/>
  <c r="AJ122" i="55" s="1"/>
  <c r="Z62" i="40"/>
  <c r="AC119" i="55" s="1"/>
  <c r="M51" i="30"/>
  <c r="M52" i="30"/>
  <c r="Q62" i="40"/>
  <c r="T119" i="55" s="1"/>
  <c r="AD86" i="40"/>
  <c r="AG124" i="55" s="1"/>
  <c r="N86" i="40"/>
  <c r="Q124" i="55" s="1"/>
  <c r="J70" i="40"/>
  <c r="M121" i="55" s="1"/>
  <c r="AF62" i="40"/>
  <c r="AI119" i="55" s="1"/>
  <c r="V74" i="40"/>
  <c r="Y122" i="55" s="1"/>
  <c r="D53" i="35"/>
  <c r="AK74" i="40"/>
  <c r="AN122" i="55" s="1"/>
  <c r="M62" i="40"/>
  <c r="P119" i="55" s="1"/>
  <c r="Z50" i="40"/>
  <c r="AC116" i="55" s="1"/>
  <c r="M13" i="32"/>
  <c r="M46" i="30" s="1"/>
  <c r="B18" i="37"/>
  <c r="E18" i="50"/>
  <c r="J52" i="30"/>
  <c r="K52" i="35" s="1"/>
  <c r="J51" i="30"/>
  <c r="K51" i="35" s="1"/>
  <c r="AC51" i="30"/>
  <c r="AC52" i="30"/>
  <c r="E28" i="50"/>
  <c r="W52" i="30"/>
  <c r="AN40" i="45" s="1"/>
  <c r="W51" i="30"/>
  <c r="AN39" i="45" s="1"/>
  <c r="AI21" i="32"/>
  <c r="AI52" i="30"/>
  <c r="AJ52" i="35" s="1"/>
  <c r="AI51" i="30"/>
  <c r="AZ39" i="45" s="1"/>
  <c r="C51" i="30"/>
  <c r="T39" i="45" s="1"/>
  <c r="C52" i="30"/>
  <c r="D52" i="35" s="1"/>
  <c r="AH51" i="30"/>
  <c r="AY39" i="45" s="1"/>
  <c r="AH52" i="30"/>
  <c r="AI52" i="35" s="1"/>
  <c r="AJ127" i="39"/>
  <c r="AF52" i="30"/>
  <c r="AF51" i="30"/>
  <c r="B21" i="32"/>
  <c r="B19" i="32" s="1"/>
  <c r="C128" i="39" s="1"/>
  <c r="B51" i="30"/>
  <c r="S39" i="45" s="1"/>
  <c r="B52" i="30"/>
  <c r="C52" i="35" s="1"/>
  <c r="O52" i="30"/>
  <c r="AF40" i="45" s="1"/>
  <c r="O51" i="30"/>
  <c r="P51" i="35" s="1"/>
  <c r="AA52" i="30"/>
  <c r="AB52" i="35" s="1"/>
  <c r="AA51" i="30"/>
  <c r="AR39" i="45" s="1"/>
  <c r="S127" i="39"/>
  <c r="AB127" i="39"/>
  <c r="AF127" i="39"/>
  <c r="P127" i="39"/>
  <c r="J46" i="40"/>
  <c r="M115" i="55" s="1"/>
  <c r="O86" i="40"/>
  <c r="R124" i="55" s="1"/>
  <c r="H74" i="40"/>
  <c r="K122" i="55" s="1"/>
  <c r="S70" i="40"/>
  <c r="V121" i="55" s="1"/>
  <c r="D51" i="30"/>
  <c r="D52" i="30"/>
  <c r="X62" i="40"/>
  <c r="AA119" i="55" s="1"/>
  <c r="W62" i="40"/>
  <c r="Z119" i="55" s="1"/>
  <c r="E74" i="40"/>
  <c r="H122" i="55" s="1"/>
  <c r="V62" i="40"/>
  <c r="Y119" i="55" s="1"/>
  <c r="C281" i="19"/>
  <c r="M58" i="40" s="1"/>
  <c r="P118" i="55" s="1"/>
  <c r="AA18" i="40"/>
  <c r="AD108" i="55" s="1"/>
  <c r="H52" i="30"/>
  <c r="H51" i="30"/>
  <c r="H21" i="32"/>
  <c r="W18" i="40"/>
  <c r="Z108" i="55" s="1"/>
  <c r="E17" i="50"/>
  <c r="Z52" i="30"/>
  <c r="AA52" i="35" s="1"/>
  <c r="Z51" i="30"/>
  <c r="AQ39" i="45" s="1"/>
  <c r="E51" i="30"/>
  <c r="F51" i="35" s="1"/>
  <c r="E52" i="30"/>
  <c r="I127" i="39"/>
  <c r="K127" i="39"/>
  <c r="AD127" i="39"/>
  <c r="E127" i="39"/>
  <c r="AJ52" i="30"/>
  <c r="AJ51" i="30"/>
  <c r="AH62" i="40"/>
  <c r="AK119" i="55" s="1"/>
  <c r="X74" i="40"/>
  <c r="AA122" i="55" s="1"/>
  <c r="Y62" i="40"/>
  <c r="AB119" i="55" s="1"/>
  <c r="AD74" i="40"/>
  <c r="AG122" i="55" s="1"/>
  <c r="AJ74" i="40"/>
  <c r="AM122" i="55" s="1"/>
  <c r="T74" i="40"/>
  <c r="W122" i="55" s="1"/>
  <c r="D74" i="40"/>
  <c r="G122" i="55" s="1"/>
  <c r="U62" i="40"/>
  <c r="X119" i="55" s="1"/>
  <c r="J55" i="35"/>
  <c r="I21" i="32"/>
  <c r="I19" i="32" s="1"/>
  <c r="J128" i="39" s="1"/>
  <c r="I52" i="30"/>
  <c r="I51" i="30"/>
  <c r="N51" i="30"/>
  <c r="N52" i="30"/>
  <c r="E29" i="50"/>
  <c r="S51" i="30"/>
  <c r="AJ39" i="45" s="1"/>
  <c r="S52" i="30"/>
  <c r="AK127" i="39"/>
  <c r="L127" i="39"/>
  <c r="AE63" i="35"/>
  <c r="AF35" i="52"/>
  <c r="AD85" i="30"/>
  <c r="AD86" i="30" s="1"/>
  <c r="AD83" i="30" s="1"/>
  <c r="B131" i="39"/>
  <c r="Q9" i="41"/>
  <c r="S9" i="41"/>
  <c r="P9" i="41"/>
  <c r="P128" i="39"/>
  <c r="I9" i="41"/>
  <c r="E9" i="41"/>
  <c r="AJ9" i="41"/>
  <c r="O9" i="41"/>
  <c r="AC9" i="41"/>
  <c r="T9" i="41"/>
  <c r="AK46" i="40"/>
  <c r="AN115" i="55" s="1"/>
  <c r="E9" i="33"/>
  <c r="F12" i="55" s="1"/>
  <c r="AI9" i="41"/>
  <c r="W9" i="41"/>
  <c r="J9" i="41"/>
  <c r="V9" i="41"/>
  <c r="K13" i="32"/>
  <c r="K46" i="30" s="1"/>
  <c r="U9" i="41"/>
  <c r="H128" i="39"/>
  <c r="L53" i="35"/>
  <c r="AI55" i="35"/>
  <c r="U53" i="35"/>
  <c r="O37" i="41"/>
  <c r="R135" i="55" s="1"/>
  <c r="D55" i="35"/>
  <c r="AC53" i="35"/>
  <c r="H55" i="35"/>
  <c r="U55" i="35"/>
  <c r="P53" i="35"/>
  <c r="P55" i="35"/>
  <c r="AC55" i="35"/>
  <c r="AB37" i="41"/>
  <c r="AE135" i="55" s="1"/>
  <c r="O53" i="35"/>
  <c r="X53" i="35"/>
  <c r="G55" i="35"/>
  <c r="T37" i="41"/>
  <c r="W135" i="55" s="1"/>
  <c r="R53" i="35"/>
  <c r="O55" i="35"/>
  <c r="X55" i="35"/>
  <c r="W55" i="35"/>
  <c r="Z55" i="35"/>
  <c r="L55" i="35"/>
  <c r="AK55" i="35"/>
  <c r="U13" i="32"/>
  <c r="U16" i="32" s="1"/>
  <c r="AF55" i="35"/>
  <c r="AE55" i="35"/>
  <c r="AH55" i="35"/>
  <c r="T55" i="35"/>
  <c r="R34" i="35"/>
  <c r="F55" i="35"/>
  <c r="I55" i="35"/>
  <c r="C55" i="35"/>
  <c r="AB55" i="35"/>
  <c r="AE34" i="35"/>
  <c r="N55" i="35"/>
  <c r="Q55" i="35"/>
  <c r="K55" i="35"/>
  <c r="AJ55" i="35"/>
  <c r="G24" i="55"/>
  <c r="V55" i="35"/>
  <c r="Y55" i="35"/>
  <c r="S55" i="35"/>
  <c r="E55" i="35"/>
  <c r="C121" i="39"/>
  <c r="AJ37" i="41"/>
  <c r="AM135" i="55" s="1"/>
  <c r="AD55" i="35"/>
  <c r="AG55" i="35"/>
  <c r="AA55" i="35"/>
  <c r="H26" i="33"/>
  <c r="I26" i="33" s="1"/>
  <c r="J24" i="55" s="1"/>
  <c r="H24" i="55"/>
  <c r="F59" i="33"/>
  <c r="G59" i="33" s="1"/>
  <c r="H59" i="33" s="1"/>
  <c r="E58" i="33"/>
  <c r="C25" i="39"/>
  <c r="C26" i="39" s="1"/>
  <c r="C123" i="39"/>
  <c r="B76" i="32"/>
  <c r="C62" i="41" s="1"/>
  <c r="F27" i="33"/>
  <c r="G27" i="33" s="1"/>
  <c r="D34" i="35"/>
  <c r="H34" i="35"/>
  <c r="I15" i="52"/>
  <c r="H16" i="41"/>
  <c r="L34" i="35"/>
  <c r="X34" i="35"/>
  <c r="J34" i="35"/>
  <c r="AF34" i="35"/>
  <c r="AK22" i="35"/>
  <c r="F49" i="35"/>
  <c r="G49" i="35"/>
  <c r="O49" i="35"/>
  <c r="W49" i="35"/>
  <c r="AE49" i="35"/>
  <c r="H49" i="35"/>
  <c r="P49" i="35"/>
  <c r="AF49" i="35"/>
  <c r="L49" i="35"/>
  <c r="AB49" i="35"/>
  <c r="E49" i="35"/>
  <c r="AC49" i="35"/>
  <c r="V49" i="35"/>
  <c r="C49" i="35"/>
  <c r="X49" i="35"/>
  <c r="I49" i="35"/>
  <c r="Q49" i="35"/>
  <c r="Y49" i="35"/>
  <c r="AG49" i="35"/>
  <c r="J49" i="35"/>
  <c r="R49" i="35"/>
  <c r="Z49" i="35"/>
  <c r="AH49" i="35"/>
  <c r="S49" i="35"/>
  <c r="AA49" i="35"/>
  <c r="AI49" i="35"/>
  <c r="D49" i="35"/>
  <c r="T49" i="35"/>
  <c r="M49" i="35"/>
  <c r="AK49" i="35"/>
  <c r="K49" i="35"/>
  <c r="AJ49" i="35"/>
  <c r="U49" i="35"/>
  <c r="N49" i="35"/>
  <c r="AD49" i="35"/>
  <c r="K47" i="35"/>
  <c r="AI47" i="35"/>
  <c r="X47" i="35"/>
  <c r="L47" i="35"/>
  <c r="T47" i="35"/>
  <c r="AB47" i="35"/>
  <c r="AJ47" i="35"/>
  <c r="D47" i="35"/>
  <c r="M47" i="35"/>
  <c r="U47" i="35"/>
  <c r="AK47" i="35"/>
  <c r="P47" i="35"/>
  <c r="G47" i="35"/>
  <c r="Q47" i="35"/>
  <c r="AC47" i="35"/>
  <c r="C47" i="35"/>
  <c r="AF47" i="35"/>
  <c r="AG47" i="35"/>
  <c r="N47" i="35"/>
  <c r="V47" i="35"/>
  <c r="AD47" i="35"/>
  <c r="E47" i="35"/>
  <c r="O47" i="35"/>
  <c r="W47" i="35"/>
  <c r="AE47" i="35"/>
  <c r="F47" i="35"/>
  <c r="R47" i="35"/>
  <c r="Z47" i="35"/>
  <c r="AH47" i="35"/>
  <c r="I47" i="35"/>
  <c r="S47" i="35"/>
  <c r="AA47" i="35"/>
  <c r="J47" i="35"/>
  <c r="Y47" i="35"/>
  <c r="H47" i="35"/>
  <c r="AG22" i="35"/>
  <c r="O48" i="35"/>
  <c r="L48" i="35"/>
  <c r="AJ48" i="35"/>
  <c r="H48" i="35"/>
  <c r="P48" i="35"/>
  <c r="X48" i="35"/>
  <c r="AF48" i="35"/>
  <c r="I48" i="35"/>
  <c r="Q48" i="35"/>
  <c r="Y48" i="35"/>
  <c r="D48" i="35"/>
  <c r="T48" i="35"/>
  <c r="AG48" i="35"/>
  <c r="AB48" i="35"/>
  <c r="E48" i="35"/>
  <c r="U48" i="35"/>
  <c r="AC48" i="35"/>
  <c r="J48" i="35"/>
  <c r="R48" i="35"/>
  <c r="Z48" i="35"/>
  <c r="AH48" i="35"/>
  <c r="K48" i="35"/>
  <c r="S48" i="35"/>
  <c r="AA48" i="35"/>
  <c r="AI48" i="35"/>
  <c r="F48" i="35"/>
  <c r="N48" i="35"/>
  <c r="V48" i="35"/>
  <c r="AD48" i="35"/>
  <c r="C48" i="35"/>
  <c r="G48" i="35"/>
  <c r="W48" i="35"/>
  <c r="AE48" i="35"/>
  <c r="M48" i="35"/>
  <c r="AK48" i="35"/>
  <c r="Q15" i="52"/>
  <c r="P16" i="41"/>
  <c r="AH37" i="35"/>
  <c r="K34" i="35"/>
  <c r="E25" i="28"/>
  <c r="R35" i="45"/>
  <c r="S34" i="35"/>
  <c r="W34" i="35"/>
  <c r="AG16" i="36"/>
  <c r="L31" i="35"/>
  <c r="AF44" i="45"/>
  <c r="AC85" i="30"/>
  <c r="AC86" i="30" s="1"/>
  <c r="AT69" i="45" s="1"/>
  <c r="E41" i="30"/>
  <c r="D7" i="30"/>
  <c r="D27" i="32"/>
  <c r="E32" i="40" s="1"/>
  <c r="C41" i="28"/>
  <c r="C42" i="28"/>
  <c r="C45" i="28"/>
  <c r="C39" i="28"/>
  <c r="C44" i="28"/>
  <c r="C40" i="28"/>
  <c r="C43" i="28"/>
  <c r="C46" i="28"/>
  <c r="F70" i="40"/>
  <c r="I121" i="55" s="1"/>
  <c r="D46" i="40"/>
  <c r="G115" i="55" s="1"/>
  <c r="AF42" i="40"/>
  <c r="AI114" i="55" s="1"/>
  <c r="AH42" i="40"/>
  <c r="AK114" i="55" s="1"/>
  <c r="T42" i="40"/>
  <c r="W114" i="55" s="1"/>
  <c r="F42" i="40"/>
  <c r="I114" i="55" s="1"/>
  <c r="I86" i="40"/>
  <c r="L124" i="55" s="1"/>
  <c r="AK70" i="40"/>
  <c r="AN121" i="55" s="1"/>
  <c r="AJ70" i="40"/>
  <c r="AM121" i="55" s="1"/>
  <c r="G86" i="40"/>
  <c r="J124" i="55" s="1"/>
  <c r="K70" i="40"/>
  <c r="N121" i="55" s="1"/>
  <c r="F86" i="40"/>
  <c r="I124" i="55" s="1"/>
  <c r="AK86" i="40"/>
  <c r="AN124" i="55" s="1"/>
  <c r="I70" i="40"/>
  <c r="L121" i="55" s="1"/>
  <c r="G46" i="40"/>
  <c r="J115" i="55" s="1"/>
  <c r="P70" i="40"/>
  <c r="S121" i="55" s="1"/>
  <c r="AA86" i="40"/>
  <c r="AD124" i="55" s="1"/>
  <c r="K86" i="40"/>
  <c r="N124" i="55" s="1"/>
  <c r="W70" i="40"/>
  <c r="Z121" i="55" s="1"/>
  <c r="G70" i="40"/>
  <c r="J121" i="55" s="1"/>
  <c r="AC46" i="40"/>
  <c r="AF115" i="55" s="1"/>
  <c r="Z86" i="40"/>
  <c r="AC124" i="55" s="1"/>
  <c r="I42" i="40"/>
  <c r="L114" i="55" s="1"/>
  <c r="AB42" i="40"/>
  <c r="AE114" i="55" s="1"/>
  <c r="N42" i="40"/>
  <c r="Q114" i="55" s="1"/>
  <c r="M70" i="40"/>
  <c r="P121" i="55" s="1"/>
  <c r="AI46" i="40"/>
  <c r="AL115" i="55" s="1"/>
  <c r="P46" i="40"/>
  <c r="S115" i="55" s="1"/>
  <c r="P86" i="40"/>
  <c r="S124" i="55" s="1"/>
  <c r="L70" i="40"/>
  <c r="O121" i="55" s="1"/>
  <c r="Y46" i="40"/>
  <c r="AB115" i="55" s="1"/>
  <c r="V86" i="40"/>
  <c r="Y124" i="55" s="1"/>
  <c r="M86" i="40"/>
  <c r="P124" i="55" s="1"/>
  <c r="N46" i="40"/>
  <c r="Q115" i="55" s="1"/>
  <c r="E46" i="40"/>
  <c r="H115" i="55" s="1"/>
  <c r="V70" i="40"/>
  <c r="Y121" i="55" s="1"/>
  <c r="T46" i="40"/>
  <c r="W115" i="55" s="1"/>
  <c r="Q42" i="40"/>
  <c r="T114" i="55" s="1"/>
  <c r="K42" i="40"/>
  <c r="N114" i="55" s="1"/>
  <c r="AJ42" i="40"/>
  <c r="AM114" i="55" s="1"/>
  <c r="V42" i="40"/>
  <c r="Y114" i="55" s="1"/>
  <c r="Y86" i="40"/>
  <c r="AB124" i="55" s="1"/>
  <c r="K46" i="40"/>
  <c r="N115" i="55" s="1"/>
  <c r="AB70" i="40"/>
  <c r="AE121" i="55" s="1"/>
  <c r="R46" i="40"/>
  <c r="U115" i="55" s="1"/>
  <c r="W86" i="40"/>
  <c r="Z124" i="55" s="1"/>
  <c r="AA70" i="40"/>
  <c r="AD121" i="55" s="1"/>
  <c r="R70" i="40"/>
  <c r="U121" i="55" s="1"/>
  <c r="Y70" i="40"/>
  <c r="AB121" i="55" s="1"/>
  <c r="W46" i="40"/>
  <c r="Z115" i="55" s="1"/>
  <c r="AF70" i="40"/>
  <c r="AI121" i="55" s="1"/>
  <c r="Y42" i="40"/>
  <c r="AB114" i="55" s="1"/>
  <c r="S42" i="40"/>
  <c r="V114" i="55" s="1"/>
  <c r="E42" i="40"/>
  <c r="H114" i="55" s="1"/>
  <c r="AD42" i="40"/>
  <c r="AG114" i="55" s="1"/>
  <c r="AC70" i="40"/>
  <c r="AF121" i="55" s="1"/>
  <c r="AF46" i="40"/>
  <c r="AI115" i="55" s="1"/>
  <c r="AF86" i="40"/>
  <c r="AI124" i="55" s="1"/>
  <c r="AC86" i="40"/>
  <c r="AF124" i="55" s="1"/>
  <c r="AJ86" i="40"/>
  <c r="AM124" i="55" s="1"/>
  <c r="D86" i="40"/>
  <c r="G124" i="55" s="1"/>
  <c r="H70" i="40"/>
  <c r="K121" i="55" s="1"/>
  <c r="AD46" i="40"/>
  <c r="AG115" i="55" s="1"/>
  <c r="U46" i="40"/>
  <c r="X115" i="55" s="1"/>
  <c r="R86" i="40"/>
  <c r="U124" i="55" s="1"/>
  <c r="AJ46" i="40"/>
  <c r="AM115" i="55" s="1"/>
  <c r="AG42" i="40"/>
  <c r="AJ114" i="55" s="1"/>
  <c r="AA42" i="40"/>
  <c r="AD114" i="55" s="1"/>
  <c r="M42" i="40"/>
  <c r="P114" i="55" s="1"/>
  <c r="G42" i="40"/>
  <c r="J114" i="55" s="1"/>
  <c r="E70" i="40"/>
  <c r="H121" i="55" s="1"/>
  <c r="AA46" i="40"/>
  <c r="AD115" i="55" s="1"/>
  <c r="H46" i="40"/>
  <c r="K115" i="55" s="1"/>
  <c r="H86" i="40"/>
  <c r="K124" i="55" s="1"/>
  <c r="D70" i="40"/>
  <c r="G121" i="55" s="1"/>
  <c r="AH46" i="40"/>
  <c r="AK115" i="55" s="1"/>
  <c r="Q46" i="40"/>
  <c r="T115" i="55" s="1"/>
  <c r="AH70" i="40"/>
  <c r="AK121" i="55" s="1"/>
  <c r="E86" i="40"/>
  <c r="H124" i="55" s="1"/>
  <c r="T86" i="40"/>
  <c r="W124" i="55" s="1"/>
  <c r="F46" i="40"/>
  <c r="I115" i="55" s="1"/>
  <c r="AI86" i="40"/>
  <c r="AL124" i="55" s="1"/>
  <c r="S86" i="40"/>
  <c r="V124" i="55" s="1"/>
  <c r="O70" i="40"/>
  <c r="R121" i="55" s="1"/>
  <c r="AH86" i="40"/>
  <c r="AK124" i="55" s="1"/>
  <c r="P42" i="40"/>
  <c r="S114" i="55" s="1"/>
  <c r="R42" i="40"/>
  <c r="U114" i="55" s="1"/>
  <c r="D42" i="40"/>
  <c r="G114" i="55" s="1"/>
  <c r="AC42" i="40"/>
  <c r="AF114" i="55" s="1"/>
  <c r="W42" i="40"/>
  <c r="Z114" i="55" s="1"/>
  <c r="U70" i="40"/>
  <c r="X121" i="55" s="1"/>
  <c r="X46" i="40"/>
  <c r="AA115" i="55" s="1"/>
  <c r="X86" i="40"/>
  <c r="AA124" i="55" s="1"/>
  <c r="T70" i="40"/>
  <c r="W121" i="55" s="1"/>
  <c r="AG46" i="40"/>
  <c r="AJ115" i="55" s="1"/>
  <c r="U86" i="40"/>
  <c r="X124" i="55" s="1"/>
  <c r="V46" i="40"/>
  <c r="Y115" i="55" s="1"/>
  <c r="M46" i="40"/>
  <c r="P115" i="55" s="1"/>
  <c r="J86" i="40"/>
  <c r="M124" i="55" s="1"/>
  <c r="AD70" i="40"/>
  <c r="AG121" i="55" s="1"/>
  <c r="AB46" i="40"/>
  <c r="AE115" i="55" s="1"/>
  <c r="X42" i="40"/>
  <c r="AA114" i="55" s="1"/>
  <c r="Z42" i="40"/>
  <c r="AC114" i="55" s="1"/>
  <c r="L42" i="40"/>
  <c r="O114" i="55" s="1"/>
  <c r="AK42" i="40"/>
  <c r="AN114" i="55" s="1"/>
  <c r="AE42" i="40"/>
  <c r="AH114" i="55" s="1"/>
  <c r="AG86" i="40"/>
  <c r="AJ124" i="55" s="1"/>
  <c r="S46" i="40"/>
  <c r="V115" i="55" s="1"/>
  <c r="Z46" i="40"/>
  <c r="AC115" i="55" s="1"/>
  <c r="AE86" i="40"/>
  <c r="AH124" i="55" s="1"/>
  <c r="AI70" i="40"/>
  <c r="AL121" i="55" s="1"/>
  <c r="I46" i="40"/>
  <c r="L115" i="55" s="1"/>
  <c r="Z70" i="40"/>
  <c r="AC121" i="55" s="1"/>
  <c r="AG70" i="40"/>
  <c r="AJ121" i="55" s="1"/>
  <c r="AE46" i="40"/>
  <c r="AH115" i="55" s="1"/>
  <c r="AB86" i="40"/>
  <c r="AE124" i="55" s="1"/>
  <c r="L86" i="40"/>
  <c r="O124" i="55" s="1"/>
  <c r="AG63" i="35"/>
  <c r="L63" i="35"/>
  <c r="J63" i="35"/>
  <c r="AA36" i="35"/>
  <c r="T63" i="35"/>
  <c r="C63" i="35"/>
  <c r="M63" i="35"/>
  <c r="K63" i="35"/>
  <c r="G63" i="35"/>
  <c r="AI63" i="35"/>
  <c r="O63" i="35"/>
  <c r="N63" i="35"/>
  <c r="W63" i="35"/>
  <c r="AC26" i="40"/>
  <c r="AF110" i="55" s="1"/>
  <c r="G26" i="40"/>
  <c r="J110" i="55" s="1"/>
  <c r="B13" i="32"/>
  <c r="C16" i="52"/>
  <c r="AF20" i="40"/>
  <c r="AF21" i="40" s="1"/>
  <c r="AF22" i="40" s="1"/>
  <c r="AI109" i="55" s="1"/>
  <c r="C16" i="39"/>
  <c r="C17" i="39" s="1"/>
  <c r="C20" i="40"/>
  <c r="I16" i="39"/>
  <c r="I17" i="39" s="1"/>
  <c r="I18" i="39" s="1"/>
  <c r="L74" i="55" s="1"/>
  <c r="E21" i="32"/>
  <c r="E18" i="52"/>
  <c r="D18" i="41"/>
  <c r="E20" i="40"/>
  <c r="E21" i="40" s="1"/>
  <c r="E22" i="40" s="1"/>
  <c r="H109" i="55" s="1"/>
  <c r="AJ18" i="52"/>
  <c r="AE21" i="32"/>
  <c r="AE19" i="32" s="1"/>
  <c r="AF128" i="39" s="1"/>
  <c r="AF18" i="41"/>
  <c r="AK18" i="52"/>
  <c r="O16" i="39"/>
  <c r="O17" i="39" s="1"/>
  <c r="O18" i="39" s="1"/>
  <c r="R74" i="55" s="1"/>
  <c r="AA18" i="41"/>
  <c r="W21" i="32"/>
  <c r="W19" i="32" s="1"/>
  <c r="X128" i="39" s="1"/>
  <c r="AK20" i="40"/>
  <c r="AK21" i="40" s="1"/>
  <c r="AK22" i="40" s="1"/>
  <c r="AN109" i="55" s="1"/>
  <c r="AD16" i="39"/>
  <c r="AD17" i="39" s="1"/>
  <c r="AD18" i="39" s="1"/>
  <c r="AG74" i="55" s="1"/>
  <c r="S18" i="41"/>
  <c r="Q18" i="52"/>
  <c r="P17" i="41"/>
  <c r="AG20" i="40"/>
  <c r="AG21" i="40" s="1"/>
  <c r="AG22" i="40" s="1"/>
  <c r="AJ109" i="55" s="1"/>
  <c r="J20" i="40"/>
  <c r="J21" i="40" s="1"/>
  <c r="J22" i="40" s="1"/>
  <c r="M109" i="55" s="1"/>
  <c r="L18" i="52"/>
  <c r="M18" i="52"/>
  <c r="N16" i="39"/>
  <c r="N17" i="39" s="1"/>
  <c r="N18" i="39" s="1"/>
  <c r="Q74" i="55" s="1"/>
  <c r="AA16" i="39"/>
  <c r="AA17" i="39" s="1"/>
  <c r="AA18" i="39" s="1"/>
  <c r="AD74" i="55" s="1"/>
  <c r="X20" i="40"/>
  <c r="X21" i="40" s="1"/>
  <c r="X22" i="40" s="1"/>
  <c r="AA109" i="55" s="1"/>
  <c r="Z21" i="32"/>
  <c r="Z19" i="32" s="1"/>
  <c r="AA128" i="39" s="1"/>
  <c r="AA20" i="40"/>
  <c r="AA21" i="40" s="1"/>
  <c r="AA22" i="40" s="1"/>
  <c r="AD109" i="55" s="1"/>
  <c r="AJ24" i="40"/>
  <c r="AJ25" i="40" s="1"/>
  <c r="AJ26" i="40" s="1"/>
  <c r="AM110" i="55" s="1"/>
  <c r="B80" i="35"/>
  <c r="AC37" i="35"/>
  <c r="AD24" i="40"/>
  <c r="AD25" i="40" s="1"/>
  <c r="AD26" i="40" s="1"/>
  <c r="AG110" i="55" s="1"/>
  <c r="O20" i="40"/>
  <c r="O21" i="40" s="1"/>
  <c r="O22" i="40" s="1"/>
  <c r="R109" i="55" s="1"/>
  <c r="K24" i="40"/>
  <c r="K25" i="40" s="1"/>
  <c r="K26" i="40" s="1"/>
  <c r="N110" i="55" s="1"/>
  <c r="D20" i="40"/>
  <c r="D21" i="40" s="1"/>
  <c r="D22" i="40" s="1"/>
  <c r="G109" i="55" s="1"/>
  <c r="C21" i="32"/>
  <c r="C19" i="32" s="1"/>
  <c r="D128" i="39" s="1"/>
  <c r="E17" i="52"/>
  <c r="D16" i="39"/>
  <c r="D17" i="39" s="1"/>
  <c r="D18" i="39" s="1"/>
  <c r="G74" i="55" s="1"/>
  <c r="K16" i="39"/>
  <c r="K17" i="39" s="1"/>
  <c r="K18" i="39" s="1"/>
  <c r="N74" i="55" s="1"/>
  <c r="U24" i="40"/>
  <c r="U25" i="40" s="1"/>
  <c r="U26" i="40" s="1"/>
  <c r="X110" i="55" s="1"/>
  <c r="AJ18" i="41"/>
  <c r="Z24" i="40"/>
  <c r="Z25" i="40" s="1"/>
  <c r="Z26" i="40" s="1"/>
  <c r="AC110" i="55" s="1"/>
  <c r="T18" i="32"/>
  <c r="J21" i="32"/>
  <c r="K18" i="41"/>
  <c r="Y18" i="32"/>
  <c r="AJ16" i="39"/>
  <c r="AJ17" i="39" s="1"/>
  <c r="AJ18" i="39" s="1"/>
  <c r="AM74" i="55" s="1"/>
  <c r="I20" i="40"/>
  <c r="I21" i="40" s="1"/>
  <c r="I22" i="40" s="1"/>
  <c r="L109" i="55" s="1"/>
  <c r="D24" i="40"/>
  <c r="D25" i="40" s="1"/>
  <c r="D26" i="40" s="1"/>
  <c r="G110" i="55" s="1"/>
  <c r="K20" i="40"/>
  <c r="K21" i="40" s="1"/>
  <c r="K22" i="40" s="1"/>
  <c r="N109" i="55" s="1"/>
  <c r="AD18" i="32"/>
  <c r="AJ20" i="40"/>
  <c r="AJ21" i="40" s="1"/>
  <c r="AJ22" i="40" s="1"/>
  <c r="AM109" i="55" s="1"/>
  <c r="AK17" i="52"/>
  <c r="AE24" i="40"/>
  <c r="AE25" i="40" s="1"/>
  <c r="AE26" i="40" s="1"/>
  <c r="AH110" i="55" s="1"/>
  <c r="G37" i="35"/>
  <c r="C20" i="35"/>
  <c r="M58" i="35"/>
  <c r="F16" i="39"/>
  <c r="F17" i="39" s="1"/>
  <c r="F18" i="39" s="1"/>
  <c r="I74" i="55" s="1"/>
  <c r="S16" i="39"/>
  <c r="S17" i="39" s="1"/>
  <c r="S18" i="39" s="1"/>
  <c r="V74" i="55" s="1"/>
  <c r="Q24" i="40"/>
  <c r="Q25" i="40" s="1"/>
  <c r="Q26" i="40" s="1"/>
  <c r="T110" i="55" s="1"/>
  <c r="M53" i="35"/>
  <c r="H53" i="35"/>
  <c r="J53" i="35"/>
  <c r="AI53" i="35"/>
  <c r="AH20" i="35"/>
  <c r="S22" i="35"/>
  <c r="F18" i="32"/>
  <c r="AV44" i="45"/>
  <c r="E37" i="41"/>
  <c r="H135" i="55" s="1"/>
  <c r="S20" i="40"/>
  <c r="S21" i="40" s="1"/>
  <c r="S22" i="40" s="1"/>
  <c r="V109" i="55" s="1"/>
  <c r="K37" i="41"/>
  <c r="N135" i="55" s="1"/>
  <c r="K21" i="32"/>
  <c r="K19" i="32" s="1"/>
  <c r="L16" i="41" s="1"/>
  <c r="AK53" i="35"/>
  <c r="AF53" i="35"/>
  <c r="AH53" i="35"/>
  <c r="T53" i="35"/>
  <c r="P18" i="32"/>
  <c r="N20" i="35"/>
  <c r="L22" i="35"/>
  <c r="AE53" i="35"/>
  <c r="X17" i="41"/>
  <c r="M37" i="41"/>
  <c r="P135" i="55" s="1"/>
  <c r="F20" i="35"/>
  <c r="X16" i="39"/>
  <c r="X17" i="39" s="1"/>
  <c r="X18" i="39" s="1"/>
  <c r="AA74" i="55" s="1"/>
  <c r="X24" i="40"/>
  <c r="X25" i="40" s="1"/>
  <c r="X26" i="40" s="1"/>
  <c r="AA110" i="55" s="1"/>
  <c r="C37" i="41"/>
  <c r="F135" i="55" s="1"/>
  <c r="F53" i="35"/>
  <c r="I53" i="35"/>
  <c r="C53" i="35"/>
  <c r="AB53" i="35"/>
  <c r="F43" i="33"/>
  <c r="G41" i="55" s="1"/>
  <c r="H51" i="35"/>
  <c r="H20" i="35"/>
  <c r="T22" i="35"/>
  <c r="M75" i="32"/>
  <c r="M76" i="32" s="1"/>
  <c r="N62" i="41" s="1"/>
  <c r="Y18" i="52"/>
  <c r="L16" i="39"/>
  <c r="L17" i="39" s="1"/>
  <c r="L18" i="39" s="1"/>
  <c r="O74" i="55" s="1"/>
  <c r="S24" i="40"/>
  <c r="S25" i="40" s="1"/>
  <c r="S26" i="40" s="1"/>
  <c r="V110" i="55" s="1"/>
  <c r="F24" i="40"/>
  <c r="F25" i="40" s="1"/>
  <c r="F26" i="40" s="1"/>
  <c r="I110" i="55" s="1"/>
  <c r="R21" i="32"/>
  <c r="R19" i="32" s="1"/>
  <c r="S128" i="39" s="1"/>
  <c r="Q16" i="36"/>
  <c r="N53" i="35"/>
  <c r="Q53" i="35"/>
  <c r="K53" i="35"/>
  <c r="AJ53" i="35"/>
  <c r="AG18" i="32"/>
  <c r="P20" i="35"/>
  <c r="J22" i="35"/>
  <c r="F20" i="40"/>
  <c r="F21" i="40" s="1"/>
  <c r="F22" i="40" s="1"/>
  <c r="I109" i="55" s="1"/>
  <c r="AH24" i="40"/>
  <c r="AH25" i="40" s="1"/>
  <c r="AH26" i="40" s="1"/>
  <c r="AK110" i="55" s="1"/>
  <c r="AB18" i="32"/>
  <c r="V53" i="35"/>
  <c r="Y53" i="35"/>
  <c r="S53" i="35"/>
  <c r="G18" i="52"/>
  <c r="R22" i="35"/>
  <c r="L17" i="41"/>
  <c r="R37" i="41"/>
  <c r="U135" i="55" s="1"/>
  <c r="W53" i="35"/>
  <c r="E53" i="35"/>
  <c r="AD53" i="35"/>
  <c r="AG53" i="35"/>
  <c r="AA53" i="35"/>
  <c r="K22" i="35"/>
  <c r="G54" i="33"/>
  <c r="H54" i="33" s="1"/>
  <c r="F57" i="33"/>
  <c r="G57" i="33" s="1"/>
  <c r="B52" i="41"/>
  <c r="B53" i="41"/>
  <c r="G55" i="33"/>
  <c r="F56" i="33"/>
  <c r="D8" i="24"/>
  <c r="H8" i="24" s="1"/>
  <c r="J8" i="24"/>
  <c r="R26" i="40"/>
  <c r="U110" i="55" s="1"/>
  <c r="W26" i="40"/>
  <c r="Z110" i="55" s="1"/>
  <c r="AM69" i="45"/>
  <c r="AB16" i="39"/>
  <c r="AB17" i="39" s="1"/>
  <c r="AB18" i="39" s="1"/>
  <c r="AE74" i="55" s="1"/>
  <c r="Y24" i="40"/>
  <c r="Y25" i="40" s="1"/>
  <c r="Y26" i="40" s="1"/>
  <c r="AB110" i="55" s="1"/>
  <c r="U18" i="32"/>
  <c r="U21" i="32" s="1"/>
  <c r="B70" i="35"/>
  <c r="AF70" i="35" s="1"/>
  <c r="F37" i="35"/>
  <c r="Z37" i="35"/>
  <c r="AJ37" i="35"/>
  <c r="W23" i="35"/>
  <c r="K23" i="35"/>
  <c r="U23" i="35"/>
  <c r="AE69" i="45"/>
  <c r="M24" i="40"/>
  <c r="M25" i="40" s="1"/>
  <c r="M26" i="40" s="1"/>
  <c r="P110" i="55" s="1"/>
  <c r="AI20" i="40"/>
  <c r="AI21" i="40" s="1"/>
  <c r="AI22" i="40" s="1"/>
  <c r="AL109" i="55" s="1"/>
  <c r="AB20" i="40"/>
  <c r="AB21" i="40" s="1"/>
  <c r="AB22" i="40" s="1"/>
  <c r="AE109" i="55" s="1"/>
  <c r="B78" i="35"/>
  <c r="J78" i="35" s="1"/>
  <c r="O37" i="35"/>
  <c r="C37" i="35"/>
  <c r="AK37" i="35"/>
  <c r="Q23" i="35"/>
  <c r="AA23" i="35"/>
  <c r="AI18" i="41"/>
  <c r="AA69" i="45"/>
  <c r="R35" i="52"/>
  <c r="P23" i="35"/>
  <c r="W37" i="35"/>
  <c r="K37" i="35"/>
  <c r="F23" i="35"/>
  <c r="Y23" i="35"/>
  <c r="D23" i="35"/>
  <c r="Q18" i="32"/>
  <c r="F30" i="33"/>
  <c r="G28" i="55" s="1"/>
  <c r="AY69" i="45"/>
  <c r="AC17" i="52"/>
  <c r="AW69" i="45"/>
  <c r="L18" i="32"/>
  <c r="Z69" i="45"/>
  <c r="AE37" i="35"/>
  <c r="S37" i="35"/>
  <c r="N23" i="35"/>
  <c r="J23" i="35"/>
  <c r="L23" i="35"/>
  <c r="X18" i="32"/>
  <c r="V18" i="32"/>
  <c r="V24" i="40"/>
  <c r="V25" i="40" s="1"/>
  <c r="V26" i="40" s="1"/>
  <c r="Y110" i="55" s="1"/>
  <c r="AA21" i="32"/>
  <c r="AA19" i="32" s="1"/>
  <c r="AB128" i="39" s="1"/>
  <c r="H37" i="35"/>
  <c r="I37" i="35"/>
  <c r="AA37" i="35"/>
  <c r="V23" i="35"/>
  <c r="R23" i="35"/>
  <c r="T23" i="35"/>
  <c r="AQ69" i="45"/>
  <c r="AN69" i="45"/>
  <c r="AB24" i="40"/>
  <c r="AB25" i="40" s="1"/>
  <c r="AB26" i="40" s="1"/>
  <c r="AE110" i="55" s="1"/>
  <c r="Q37" i="35"/>
  <c r="T37" i="35"/>
  <c r="G23" i="35"/>
  <c r="Z23" i="35"/>
  <c r="E23" i="35"/>
  <c r="AA83" i="30"/>
  <c r="AX69" i="45"/>
  <c r="AI16" i="39"/>
  <c r="AI17" i="39" s="1"/>
  <c r="AI18" i="39" s="1"/>
  <c r="AL74" i="55" s="1"/>
  <c r="AH21" i="32"/>
  <c r="AH19" i="32" s="1"/>
  <c r="AI128" i="39" s="1"/>
  <c r="X23" i="35"/>
  <c r="P37" i="35"/>
  <c r="R37" i="35"/>
  <c r="O23" i="35"/>
  <c r="C23" i="35"/>
  <c r="D31" i="52"/>
  <c r="G21" i="33"/>
  <c r="D50" i="28"/>
  <c r="D48" i="28"/>
  <c r="D49" i="28"/>
  <c r="C50" i="28"/>
  <c r="C49" i="28"/>
  <c r="C48" i="28"/>
  <c r="B29" i="41"/>
  <c r="G20" i="55"/>
  <c r="G66" i="55" s="1"/>
  <c r="G195" i="55" s="1"/>
  <c r="B85" i="30"/>
  <c r="B86" i="30" s="1"/>
  <c r="B83" i="30" s="1"/>
  <c r="F16" i="36"/>
  <c r="F49" i="33"/>
  <c r="G45" i="55" s="1"/>
  <c r="E48" i="33"/>
  <c r="B50" i="41"/>
  <c r="AQ44" i="45"/>
  <c r="D21" i="35"/>
  <c r="N82" i="35"/>
  <c r="AB44" i="45"/>
  <c r="N16" i="36"/>
  <c r="AK82" i="35"/>
  <c r="G37" i="41"/>
  <c r="J135" i="55" s="1"/>
  <c r="V37" i="41"/>
  <c r="Y135" i="55" s="1"/>
  <c r="P11" i="52"/>
  <c r="L37" i="41"/>
  <c r="O135" i="55" s="1"/>
  <c r="AG82" i="35"/>
  <c r="O12" i="39"/>
  <c r="O13" i="39" s="1"/>
  <c r="O14" i="39" s="1"/>
  <c r="R73" i="55" s="1"/>
  <c r="O16" i="40"/>
  <c r="O17" i="40" s="1"/>
  <c r="O18" i="40" s="1"/>
  <c r="R108" i="55" s="1"/>
  <c r="J21" i="35"/>
  <c r="AK37" i="41"/>
  <c r="AN135" i="55" s="1"/>
  <c r="R21" i="35"/>
  <c r="G27" i="35"/>
  <c r="K21" i="35"/>
  <c r="C90" i="39"/>
  <c r="B90" i="39" s="1"/>
  <c r="B89" i="39"/>
  <c r="C86" i="39"/>
  <c r="B86" i="39" s="1"/>
  <c r="B85" i="39"/>
  <c r="B38" i="50"/>
  <c r="D28" i="35"/>
  <c r="E28" i="35"/>
  <c r="W28" i="35"/>
  <c r="BA69" i="45"/>
  <c r="AB82" i="35"/>
  <c r="AK16" i="39"/>
  <c r="AK17" i="39" s="1"/>
  <c r="AK18" i="39" s="1"/>
  <c r="AN74" i="55" s="1"/>
  <c r="AG16" i="39"/>
  <c r="AG17" i="39" s="1"/>
  <c r="AG18" i="39" s="1"/>
  <c r="AJ74" i="55" s="1"/>
  <c r="AH37" i="41"/>
  <c r="AK135" i="55" s="1"/>
  <c r="W12" i="39"/>
  <c r="W13" i="39" s="1"/>
  <c r="W14" i="39" s="1"/>
  <c r="Z73" i="55" s="1"/>
  <c r="Y44" i="45"/>
  <c r="H15" i="41"/>
  <c r="AA37" i="41"/>
  <c r="AD135" i="55" s="1"/>
  <c r="J16" i="39"/>
  <c r="J17" i="39" s="1"/>
  <c r="J18" i="39" s="1"/>
  <c r="M74" i="55" s="1"/>
  <c r="AK31" i="52"/>
  <c r="X44" i="45"/>
  <c r="H52" i="35"/>
  <c r="U31" i="52"/>
  <c r="AR44" i="45"/>
  <c r="H31" i="52"/>
  <c r="AI37" i="41"/>
  <c r="AL135" i="55" s="1"/>
  <c r="AC37" i="41"/>
  <c r="AF135" i="55" s="1"/>
  <c r="J35" i="52"/>
  <c r="U37" i="41"/>
  <c r="X135" i="55" s="1"/>
  <c r="D37" i="41"/>
  <c r="G135" i="55" s="1"/>
  <c r="P12" i="39"/>
  <c r="P13" i="39" s="1"/>
  <c r="P14" i="39" s="1"/>
  <c r="S73" i="55" s="1"/>
  <c r="AG44" i="45"/>
  <c r="AS44" i="45"/>
  <c r="E16" i="39"/>
  <c r="E17" i="39" s="1"/>
  <c r="E18" i="39" s="1"/>
  <c r="H74" i="55" s="1"/>
  <c r="N37" i="41"/>
  <c r="Q135" i="55" s="1"/>
  <c r="U17" i="52"/>
  <c r="F37" i="41"/>
  <c r="I135" i="55" s="1"/>
  <c r="N20" i="40"/>
  <c r="N21" i="40" s="1"/>
  <c r="N22" i="40" s="1"/>
  <c r="Q109" i="55" s="1"/>
  <c r="AO44" i="45"/>
  <c r="G64" i="33"/>
  <c r="H54" i="55" s="1"/>
  <c r="F66" i="33"/>
  <c r="G56" i="55" s="1"/>
  <c r="D27" i="35"/>
  <c r="R28" i="35"/>
  <c r="U28" i="35"/>
  <c r="P28" i="35"/>
  <c r="E27" i="35"/>
  <c r="Z28" i="35"/>
  <c r="F28" i="35"/>
  <c r="X28" i="35"/>
  <c r="C28" i="35"/>
  <c r="N28" i="35"/>
  <c r="I28" i="35"/>
  <c r="K28" i="35"/>
  <c r="V28" i="35"/>
  <c r="Q28" i="35"/>
  <c r="L28" i="35"/>
  <c r="S28" i="35"/>
  <c r="G28" i="35"/>
  <c r="Y28" i="35"/>
  <c r="J75" i="32"/>
  <c r="J76" i="32" s="1"/>
  <c r="K62" i="41" s="1"/>
  <c r="F27" i="35"/>
  <c r="AD37" i="41"/>
  <c r="AG135" i="55" s="1"/>
  <c r="T28" i="35"/>
  <c r="AA28" i="35"/>
  <c r="O28" i="35"/>
  <c r="M17" i="52"/>
  <c r="J28" i="35"/>
  <c r="M28" i="35"/>
  <c r="AA35" i="52"/>
  <c r="N35" i="52"/>
  <c r="AE16" i="39"/>
  <c r="AE17" i="39" s="1"/>
  <c r="AE18" i="39" s="1"/>
  <c r="AH74" i="55" s="1"/>
  <c r="P16" i="40"/>
  <c r="P17" i="40" s="1"/>
  <c r="P18" i="40" s="1"/>
  <c r="S108" i="55" s="1"/>
  <c r="AG35" i="52"/>
  <c r="J37" i="41"/>
  <c r="M135" i="55" s="1"/>
  <c r="Q11" i="52"/>
  <c r="AJ44" i="45"/>
  <c r="AG18" i="52"/>
  <c r="F35" i="33"/>
  <c r="G33" i="55" s="1"/>
  <c r="P15" i="41"/>
  <c r="H17" i="41"/>
  <c r="I17" i="52"/>
  <c r="D25" i="52"/>
  <c r="D24" i="52" s="1"/>
  <c r="AG24" i="52"/>
  <c r="Y24" i="52"/>
  <c r="AH25" i="52"/>
  <c r="AH24" i="52" s="1"/>
  <c r="R25" i="52"/>
  <c r="R24" i="52" s="1"/>
  <c r="E36" i="35"/>
  <c r="K20" i="35"/>
  <c r="V20" i="35"/>
  <c r="X20" i="35"/>
  <c r="AB20" i="35"/>
  <c r="S20" i="35"/>
  <c r="AD20" i="35"/>
  <c r="AF20" i="35"/>
  <c r="T36" i="35"/>
  <c r="AJ20" i="35"/>
  <c r="AA20" i="35"/>
  <c r="G20" i="35"/>
  <c r="I20" i="35"/>
  <c r="C36" i="35"/>
  <c r="J20" i="35"/>
  <c r="AI20" i="35"/>
  <c r="O20" i="35"/>
  <c r="K36" i="35"/>
  <c r="R20" i="35"/>
  <c r="E20" i="35"/>
  <c r="W20" i="35"/>
  <c r="AI36" i="35"/>
  <c r="Z20" i="35"/>
  <c r="M20" i="35"/>
  <c r="R58" i="35"/>
  <c r="AF58" i="35"/>
  <c r="E58" i="35"/>
  <c r="AG58" i="35"/>
  <c r="Q47" i="57"/>
  <c r="O22" i="37" s="1"/>
  <c r="G47" i="57"/>
  <c r="E22" i="37" s="1"/>
  <c r="O47" i="57"/>
  <c r="M22" i="37" s="1"/>
  <c r="AG47" i="57"/>
  <c r="AE22" i="37" s="1"/>
  <c r="AA47" i="57"/>
  <c r="Y22" i="37" s="1"/>
  <c r="I47" i="57"/>
  <c r="G22" i="37" s="1"/>
  <c r="L47" i="57"/>
  <c r="J22" i="37" s="1"/>
  <c r="Z47" i="57"/>
  <c r="X22" i="37" s="1"/>
  <c r="R85" i="30"/>
  <c r="R86" i="30" s="1"/>
  <c r="R75" i="32"/>
  <c r="R76" i="32" s="1"/>
  <c r="S62" i="41" s="1"/>
  <c r="S35" i="52"/>
  <c r="AL35" i="52"/>
  <c r="AD35" i="52"/>
  <c r="AA44" i="45"/>
  <c r="Y26" i="52"/>
  <c r="F24" i="35"/>
  <c r="X18" i="41"/>
  <c r="D24" i="35"/>
  <c r="H26" i="52"/>
  <c r="G31" i="52"/>
  <c r="AB26" i="52"/>
  <c r="AF134" i="55"/>
  <c r="R59" i="45"/>
  <c r="AN137" i="55"/>
  <c r="AE137" i="55"/>
  <c r="Q37" i="41"/>
  <c r="T135" i="55" s="1"/>
  <c r="F35" i="52"/>
  <c r="Y35" i="52"/>
  <c r="Q35" i="52"/>
  <c r="H35" i="52"/>
  <c r="C9" i="30"/>
  <c r="T44" i="45"/>
  <c r="Y11" i="52"/>
  <c r="X16" i="40"/>
  <c r="X17" i="40" s="1"/>
  <c r="X18" i="40" s="1"/>
  <c r="AA108" i="55" s="1"/>
  <c r="X12" i="39"/>
  <c r="X13" i="39" s="1"/>
  <c r="X14" i="39" s="1"/>
  <c r="AA73" i="55" s="1"/>
  <c r="AD20" i="40"/>
  <c r="AD21" i="40" s="1"/>
  <c r="AD22" i="40" s="1"/>
  <c r="AG109" i="55" s="1"/>
  <c r="D41" i="57"/>
  <c r="F30" i="55"/>
  <c r="F32" i="33"/>
  <c r="G30" i="55" s="1"/>
  <c r="W75" i="32"/>
  <c r="W76" i="32" s="1"/>
  <c r="X62" i="41" s="1"/>
  <c r="AA16" i="36"/>
  <c r="O75" i="32"/>
  <c r="O76" i="32" s="1"/>
  <c r="P62" i="41" s="1"/>
  <c r="S16" i="36"/>
  <c r="O85" i="30"/>
  <c r="O86" i="30" s="1"/>
  <c r="O82" i="30" s="1"/>
  <c r="Y17" i="52"/>
  <c r="T85" i="30"/>
  <c r="T86" i="30" s="1"/>
  <c r="T75" i="32"/>
  <c r="T76" i="32" s="1"/>
  <c r="U62" i="41" s="1"/>
  <c r="AF139" i="68"/>
  <c r="N38" i="35"/>
  <c r="AB38" i="35"/>
  <c r="F38" i="35"/>
  <c r="T38" i="35"/>
  <c r="AG38" i="35"/>
  <c r="AK38" i="35"/>
  <c r="L38" i="35"/>
  <c r="W38" i="35"/>
  <c r="R38" i="35"/>
  <c r="O38" i="35"/>
  <c r="J38" i="35"/>
  <c r="G38" i="35"/>
  <c r="D38" i="35"/>
  <c r="AC38" i="35"/>
  <c r="Y38" i="35"/>
  <c r="K38" i="35"/>
  <c r="Q38" i="35"/>
  <c r="C38" i="35"/>
  <c r="I38" i="35"/>
  <c r="AH38" i="35"/>
  <c r="AF38" i="35"/>
  <c r="Z38" i="35"/>
  <c r="V36" i="35"/>
  <c r="J36" i="35"/>
  <c r="N36" i="35"/>
  <c r="AJ36" i="35"/>
  <c r="F36" i="35"/>
  <c r="AB36" i="35"/>
  <c r="H36" i="35"/>
  <c r="AH36" i="35"/>
  <c r="AE36" i="35"/>
  <c r="Z36" i="35"/>
  <c r="W36" i="35"/>
  <c r="R36" i="35"/>
  <c r="AD36" i="35"/>
  <c r="D36" i="35"/>
  <c r="P36" i="35"/>
  <c r="O36" i="35"/>
  <c r="G36" i="35"/>
  <c r="AK36" i="35"/>
  <c r="AD10" i="30"/>
  <c r="C43" i="41"/>
  <c r="AB14" i="40"/>
  <c r="AE107" i="55" s="1"/>
  <c r="AA58" i="35"/>
  <c r="AQ46" i="45"/>
  <c r="M36" i="35"/>
  <c r="AA38" i="35"/>
  <c r="AD47" i="57"/>
  <c r="AB22" i="37" s="1"/>
  <c r="H11" i="41"/>
  <c r="I11" i="52"/>
  <c r="H16" i="40"/>
  <c r="H17" i="40" s="1"/>
  <c r="H18" i="40" s="1"/>
  <c r="K108" i="55" s="1"/>
  <c r="H12" i="39"/>
  <c r="H13" i="39" s="1"/>
  <c r="H14" i="39" s="1"/>
  <c r="K73" i="55" s="1"/>
  <c r="O30" i="30"/>
  <c r="AE18" i="45"/>
  <c r="H24" i="50"/>
  <c r="I24" i="50" s="1"/>
  <c r="J24" i="50" s="1"/>
  <c r="K24" i="50" s="1"/>
  <c r="L24" i="50" s="1"/>
  <c r="M24" i="50" s="1"/>
  <c r="N24" i="50" s="1"/>
  <c r="O24" i="50" s="1"/>
  <c r="P24" i="50" s="1"/>
  <c r="Q24" i="50" s="1"/>
  <c r="R24" i="50" s="1"/>
  <c r="S24" i="50" s="1"/>
  <c r="T24" i="50" s="1"/>
  <c r="U24" i="50" s="1"/>
  <c r="V24" i="50" s="1"/>
  <c r="W24" i="50" s="1"/>
  <c r="X24" i="50" s="1"/>
  <c r="Y24" i="50" s="1"/>
  <c r="Z24" i="50" s="1"/>
  <c r="AA24" i="50" s="1"/>
  <c r="AB24" i="50" s="1"/>
  <c r="AC24" i="50" s="1"/>
  <c r="AD24" i="50" s="1"/>
  <c r="AE24" i="50" s="1"/>
  <c r="AF24" i="50" s="1"/>
  <c r="AG24" i="50" s="1"/>
  <c r="AH24" i="50" s="1"/>
  <c r="AI24" i="50" s="1"/>
  <c r="AJ24" i="50" s="1"/>
  <c r="AK24" i="50" s="1"/>
  <c r="AL24" i="50" s="1"/>
  <c r="AM24" i="50" s="1"/>
  <c r="AN24" i="50" s="1"/>
  <c r="AB19" i="45"/>
  <c r="AA82" i="30"/>
  <c r="AR67" i="45" s="1"/>
  <c r="U36" i="35"/>
  <c r="AI38" i="35"/>
  <c r="AA22" i="35"/>
  <c r="H15" i="50"/>
  <c r="I15" i="50" s="1"/>
  <c r="J15" i="50" s="1"/>
  <c r="K15" i="50" s="1"/>
  <c r="L15" i="50" s="1"/>
  <c r="M15" i="50" s="1"/>
  <c r="N15" i="50" s="1"/>
  <c r="O15" i="50" s="1"/>
  <c r="P15" i="50" s="1"/>
  <c r="Q15" i="50" s="1"/>
  <c r="R15" i="50" s="1"/>
  <c r="S15" i="50" s="1"/>
  <c r="T15" i="50" s="1"/>
  <c r="U15" i="50" s="1"/>
  <c r="V15" i="50" s="1"/>
  <c r="W15" i="50" s="1"/>
  <c r="X15" i="50" s="1"/>
  <c r="Y15" i="50" s="1"/>
  <c r="Z15" i="50" s="1"/>
  <c r="AA15" i="50" s="1"/>
  <c r="AB15" i="50" s="1"/>
  <c r="AC15" i="50" s="1"/>
  <c r="AD15" i="50" s="1"/>
  <c r="AE15" i="50" s="1"/>
  <c r="AF15" i="50" s="1"/>
  <c r="AG15" i="50" s="1"/>
  <c r="AH15" i="50" s="1"/>
  <c r="AI15" i="50" s="1"/>
  <c r="AJ15" i="50" s="1"/>
  <c r="AK15" i="50" s="1"/>
  <c r="AL15" i="50" s="1"/>
  <c r="AM15" i="50" s="1"/>
  <c r="AN15" i="50" s="1"/>
  <c r="AE47" i="57"/>
  <c r="AC22" i="37" s="1"/>
  <c r="U75" i="32"/>
  <c r="U76" i="32" s="1"/>
  <c r="V62" i="41" s="1"/>
  <c r="U85" i="30"/>
  <c r="U86" i="30" s="1"/>
  <c r="Y16" i="36"/>
  <c r="W47" i="57"/>
  <c r="U22" i="37" s="1"/>
  <c r="AE75" i="32"/>
  <c r="AE76" i="32" s="1"/>
  <c r="AF62" i="41" s="1"/>
  <c r="AE85" i="30"/>
  <c r="AE86" i="30" s="1"/>
  <c r="AV69" i="45" s="1"/>
  <c r="AI16" i="36"/>
  <c r="R47" i="57"/>
  <c r="P22" i="37" s="1"/>
  <c r="E26" i="52"/>
  <c r="S63" i="35"/>
  <c r="Z34" i="35"/>
  <c r="AC36" i="35"/>
  <c r="E38" i="35"/>
  <c r="AI22" i="35"/>
  <c r="T47" i="57"/>
  <c r="R22" i="37" s="1"/>
  <c r="K29" i="30"/>
  <c r="AA17" i="45"/>
  <c r="K29" i="35"/>
  <c r="E23" i="50"/>
  <c r="AJ134" i="55"/>
  <c r="D43" i="41"/>
  <c r="G12" i="39"/>
  <c r="G13" i="39" s="1"/>
  <c r="G14" i="39" s="1"/>
  <c r="J73" i="55" s="1"/>
  <c r="D63" i="35"/>
  <c r="AA63" i="35"/>
  <c r="X36" i="35"/>
  <c r="M38" i="35"/>
  <c r="AC47" i="57"/>
  <c r="AA22" i="37" s="1"/>
  <c r="H47" i="57"/>
  <c r="F22" i="37" s="1"/>
  <c r="F47" i="57"/>
  <c r="D22" i="37" s="1"/>
  <c r="Z35" i="52"/>
  <c r="AD14" i="40"/>
  <c r="AG107" i="55" s="1"/>
  <c r="H31" i="50"/>
  <c r="I31" i="50" s="1"/>
  <c r="J31" i="50" s="1"/>
  <c r="K31" i="50" s="1"/>
  <c r="L31" i="50" s="1"/>
  <c r="M31" i="50" s="1"/>
  <c r="N31" i="50" s="1"/>
  <c r="O31" i="50" s="1"/>
  <c r="P31" i="50" s="1"/>
  <c r="Q31" i="50" s="1"/>
  <c r="R31" i="50" s="1"/>
  <c r="S31" i="50" s="1"/>
  <c r="T31" i="50" s="1"/>
  <c r="U31" i="50" s="1"/>
  <c r="V31" i="50" s="1"/>
  <c r="W31" i="50" s="1"/>
  <c r="X31" i="50" s="1"/>
  <c r="Y31" i="50" s="1"/>
  <c r="Z31" i="50" s="1"/>
  <c r="AA31" i="50" s="1"/>
  <c r="AB31" i="50" s="1"/>
  <c r="AC31" i="50" s="1"/>
  <c r="AD31" i="50" s="1"/>
  <c r="AE31" i="50" s="1"/>
  <c r="AF31" i="50" s="1"/>
  <c r="AG31" i="50" s="1"/>
  <c r="AH31" i="50" s="1"/>
  <c r="AI31" i="50" s="1"/>
  <c r="AJ31" i="50" s="1"/>
  <c r="AK31" i="50" s="1"/>
  <c r="AL31" i="50" s="1"/>
  <c r="AM31" i="50" s="1"/>
  <c r="AN31" i="50" s="1"/>
  <c r="S47" i="57"/>
  <c r="Q22" i="37" s="1"/>
  <c r="F26" i="50"/>
  <c r="G27" i="50"/>
  <c r="L14" i="40"/>
  <c r="O107" i="55" s="1"/>
  <c r="Y22" i="35"/>
  <c r="AC22" i="35"/>
  <c r="D22" i="35"/>
  <c r="Q22" i="35"/>
  <c r="U22" i="35"/>
  <c r="AJ22" i="35"/>
  <c r="I22" i="35"/>
  <c r="M22" i="35"/>
  <c r="P22" i="35"/>
  <c r="C22" i="35"/>
  <c r="H22" i="35"/>
  <c r="AH22" i="35"/>
  <c r="AE22" i="35"/>
  <c r="Z22" i="35"/>
  <c r="G22" i="35"/>
  <c r="AB22" i="35"/>
  <c r="W22" i="35"/>
  <c r="O22" i="35"/>
  <c r="AD22" i="35"/>
  <c r="V22" i="35"/>
  <c r="D9" i="30"/>
  <c r="U44" i="45"/>
  <c r="V38" i="35"/>
  <c r="F22" i="35"/>
  <c r="N34" i="35"/>
  <c r="AJ34" i="35"/>
  <c r="F34" i="35"/>
  <c r="AB34" i="35"/>
  <c r="AG34" i="35"/>
  <c r="AK34" i="35"/>
  <c r="T34" i="35"/>
  <c r="Y34" i="35"/>
  <c r="E34" i="35"/>
  <c r="Q34" i="35"/>
  <c r="AI34" i="35"/>
  <c r="I34" i="35"/>
  <c r="AA34" i="35"/>
  <c r="P34" i="35"/>
  <c r="C34" i="35"/>
  <c r="AD34" i="35"/>
  <c r="V34" i="35"/>
  <c r="AC34" i="35"/>
  <c r="U34" i="35"/>
  <c r="F25" i="67"/>
  <c r="F48" i="67" s="1"/>
  <c r="F50" i="67" s="1"/>
  <c r="F52" i="67" s="1"/>
  <c r="F23" i="36" s="1"/>
  <c r="M82" i="30"/>
  <c r="M83" i="30"/>
  <c r="AD69" i="45"/>
  <c r="C7" i="50"/>
  <c r="C38" i="50" s="1"/>
  <c r="X11" i="41"/>
  <c r="M9" i="30"/>
  <c r="AD44" i="45"/>
  <c r="M34" i="35"/>
  <c r="Q36" i="35"/>
  <c r="N22" i="35"/>
  <c r="G21" i="35"/>
  <c r="O21" i="35"/>
  <c r="P21" i="35"/>
  <c r="N21" i="35"/>
  <c r="L21" i="35"/>
  <c r="F21" i="35"/>
  <c r="Q21" i="35"/>
  <c r="I21" i="35"/>
  <c r="H24" i="35"/>
  <c r="C24" i="35"/>
  <c r="I24" i="35"/>
  <c r="G24" i="35"/>
  <c r="E24" i="35"/>
  <c r="N47" i="57"/>
  <c r="L22" i="37" s="1"/>
  <c r="G75" i="32"/>
  <c r="G76" i="32" s="1"/>
  <c r="H62" i="41" s="1"/>
  <c r="G85" i="30"/>
  <c r="G86" i="30" s="1"/>
  <c r="F75" i="32"/>
  <c r="F76" i="32" s="1"/>
  <c r="G62" i="41" s="1"/>
  <c r="J16" i="36"/>
  <c r="F10" i="28"/>
  <c r="F17" i="28"/>
  <c r="E31" i="52"/>
  <c r="AW44" i="45"/>
  <c r="AW46" i="45"/>
  <c r="AC10" i="30"/>
  <c r="AT46" i="45"/>
  <c r="E9" i="30"/>
  <c r="V44" i="45"/>
  <c r="E21" i="35"/>
  <c r="G34" i="35"/>
  <c r="Y36" i="35"/>
  <c r="AE38" i="35"/>
  <c r="X22" i="35"/>
  <c r="D17" i="62"/>
  <c r="D6" i="62"/>
  <c r="U47" i="57"/>
  <c r="S22" i="37" s="1"/>
  <c r="M10" i="30"/>
  <c r="AD46" i="45"/>
  <c r="F14" i="40"/>
  <c r="I107" i="55" s="1"/>
  <c r="P85" i="30"/>
  <c r="P86" i="30" s="1"/>
  <c r="P75" i="32"/>
  <c r="P76" i="32" s="1"/>
  <c r="Q62" i="41" s="1"/>
  <c r="Q26" i="52"/>
  <c r="T82" i="35"/>
  <c r="AJ69" i="45"/>
  <c r="E10" i="30"/>
  <c r="V46" i="45"/>
  <c r="N14" i="40"/>
  <c r="Q107" i="55" s="1"/>
  <c r="G11" i="41"/>
  <c r="G16" i="40"/>
  <c r="G17" i="40" s="1"/>
  <c r="G18" i="40" s="1"/>
  <c r="J108" i="55" s="1"/>
  <c r="V14" i="40"/>
  <c r="Y107" i="55" s="1"/>
  <c r="W9" i="30"/>
  <c r="AN44" i="45"/>
  <c r="AH9" i="30"/>
  <c r="AY44" i="45"/>
  <c r="D14" i="40"/>
  <c r="G107" i="55" s="1"/>
  <c r="AK26" i="52"/>
  <c r="E75" i="32"/>
  <c r="E76" i="32" s="1"/>
  <c r="F62" i="41" s="1"/>
  <c r="I16" i="36"/>
  <c r="E86" i="30"/>
  <c r="E30" i="50"/>
  <c r="AF11" i="41"/>
  <c r="AG11" i="52"/>
  <c r="AF16" i="40"/>
  <c r="AF17" i="40" s="1"/>
  <c r="AF18" i="40" s="1"/>
  <c r="AI108" i="55" s="1"/>
  <c r="AF12" i="39"/>
  <c r="AF13" i="39" s="1"/>
  <c r="AF14" i="39" s="1"/>
  <c r="AI73" i="55" s="1"/>
  <c r="Q85" i="30"/>
  <c r="Q86" i="30" s="1"/>
  <c r="Q75" i="32"/>
  <c r="Q76" i="32" s="1"/>
  <c r="R62" i="41" s="1"/>
  <c r="U16" i="36"/>
  <c r="M31" i="30"/>
  <c r="AC19" i="45"/>
  <c r="R57" i="45"/>
  <c r="T14" i="40"/>
  <c r="W107" i="55" s="1"/>
  <c r="AB134" i="55"/>
  <c r="AC9" i="30"/>
  <c r="AT44" i="45"/>
  <c r="L9" i="30"/>
  <c r="AC44" i="45"/>
  <c r="I58" i="35"/>
  <c r="Y46" i="45"/>
  <c r="AF36" i="35"/>
  <c r="U38" i="35"/>
  <c r="K85" i="30"/>
  <c r="K86" i="30" s="1"/>
  <c r="K75" i="32"/>
  <c r="K76" i="32" s="1"/>
  <c r="L62" i="41" s="1"/>
  <c r="X75" i="32"/>
  <c r="X76" i="32" s="1"/>
  <c r="Y62" i="41" s="1"/>
  <c r="X85" i="30"/>
  <c r="X86" i="30" s="1"/>
  <c r="AB16" i="36"/>
  <c r="E26" i="41"/>
  <c r="F23" i="52"/>
  <c r="G44" i="30"/>
  <c r="W32" i="45"/>
  <c r="G44" i="35"/>
  <c r="Y69" i="45"/>
  <c r="I82" i="35"/>
  <c r="H83" i="30"/>
  <c r="H82" i="30"/>
  <c r="Y67" i="45" s="1"/>
  <c r="AB28" i="30"/>
  <c r="AB28" i="35"/>
  <c r="AF31" i="52"/>
  <c r="T134" i="55"/>
  <c r="AC14" i="40"/>
  <c r="AF107" i="55" s="1"/>
  <c r="U9" i="30"/>
  <c r="AL44" i="45"/>
  <c r="X16" i="36"/>
  <c r="I36" i="35"/>
  <c r="V63" i="35"/>
  <c r="AH63" i="35"/>
  <c r="AK63" i="35"/>
  <c r="Z63" i="35"/>
  <c r="AC63" i="35"/>
  <c r="R63" i="35"/>
  <c r="U63" i="35"/>
  <c r="I63" i="35"/>
  <c r="AF63" i="35"/>
  <c r="X63" i="35"/>
  <c r="Y63" i="35"/>
  <c r="H63" i="35"/>
  <c r="F63" i="35"/>
  <c r="Q63" i="35"/>
  <c r="P63" i="35"/>
  <c r="S31" i="52"/>
  <c r="AG137" i="55"/>
  <c r="L134" i="55"/>
  <c r="AH16" i="36"/>
  <c r="AB63" i="35"/>
  <c r="AD38" i="35"/>
  <c r="P26" i="52"/>
  <c r="F85" i="30"/>
  <c r="F86" i="30" s="1"/>
  <c r="K14" i="40"/>
  <c r="N107" i="55" s="1"/>
  <c r="H21" i="35"/>
  <c r="E63" i="35"/>
  <c r="M21" i="35"/>
  <c r="O30" i="35"/>
  <c r="O34" i="35"/>
  <c r="L36" i="35"/>
  <c r="AG36" i="35"/>
  <c r="H38" i="35"/>
  <c r="AF22" i="35"/>
  <c r="M47" i="57"/>
  <c r="K22" i="37" s="1"/>
  <c r="G14" i="40"/>
  <c r="J107" i="55" s="1"/>
  <c r="AJ58" i="35"/>
  <c r="AZ46" i="45"/>
  <c r="D43" i="57"/>
  <c r="E6" i="30"/>
  <c r="F19" i="30"/>
  <c r="E31" i="32"/>
  <c r="V7" i="45"/>
  <c r="J24" i="30"/>
  <c r="K24" i="35" s="1"/>
  <c r="Z12" i="45"/>
  <c r="C22" i="52"/>
  <c r="O14" i="40"/>
  <c r="R107" i="55" s="1"/>
  <c r="Q14" i="40"/>
  <c r="T107" i="55" s="1"/>
  <c r="E14" i="40"/>
  <c r="H107" i="55" s="1"/>
  <c r="AB58" i="35"/>
  <c r="AR46" i="45"/>
  <c r="F19" i="35"/>
  <c r="D45" i="57"/>
  <c r="P47" i="57"/>
  <c r="N22" i="37" s="1"/>
  <c r="U37" i="35"/>
  <c r="J37" i="35"/>
  <c r="AF37" i="35"/>
  <c r="M37" i="35"/>
  <c r="AG37" i="35"/>
  <c r="E37" i="35"/>
  <c r="Y37" i="35"/>
  <c r="L37" i="35"/>
  <c r="AD37" i="35"/>
  <c r="D37" i="35"/>
  <c r="V37" i="35"/>
  <c r="AI37" i="35"/>
  <c r="N37" i="35"/>
  <c r="AJ14" i="40"/>
  <c r="AM107" i="55" s="1"/>
  <c r="R21" i="30"/>
  <c r="AH9" i="45"/>
  <c r="AJ26" i="52"/>
  <c r="W14" i="40"/>
  <c r="Z107" i="55" s="1"/>
  <c r="Y14" i="40"/>
  <c r="AB107" i="55" s="1"/>
  <c r="M14" i="40"/>
  <c r="P107" i="55" s="1"/>
  <c r="J58" i="35"/>
  <c r="Z46" i="45"/>
  <c r="G42" i="33"/>
  <c r="H40" i="55" s="1"/>
  <c r="I14" i="40"/>
  <c r="L107" i="55" s="1"/>
  <c r="G47" i="55"/>
  <c r="G51" i="33"/>
  <c r="H47" i="55" s="1"/>
  <c r="AA31" i="52"/>
  <c r="C34" i="52"/>
  <c r="AI31" i="52"/>
  <c r="Y137" i="55"/>
  <c r="H137" i="55"/>
  <c r="AE14" i="40"/>
  <c r="AH107" i="55" s="1"/>
  <c r="AG14" i="40"/>
  <c r="AJ107" i="55" s="1"/>
  <c r="U14" i="40"/>
  <c r="X107" i="55" s="1"/>
  <c r="AB47" i="57"/>
  <c r="Z22" i="37" s="1"/>
  <c r="X11" i="52"/>
  <c r="W11" i="41"/>
  <c r="Y75" i="32"/>
  <c r="Y76" i="32" s="1"/>
  <c r="Z62" i="41" s="1"/>
  <c r="Y85" i="30"/>
  <c r="Y86" i="30" s="1"/>
  <c r="J47" i="57"/>
  <c r="H22" i="37" s="1"/>
  <c r="AB20" i="45"/>
  <c r="L32" i="30"/>
  <c r="M35" i="30"/>
  <c r="M35" i="35"/>
  <c r="M31" i="52"/>
  <c r="AC16" i="36"/>
  <c r="AF14" i="40"/>
  <c r="AI107" i="55" s="1"/>
  <c r="AI9" i="30"/>
  <c r="AZ44" i="45"/>
  <c r="AC23" i="45"/>
  <c r="AG17" i="52"/>
  <c r="AF17" i="41"/>
  <c r="V75" i="32"/>
  <c r="V76" i="32" s="1"/>
  <c r="W62" i="41" s="1"/>
  <c r="Z16" i="36"/>
  <c r="X47" i="57"/>
  <c r="V22" i="37" s="1"/>
  <c r="AH47" i="57"/>
  <c r="AF22" i="37" s="1"/>
  <c r="I137" i="55"/>
  <c r="AG20" i="35"/>
  <c r="AK20" i="35"/>
  <c r="T20" i="35"/>
  <c r="Y20" i="35"/>
  <c r="AC20" i="35"/>
  <c r="L20" i="35"/>
  <c r="Q20" i="35"/>
  <c r="U20" i="35"/>
  <c r="D20" i="35"/>
  <c r="K47" i="57"/>
  <c r="I22" i="37" s="1"/>
  <c r="C47" i="28"/>
  <c r="V26" i="52"/>
  <c r="AC31" i="52"/>
  <c r="S134" i="55"/>
  <c r="T9" i="30"/>
  <c r="AK44" i="45"/>
  <c r="C21" i="36"/>
  <c r="B22" i="53" s="1"/>
  <c r="H34" i="50"/>
  <c r="I34" i="50" s="1"/>
  <c r="J34" i="50" s="1"/>
  <c r="K34" i="50" s="1"/>
  <c r="L34" i="50" s="1"/>
  <c r="M34" i="50" s="1"/>
  <c r="N34" i="50" s="1"/>
  <c r="O34" i="50" s="1"/>
  <c r="P34" i="50" s="1"/>
  <c r="Q34" i="50" s="1"/>
  <c r="R34" i="50" s="1"/>
  <c r="S34" i="50" s="1"/>
  <c r="T34" i="50" s="1"/>
  <c r="U34" i="50" s="1"/>
  <c r="V34" i="50" s="1"/>
  <c r="W34" i="50" s="1"/>
  <c r="X34" i="50" s="1"/>
  <c r="Y34" i="50" s="1"/>
  <c r="Z34" i="50" s="1"/>
  <c r="AA34" i="50" s="1"/>
  <c r="AB34" i="50" s="1"/>
  <c r="AC34" i="50" s="1"/>
  <c r="AD34" i="50" s="1"/>
  <c r="AE34" i="50" s="1"/>
  <c r="AF34" i="50" s="1"/>
  <c r="AG34" i="50" s="1"/>
  <c r="AH34" i="50" s="1"/>
  <c r="AI34" i="50" s="1"/>
  <c r="AJ34" i="50" s="1"/>
  <c r="AK34" i="50" s="1"/>
  <c r="AL34" i="50" s="1"/>
  <c r="AM34" i="50" s="1"/>
  <c r="AN34" i="50" s="1"/>
  <c r="V10" i="30"/>
  <c r="J14" i="40"/>
  <c r="M107" i="55" s="1"/>
  <c r="H14" i="40"/>
  <c r="K107" i="55" s="1"/>
  <c r="S14" i="40"/>
  <c r="V107" i="55" s="1"/>
  <c r="AK14" i="40"/>
  <c r="AN107" i="55" s="1"/>
  <c r="E47" i="57"/>
  <c r="C22" i="37" s="1"/>
  <c r="D39" i="57"/>
  <c r="C75" i="32"/>
  <c r="C76" i="32" s="1"/>
  <c r="C85" i="30"/>
  <c r="C86" i="30" s="1"/>
  <c r="AF47" i="57"/>
  <c r="AD22" i="37" s="1"/>
  <c r="Q137" i="55"/>
  <c r="N10" i="30"/>
  <c r="P14" i="40"/>
  <c r="S107" i="55" s="1"/>
  <c r="AA14" i="40"/>
  <c r="AD107" i="55" s="1"/>
  <c r="E36" i="50"/>
  <c r="E35" i="50" s="1"/>
  <c r="F35" i="50"/>
  <c r="L85" i="30"/>
  <c r="L86" i="30" s="1"/>
  <c r="L75" i="32"/>
  <c r="L76" i="32" s="1"/>
  <c r="M62" i="41" s="1"/>
  <c r="E13" i="50"/>
  <c r="D75" i="32"/>
  <c r="D76" i="32" s="1"/>
  <c r="E62" i="41" s="1"/>
  <c r="D85" i="30"/>
  <c r="D86" i="30" s="1"/>
  <c r="R33" i="45"/>
  <c r="F10" i="30"/>
  <c r="X14" i="40"/>
  <c r="AA107" i="55" s="1"/>
  <c r="AI14" i="40"/>
  <c r="AL107" i="55" s="1"/>
  <c r="J9" i="50"/>
  <c r="V47" i="57"/>
  <c r="T22" i="37" s="1"/>
  <c r="AB75" i="32"/>
  <c r="AB76" i="32" s="1"/>
  <c r="AC62" i="41" s="1"/>
  <c r="AB85" i="30"/>
  <c r="AB86" i="30" s="1"/>
  <c r="G27" i="30"/>
  <c r="W15" i="45"/>
  <c r="Y47" i="57"/>
  <c r="W22" i="37" s="1"/>
  <c r="AA23" i="30"/>
  <c r="AQ11" i="45"/>
  <c r="G38" i="33"/>
  <c r="H36" i="55" s="1"/>
  <c r="G61" i="33"/>
  <c r="H61" i="33" s="1"/>
  <c r="G39" i="33"/>
  <c r="H37" i="55" s="1"/>
  <c r="G45" i="33"/>
  <c r="H42" i="55" s="1"/>
  <c r="G14" i="33"/>
  <c r="H10" i="55" s="1"/>
  <c r="G62" i="33"/>
  <c r="H52" i="55" s="1"/>
  <c r="I116" i="68"/>
  <c r="J116" i="68" s="1"/>
  <c r="AE137" i="68"/>
  <c r="AF137" i="68" s="1"/>
  <c r="AG137" i="68" s="1"/>
  <c r="G60" i="33"/>
  <c r="H50" i="55" s="1"/>
  <c r="G65" i="33"/>
  <c r="G63" i="33"/>
  <c r="G25" i="33"/>
  <c r="P122" i="68"/>
  <c r="Q122" i="68" s="1"/>
  <c r="G152" i="55"/>
  <c r="E60" i="55"/>
  <c r="E140" i="55"/>
  <c r="F19" i="55"/>
  <c r="H171" i="55"/>
  <c r="E174" i="55"/>
  <c r="P123" i="68"/>
  <c r="Q123" i="68" s="1"/>
  <c r="R123" i="68" s="1"/>
  <c r="G171" i="55"/>
  <c r="E178" i="55"/>
  <c r="E179" i="55"/>
  <c r="E156" i="55"/>
  <c r="J172" i="55"/>
  <c r="I171" i="55"/>
  <c r="E158" i="55"/>
  <c r="E176" i="55"/>
  <c r="E175" i="55"/>
  <c r="E157" i="55"/>
  <c r="AB134" i="68"/>
  <c r="AC134" i="68" s="1"/>
  <c r="AH31" i="52"/>
  <c r="AD26" i="52"/>
  <c r="N31" i="52"/>
  <c r="J26" i="52"/>
  <c r="R65" i="45"/>
  <c r="R48" i="45"/>
  <c r="O10" i="30"/>
  <c r="P58" i="35"/>
  <c r="T52" i="35"/>
  <c r="AJ40" i="45"/>
  <c r="V82" i="30"/>
  <c r="V83" i="30"/>
  <c r="W82" i="35"/>
  <c r="K117" i="68"/>
  <c r="L117" i="68" s="1"/>
  <c r="M117" i="68" s="1"/>
  <c r="AE138" i="68"/>
  <c r="C37" i="52"/>
  <c r="V31" i="52"/>
  <c r="R25" i="45"/>
  <c r="AI83" i="30"/>
  <c r="AI82" i="30"/>
  <c r="AZ69" i="45"/>
  <c r="AJ82" i="35"/>
  <c r="Z83" i="30"/>
  <c r="Z82" i="30"/>
  <c r="AA82" i="35"/>
  <c r="G10" i="30"/>
  <c r="H58" i="35"/>
  <c r="O123" i="39"/>
  <c r="R102" i="55" s="1"/>
  <c r="O57" i="39"/>
  <c r="O58" i="39" s="1"/>
  <c r="R84" i="55" s="1"/>
  <c r="B48" i="39"/>
  <c r="N82" i="30"/>
  <c r="N83" i="30"/>
  <c r="O82" i="35"/>
  <c r="AP44" i="45"/>
  <c r="Y9" i="30"/>
  <c r="L59" i="41"/>
  <c r="O138" i="55" s="1"/>
  <c r="I83" i="30"/>
  <c r="I82" i="30"/>
  <c r="J82" i="35"/>
  <c r="N119" i="68"/>
  <c r="O119" i="68" s="1"/>
  <c r="H115" i="68"/>
  <c r="I115" i="68" s="1"/>
  <c r="J115" i="68" s="1"/>
  <c r="W128" i="68"/>
  <c r="G29" i="55"/>
  <c r="G31" i="33"/>
  <c r="C33" i="52"/>
  <c r="N26" i="52"/>
  <c r="AC26" i="52"/>
  <c r="C32" i="52"/>
  <c r="AD31" i="52"/>
  <c r="T26" i="52"/>
  <c r="AI26" i="52"/>
  <c r="J21" i="50"/>
  <c r="R13" i="45"/>
  <c r="R52" i="45"/>
  <c r="AF46" i="45"/>
  <c r="H152" i="55"/>
  <c r="I153" i="55"/>
  <c r="H164" i="55"/>
  <c r="I165" i="55"/>
  <c r="W130" i="68"/>
  <c r="M120" i="68"/>
  <c r="T127" i="68"/>
  <c r="Q124" i="68"/>
  <c r="X131" i="68"/>
  <c r="AC136" i="68"/>
  <c r="F26" i="52"/>
  <c r="U26" i="52"/>
  <c r="O31" i="52"/>
  <c r="L31" i="52"/>
  <c r="AL31" i="52"/>
  <c r="L26" i="52"/>
  <c r="AA26" i="52"/>
  <c r="R21" i="45"/>
  <c r="R37" i="45"/>
  <c r="X46" i="45"/>
  <c r="R26" i="45"/>
  <c r="AE123" i="39"/>
  <c r="AH102" i="55" s="1"/>
  <c r="AE57" i="39"/>
  <c r="AE58" i="39" s="1"/>
  <c r="AH84" i="55" s="1"/>
  <c r="F151" i="55"/>
  <c r="V129" i="68"/>
  <c r="S126" i="68"/>
  <c r="AH140" i="68"/>
  <c r="AC135" i="68"/>
  <c r="K35" i="52"/>
  <c r="AH35" i="52"/>
  <c r="I35" i="52"/>
  <c r="W31" i="52"/>
  <c r="C28" i="52"/>
  <c r="AI35" i="52"/>
  <c r="AE26" i="52"/>
  <c r="R55" i="45"/>
  <c r="R8" i="45"/>
  <c r="R60" i="45"/>
  <c r="R56" i="45"/>
  <c r="W82" i="30"/>
  <c r="W83" i="30"/>
  <c r="X82" i="35"/>
  <c r="C73" i="40"/>
  <c r="B72" i="40"/>
  <c r="G123" i="39"/>
  <c r="J102" i="55" s="1"/>
  <c r="G57" i="39"/>
  <c r="G58" i="39" s="1"/>
  <c r="J84" i="55" s="1"/>
  <c r="Z133" i="68"/>
  <c r="AA133" i="68" s="1"/>
  <c r="G114" i="68"/>
  <c r="E143" i="68"/>
  <c r="E182" i="68" s="1"/>
  <c r="F113" i="68"/>
  <c r="F143" i="68" s="1"/>
  <c r="F182" i="68" s="1"/>
  <c r="AA132" i="68"/>
  <c r="F170" i="68"/>
  <c r="C78" i="68"/>
  <c r="H20" i="55"/>
  <c r="H66" i="55" s="1"/>
  <c r="H195" i="55" s="1"/>
  <c r="D77" i="68"/>
  <c r="E77" i="68" s="1"/>
  <c r="J31" i="52"/>
  <c r="W26" i="52"/>
  <c r="AE31" i="52"/>
  <c r="Q31" i="52"/>
  <c r="AB31" i="52"/>
  <c r="K26" i="52"/>
  <c r="AH26" i="52"/>
  <c r="R63" i="45"/>
  <c r="N121" i="68"/>
  <c r="X35" i="52"/>
  <c r="V35" i="52"/>
  <c r="AF26" i="52"/>
  <c r="O26" i="52"/>
  <c r="Y31" i="52"/>
  <c r="AJ31" i="52"/>
  <c r="F19" i="50"/>
  <c r="G20" i="50"/>
  <c r="Z26" i="52"/>
  <c r="F112" i="55"/>
  <c r="R51" i="45"/>
  <c r="R36" i="45"/>
  <c r="R22" i="45"/>
  <c r="R41" i="45"/>
  <c r="W123" i="39"/>
  <c r="Z102" i="55" s="1"/>
  <c r="W57" i="39"/>
  <c r="W58" i="39" s="1"/>
  <c r="Z84" i="55" s="1"/>
  <c r="R58" i="41"/>
  <c r="U138" i="55" s="1"/>
  <c r="R125" i="68"/>
  <c r="K118" i="68"/>
  <c r="P35" i="52"/>
  <c r="I26" i="52"/>
  <c r="X26" i="52"/>
  <c r="F7" i="50"/>
  <c r="G8" i="50"/>
  <c r="AG31" i="52"/>
  <c r="F31" i="52"/>
  <c r="R26" i="52"/>
  <c r="AG26" i="52"/>
  <c r="R64" i="45"/>
  <c r="AH83" i="30"/>
  <c r="AH82" i="30"/>
  <c r="AI82" i="35"/>
  <c r="W10" i="30"/>
  <c r="AN46" i="45"/>
  <c r="X58" i="35"/>
  <c r="G44" i="55"/>
  <c r="G47" i="33"/>
  <c r="H47" i="33" s="1"/>
  <c r="D17" i="41"/>
  <c r="T11" i="41"/>
  <c r="T16" i="40"/>
  <c r="T17" i="40" s="1"/>
  <c r="T18" i="40" s="1"/>
  <c r="W108" i="55" s="1"/>
  <c r="T12" i="39"/>
  <c r="T13" i="39" s="1"/>
  <c r="T14" i="39" s="1"/>
  <c r="W73" i="55" s="1"/>
  <c r="AF137" i="55"/>
  <c r="P137" i="55"/>
  <c r="B45" i="41"/>
  <c r="V50" i="32"/>
  <c r="K134" i="55"/>
  <c r="AI10" i="52"/>
  <c r="C25" i="40"/>
  <c r="AM137" i="55"/>
  <c r="W137" i="55"/>
  <c r="G137" i="55"/>
  <c r="AC57" i="39"/>
  <c r="AC58" i="39" s="1"/>
  <c r="AF84" i="55" s="1"/>
  <c r="AC123" i="39"/>
  <c r="AF102" i="55" s="1"/>
  <c r="AC50" i="32"/>
  <c r="Z121" i="39"/>
  <c r="AC100" i="55" s="1"/>
  <c r="Z122" i="39"/>
  <c r="AC101" i="55" s="1"/>
  <c r="Z37" i="39"/>
  <c r="Z38" i="39" s="1"/>
  <c r="AC79" i="55" s="1"/>
  <c r="J121" i="39"/>
  <c r="M100" i="55" s="1"/>
  <c r="J122" i="39"/>
  <c r="M101" i="55" s="1"/>
  <c r="J37" i="39"/>
  <c r="J38" i="39" s="1"/>
  <c r="M79" i="55" s="1"/>
  <c r="F32" i="55"/>
  <c r="E33" i="33"/>
  <c r="AG106" i="55"/>
  <c r="AB106" i="55"/>
  <c r="C9" i="40"/>
  <c r="F53" i="55"/>
  <c r="AH138" i="55"/>
  <c r="B68" i="40"/>
  <c r="C69" i="40"/>
  <c r="AG121" i="39"/>
  <c r="AJ100" i="55" s="1"/>
  <c r="AG122" i="39"/>
  <c r="AJ101" i="55" s="1"/>
  <c r="AG37" i="39"/>
  <c r="AG38" i="39" s="1"/>
  <c r="AJ79" i="55" s="1"/>
  <c r="Q121" i="39"/>
  <c r="T100" i="55" s="1"/>
  <c r="Q122" i="39"/>
  <c r="T101" i="55" s="1"/>
  <c r="Q37" i="39"/>
  <c r="Q38" i="39" s="1"/>
  <c r="T79" i="55" s="1"/>
  <c r="AG134" i="55"/>
  <c r="AI19" i="32"/>
  <c r="AJ128" i="39" s="1"/>
  <c r="G35" i="41"/>
  <c r="B35" i="41" s="1"/>
  <c r="K10" i="30"/>
  <c r="D59" i="41"/>
  <c r="G138" i="55" s="1"/>
  <c r="W35" i="52"/>
  <c r="M137" i="55"/>
  <c r="R10" i="30"/>
  <c r="C59" i="41"/>
  <c r="F138" i="55" s="1"/>
  <c r="B76" i="40"/>
  <c r="W121" i="39"/>
  <c r="Z100" i="55" s="1"/>
  <c r="W122" i="39"/>
  <c r="Z101" i="55" s="1"/>
  <c r="W37" i="39"/>
  <c r="W38" i="39" s="1"/>
  <c r="Z79" i="55" s="1"/>
  <c r="G121" i="39"/>
  <c r="J100" i="55" s="1"/>
  <c r="G122" i="39"/>
  <c r="J101" i="55" s="1"/>
  <c r="G37" i="39"/>
  <c r="G38" i="39" s="1"/>
  <c r="J79" i="55" s="1"/>
  <c r="Q24" i="52"/>
  <c r="W134" i="55"/>
  <c r="F57" i="41"/>
  <c r="I138" i="55" s="1"/>
  <c r="Z135" i="55"/>
  <c r="N11" i="41"/>
  <c r="N16" i="40"/>
  <c r="N17" i="40" s="1"/>
  <c r="N18" i="40" s="1"/>
  <c r="Q108" i="55" s="1"/>
  <c r="N12" i="39"/>
  <c r="N13" i="39" s="1"/>
  <c r="N14" i="39" s="1"/>
  <c r="Q73" i="55" s="1"/>
  <c r="AH12" i="32"/>
  <c r="W68" i="35"/>
  <c r="G68" i="35"/>
  <c r="AC68" i="35"/>
  <c r="M68" i="35"/>
  <c r="D68" i="35"/>
  <c r="Z68" i="35"/>
  <c r="I68" i="35"/>
  <c r="C68" i="35"/>
  <c r="T35" i="52"/>
  <c r="C85" i="40"/>
  <c r="B84" i="40"/>
  <c r="R137" i="55"/>
  <c r="B34" i="41"/>
  <c r="AF12" i="32"/>
  <c r="AF13" i="32"/>
  <c r="AF46" i="30" s="1"/>
  <c r="L58" i="35"/>
  <c r="G58" i="35"/>
  <c r="Q21" i="32"/>
  <c r="N11" i="52"/>
  <c r="M11" i="41"/>
  <c r="M16" i="40"/>
  <c r="M17" i="40" s="1"/>
  <c r="M18" i="40" s="1"/>
  <c r="P108" i="55" s="1"/>
  <c r="M12" i="39"/>
  <c r="M13" i="39" s="1"/>
  <c r="M14" i="39" s="1"/>
  <c r="P73" i="55" s="1"/>
  <c r="B49" i="41"/>
  <c r="L11" i="41"/>
  <c r="L16" i="40"/>
  <c r="L17" i="40" s="1"/>
  <c r="L18" i="40" s="1"/>
  <c r="O108" i="55" s="1"/>
  <c r="L12" i="39"/>
  <c r="L13" i="39" s="1"/>
  <c r="L14" i="39" s="1"/>
  <c r="O73" i="55" s="1"/>
  <c r="F43" i="55"/>
  <c r="N50" i="32"/>
  <c r="G32" i="55"/>
  <c r="AA10" i="52"/>
  <c r="O42" i="41"/>
  <c r="C9" i="52"/>
  <c r="M57" i="39"/>
  <c r="M58" i="39" s="1"/>
  <c r="P84" i="55" s="1"/>
  <c r="M123" i="39"/>
  <c r="P102" i="55" s="1"/>
  <c r="U50" i="32"/>
  <c r="AH134" i="55"/>
  <c r="AC21" i="32"/>
  <c r="C13" i="40"/>
  <c r="C14" i="40" s="1"/>
  <c r="AJ106" i="55"/>
  <c r="N106" i="55"/>
  <c r="AL137" i="55"/>
  <c r="F45" i="55"/>
  <c r="AJ57" i="39"/>
  <c r="AJ58" i="39" s="1"/>
  <c r="AM84" i="55" s="1"/>
  <c r="AJ123" i="39"/>
  <c r="AM102" i="55" s="1"/>
  <c r="D21" i="32"/>
  <c r="C13" i="32"/>
  <c r="C46" i="30" s="1"/>
  <c r="AE8" i="52"/>
  <c r="AC12" i="32"/>
  <c r="C10" i="30"/>
  <c r="AI57" i="39"/>
  <c r="AI58" i="39" s="1"/>
  <c r="AL84" i="55" s="1"/>
  <c r="AI123" i="39"/>
  <c r="AL102" i="55" s="1"/>
  <c r="S57" i="39"/>
  <c r="S58" i="39" s="1"/>
  <c r="V84" i="55" s="1"/>
  <c r="S123" i="39"/>
  <c r="V102" i="55" s="1"/>
  <c r="B56" i="39"/>
  <c r="C57" i="39"/>
  <c r="AG37" i="41"/>
  <c r="AJ135" i="55" s="1"/>
  <c r="D9" i="41"/>
  <c r="J10" i="30"/>
  <c r="F55" i="55"/>
  <c r="G57" i="41"/>
  <c r="J138" i="55" s="1"/>
  <c r="AF138" i="55"/>
  <c r="P138" i="55"/>
  <c r="AB137" i="55"/>
  <c r="L137" i="55"/>
  <c r="AH123" i="39"/>
  <c r="AK102" i="55" s="1"/>
  <c r="AH57" i="39"/>
  <c r="AH58" i="39" s="1"/>
  <c r="AK84" i="55" s="1"/>
  <c r="R123" i="39"/>
  <c r="U102" i="55" s="1"/>
  <c r="R57" i="39"/>
  <c r="R58" i="39" s="1"/>
  <c r="U84" i="55" s="1"/>
  <c r="AF37" i="41"/>
  <c r="AI135" i="55" s="1"/>
  <c r="P58" i="41"/>
  <c r="U35" i="52"/>
  <c r="C65" i="39"/>
  <c r="B64" i="39"/>
  <c r="I123" i="39"/>
  <c r="L102" i="55" s="1"/>
  <c r="I57" i="39"/>
  <c r="I58" i="39" s="1"/>
  <c r="L84" i="55" s="1"/>
  <c r="B40" i="39"/>
  <c r="C41" i="39"/>
  <c r="V122" i="39"/>
  <c r="Y101" i="55" s="1"/>
  <c r="V121" i="39"/>
  <c r="Y100" i="55" s="1"/>
  <c r="V37" i="39"/>
  <c r="V38" i="39" s="1"/>
  <c r="Y79" i="55" s="1"/>
  <c r="F122" i="39"/>
  <c r="I101" i="55" s="1"/>
  <c r="F121" i="39"/>
  <c r="I100" i="55" s="1"/>
  <c r="F37" i="39"/>
  <c r="F38" i="39" s="1"/>
  <c r="I79" i="55" s="1"/>
  <c r="N134" i="55"/>
  <c r="AJ8" i="41"/>
  <c r="Z13" i="32"/>
  <c r="Z46" i="30" s="1"/>
  <c r="Z12" i="32"/>
  <c r="V138" i="55"/>
  <c r="F49" i="55"/>
  <c r="P31" i="52"/>
  <c r="U134" i="55"/>
  <c r="Q11" i="41"/>
  <c r="Q16" i="40"/>
  <c r="Q17" i="40" s="1"/>
  <c r="Q18" i="40" s="1"/>
  <c r="T108" i="55" s="1"/>
  <c r="Q12" i="39"/>
  <c r="Q13" i="39" s="1"/>
  <c r="Q14" i="39" s="1"/>
  <c r="T73" i="55" s="1"/>
  <c r="O58" i="35"/>
  <c r="Q58" i="35"/>
  <c r="AG9" i="30"/>
  <c r="L13" i="32"/>
  <c r="L46" i="30" s="1"/>
  <c r="L12" i="32"/>
  <c r="AD21" i="32"/>
  <c r="C29" i="52"/>
  <c r="G26" i="52"/>
  <c r="R31" i="52"/>
  <c r="AL26" i="52"/>
  <c r="M26" i="52"/>
  <c r="I31" i="52"/>
  <c r="T31" i="52"/>
  <c r="D26" i="52"/>
  <c r="C27" i="52"/>
  <c r="S26" i="52"/>
  <c r="Z31" i="52"/>
  <c r="AI44" i="45"/>
  <c r="R24" i="45"/>
  <c r="R43" i="45"/>
  <c r="J83" i="30"/>
  <c r="J82" i="30"/>
  <c r="F46" i="55"/>
  <c r="F37" i="33"/>
  <c r="G37" i="33" s="1"/>
  <c r="F24" i="33"/>
  <c r="F11" i="33"/>
  <c r="G11" i="33" s="1"/>
  <c r="D11" i="41"/>
  <c r="D16" i="40"/>
  <c r="D17" i="40" s="1"/>
  <c r="D18" i="40" s="1"/>
  <c r="G108" i="55" s="1"/>
  <c r="D12" i="39"/>
  <c r="D13" i="39" s="1"/>
  <c r="D14" i="39" s="1"/>
  <c r="G73" i="55" s="1"/>
  <c r="C41" i="40"/>
  <c r="C42" i="40" s="1"/>
  <c r="B40" i="40"/>
  <c r="T138" i="55"/>
  <c r="AD57" i="39"/>
  <c r="AD58" i="39" s="1"/>
  <c r="AG84" i="55" s="1"/>
  <c r="AD123" i="39"/>
  <c r="AG102" i="55" s="1"/>
  <c r="N57" i="39"/>
  <c r="N58" i="39" s="1"/>
  <c r="Q84" i="55" s="1"/>
  <c r="N123" i="39"/>
  <c r="Q102" i="55" s="1"/>
  <c r="F50" i="32"/>
  <c r="AI134" i="55"/>
  <c r="S10" i="52"/>
  <c r="W74" i="55"/>
  <c r="K74" i="55"/>
  <c r="X121" i="39"/>
  <c r="AA100" i="55" s="1"/>
  <c r="X122" i="39"/>
  <c r="AA101" i="55" s="1"/>
  <c r="X37" i="39"/>
  <c r="X38" i="39" s="1"/>
  <c r="AA79" i="55" s="1"/>
  <c r="H121" i="39"/>
  <c r="K100" i="55" s="1"/>
  <c r="H122" i="39"/>
  <c r="K101" i="55" s="1"/>
  <c r="H37" i="39"/>
  <c r="H38" i="39" s="1"/>
  <c r="K79" i="55" s="1"/>
  <c r="F5" i="55"/>
  <c r="M50" i="32"/>
  <c r="R12" i="40"/>
  <c r="R13" i="40" s="1"/>
  <c r="V137" i="55"/>
  <c r="F137" i="55"/>
  <c r="B48" i="41"/>
  <c r="T57" i="39"/>
  <c r="T58" i="39" s="1"/>
  <c r="W84" i="55" s="1"/>
  <c r="T123" i="39"/>
  <c r="W102" i="55" s="1"/>
  <c r="D57" i="39"/>
  <c r="D58" i="39" s="1"/>
  <c r="G84" i="55" s="1"/>
  <c r="D123" i="39"/>
  <c r="G102" i="55" s="1"/>
  <c r="Y134" i="55"/>
  <c r="S19" i="32"/>
  <c r="T128" i="39" s="1"/>
  <c r="G8" i="52"/>
  <c r="E12" i="32"/>
  <c r="H57" i="41"/>
  <c r="G35" i="52"/>
  <c r="B44" i="41"/>
  <c r="B10" i="30"/>
  <c r="F47" i="55"/>
  <c r="H37" i="41"/>
  <c r="K135" i="55" s="1"/>
  <c r="O134" i="55"/>
  <c r="AD9" i="30"/>
  <c r="C65" i="40"/>
  <c r="B64" i="40"/>
  <c r="B48" i="40"/>
  <c r="AB8" i="41"/>
  <c r="T8" i="52"/>
  <c r="R12" i="32"/>
  <c r="AB35" i="52"/>
  <c r="B55" i="41"/>
  <c r="G46" i="33"/>
  <c r="H43" i="55" s="1"/>
  <c r="F40" i="33"/>
  <c r="G40" i="33" s="1"/>
  <c r="P12" i="32"/>
  <c r="P13" i="32"/>
  <c r="P46" i="30" s="1"/>
  <c r="C58" i="35"/>
  <c r="W58" i="35"/>
  <c r="Y58" i="35"/>
  <c r="AA13" i="32"/>
  <c r="AA46" i="30" s="1"/>
  <c r="W8" i="41"/>
  <c r="V11" i="52"/>
  <c r="U11" i="41"/>
  <c r="U16" i="40"/>
  <c r="U17" i="40" s="1"/>
  <c r="U18" i="40" s="1"/>
  <c r="X108" i="55" s="1"/>
  <c r="U12" i="39"/>
  <c r="U13" i="39" s="1"/>
  <c r="U14" i="39" s="1"/>
  <c r="X73" i="55" s="1"/>
  <c r="AF21" i="32"/>
  <c r="F7" i="55"/>
  <c r="AB122" i="39"/>
  <c r="AE101" i="55" s="1"/>
  <c r="AB121" i="39"/>
  <c r="AE100" i="55" s="1"/>
  <c r="AB37" i="39"/>
  <c r="AB38" i="39" s="1"/>
  <c r="AE79" i="55" s="1"/>
  <c r="L122" i="39"/>
  <c r="O101" i="55" s="1"/>
  <c r="L121" i="39"/>
  <c r="O100" i="55" s="1"/>
  <c r="L37" i="39"/>
  <c r="L38" i="39" s="1"/>
  <c r="O79" i="55" s="1"/>
  <c r="F21" i="55"/>
  <c r="AI122" i="39"/>
  <c r="AL101" i="55" s="1"/>
  <c r="AI121" i="39"/>
  <c r="AL100" i="55" s="1"/>
  <c r="AI37" i="39"/>
  <c r="AI38" i="39" s="1"/>
  <c r="AL79" i="55" s="1"/>
  <c r="S122" i="39"/>
  <c r="V101" i="55" s="1"/>
  <c r="S121" i="39"/>
  <c r="V100" i="55" s="1"/>
  <c r="S37" i="39"/>
  <c r="S38" i="39" s="1"/>
  <c r="V79" i="55" s="1"/>
  <c r="C122" i="39"/>
  <c r="B36" i="39"/>
  <c r="C37" i="39"/>
  <c r="AB17" i="52"/>
  <c r="AA17" i="41"/>
  <c r="K10" i="52"/>
  <c r="B69" i="35"/>
  <c r="B73" i="35"/>
  <c r="B77" i="35"/>
  <c r="E50" i="32"/>
  <c r="Z134" i="55"/>
  <c r="M21" i="32"/>
  <c r="Z12" i="40"/>
  <c r="Z13" i="40" s="1"/>
  <c r="AJ10" i="30"/>
  <c r="AJ50" i="32"/>
  <c r="Y37" i="41"/>
  <c r="AB135" i="55" s="1"/>
  <c r="AE35" i="52"/>
  <c r="AK137" i="55"/>
  <c r="U137" i="55"/>
  <c r="B56" i="40"/>
  <c r="C57" i="40"/>
  <c r="X134" i="55"/>
  <c r="F8" i="33"/>
  <c r="G8" i="33" s="1"/>
  <c r="H8" i="33" s="1"/>
  <c r="W57" i="41"/>
  <c r="Z138" i="55" s="1"/>
  <c r="N42" i="41"/>
  <c r="I24" i="52"/>
  <c r="V9" i="30"/>
  <c r="E35" i="52"/>
  <c r="AA137" i="55"/>
  <c r="K137" i="55"/>
  <c r="B46" i="41"/>
  <c r="AG123" i="39"/>
  <c r="AJ102" i="55" s="1"/>
  <c r="AG57" i="39"/>
  <c r="AG58" i="39" s="1"/>
  <c r="AJ84" i="55" s="1"/>
  <c r="AK42" i="41"/>
  <c r="B40" i="41"/>
  <c r="AL134" i="55"/>
  <c r="F134" i="55"/>
  <c r="B28" i="41"/>
  <c r="L8" i="41"/>
  <c r="L8" i="52"/>
  <c r="J12" i="32"/>
  <c r="AG74" i="35"/>
  <c r="Y74" i="35"/>
  <c r="Q74" i="35"/>
  <c r="I74" i="35"/>
  <c r="AF74" i="35"/>
  <c r="X74" i="35"/>
  <c r="P74" i="35"/>
  <c r="H74" i="35"/>
  <c r="AE74" i="35"/>
  <c r="W74" i="35"/>
  <c r="O74" i="35"/>
  <c r="G74" i="35"/>
  <c r="AD74" i="35"/>
  <c r="V74" i="35"/>
  <c r="N74" i="35"/>
  <c r="F74" i="35"/>
  <c r="AK74" i="35"/>
  <c r="AC74" i="35"/>
  <c r="U74" i="35"/>
  <c r="M74" i="35"/>
  <c r="E74" i="35"/>
  <c r="AI74" i="35"/>
  <c r="AA74" i="35"/>
  <c r="S74" i="35"/>
  <c r="K74" i="35"/>
  <c r="C74" i="35"/>
  <c r="AH74" i="35"/>
  <c r="Z74" i="35"/>
  <c r="R74" i="35"/>
  <c r="J74" i="35"/>
  <c r="AJ74" i="35"/>
  <c r="AB74" i="35"/>
  <c r="T74" i="35"/>
  <c r="L74" i="35"/>
  <c r="D74" i="35"/>
  <c r="C36" i="52"/>
  <c r="D35" i="52"/>
  <c r="X31" i="52"/>
  <c r="AF123" i="39"/>
  <c r="AI102" i="55" s="1"/>
  <c r="AF57" i="39"/>
  <c r="AF58" i="39" s="1"/>
  <c r="AI84" i="55" s="1"/>
  <c r="P123" i="39"/>
  <c r="S102" i="55" s="1"/>
  <c r="P57" i="39"/>
  <c r="P58" i="39" s="1"/>
  <c r="S84" i="55" s="1"/>
  <c r="F41" i="55"/>
  <c r="AK122" i="39"/>
  <c r="AN101" i="55" s="1"/>
  <c r="AK121" i="39"/>
  <c r="AN100" i="55" s="1"/>
  <c r="AK37" i="39"/>
  <c r="AK38" i="39" s="1"/>
  <c r="AN79" i="55" s="1"/>
  <c r="U122" i="39"/>
  <c r="X101" i="55" s="1"/>
  <c r="U121" i="39"/>
  <c r="X100" i="55" s="1"/>
  <c r="U37" i="39"/>
  <c r="U38" i="39" s="1"/>
  <c r="X79" i="55" s="1"/>
  <c r="E122" i="39"/>
  <c r="H101" i="55" s="1"/>
  <c r="E121" i="39"/>
  <c r="H100" i="55" s="1"/>
  <c r="E37" i="39"/>
  <c r="E38" i="39" s="1"/>
  <c r="H79" i="55" s="1"/>
  <c r="M134" i="55"/>
  <c r="K58" i="35"/>
  <c r="AE58" i="35"/>
  <c r="Q9" i="30"/>
  <c r="E19" i="32"/>
  <c r="F128" i="39" s="1"/>
  <c r="N8" i="41"/>
  <c r="W8" i="52"/>
  <c r="T13" i="32"/>
  <c r="T46" i="30" s="1"/>
  <c r="T12" i="32"/>
  <c r="X137" i="55"/>
  <c r="B44" i="40"/>
  <c r="C45" i="40"/>
  <c r="AA134" i="55"/>
  <c r="T17" i="52"/>
  <c r="S17" i="41"/>
  <c r="AE12" i="32"/>
  <c r="AG8" i="52"/>
  <c r="O137" i="55"/>
  <c r="AK57" i="39"/>
  <c r="AK58" i="39" s="1"/>
  <c r="AN84" i="55" s="1"/>
  <c r="AK123" i="39"/>
  <c r="AN102" i="55" s="1"/>
  <c r="AH121" i="39"/>
  <c r="AK100" i="55" s="1"/>
  <c r="AH122" i="39"/>
  <c r="AK101" i="55" s="1"/>
  <c r="AH37" i="39"/>
  <c r="AH38" i="39" s="1"/>
  <c r="AK79" i="55" s="1"/>
  <c r="R121" i="39"/>
  <c r="U100" i="55" s="1"/>
  <c r="R122" i="39"/>
  <c r="U101" i="55" s="1"/>
  <c r="R37" i="39"/>
  <c r="R38" i="39" s="1"/>
  <c r="U79" i="55" s="1"/>
  <c r="H106" i="55"/>
  <c r="AH12" i="40"/>
  <c r="AH13" i="40" s="1"/>
  <c r="AL106" i="55"/>
  <c r="K44" i="33"/>
  <c r="L23" i="55" s="1"/>
  <c r="W42" i="41"/>
  <c r="AB10" i="30"/>
  <c r="AB50" i="32"/>
  <c r="B44" i="39"/>
  <c r="Y121" i="39"/>
  <c r="AB100" i="55" s="1"/>
  <c r="Y122" i="39"/>
  <c r="AB101" i="55" s="1"/>
  <c r="Y37" i="39"/>
  <c r="Y38" i="39" s="1"/>
  <c r="AB79" i="55" s="1"/>
  <c r="I121" i="39"/>
  <c r="L100" i="55" s="1"/>
  <c r="I122" i="39"/>
  <c r="L101" i="55" s="1"/>
  <c r="I37" i="39"/>
  <c r="I38" i="39" s="1"/>
  <c r="L79" i="55" s="1"/>
  <c r="Q134" i="55"/>
  <c r="Z24" i="52"/>
  <c r="J19" i="32"/>
  <c r="K128" i="39" s="1"/>
  <c r="B31" i="41"/>
  <c r="AJ59" i="41"/>
  <c r="AM138" i="55" s="1"/>
  <c r="B96" i="39"/>
  <c r="C97" i="39"/>
  <c r="F42" i="55"/>
  <c r="I37" i="41"/>
  <c r="L135" i="55" s="1"/>
  <c r="AI59" i="41"/>
  <c r="AL138" i="55" s="1"/>
  <c r="AE121" i="39"/>
  <c r="AH100" i="55" s="1"/>
  <c r="AE122" i="39"/>
  <c r="AH101" i="55" s="1"/>
  <c r="AE37" i="39"/>
  <c r="AE38" i="39" s="1"/>
  <c r="AH79" i="55" s="1"/>
  <c r="O121" i="39"/>
  <c r="R100" i="55" s="1"/>
  <c r="O122" i="39"/>
  <c r="R101" i="55" s="1"/>
  <c r="O37" i="39"/>
  <c r="O38" i="39" s="1"/>
  <c r="R79" i="55" s="1"/>
  <c r="X37" i="41"/>
  <c r="AA135" i="55" s="1"/>
  <c r="AM134" i="55"/>
  <c r="G134" i="55"/>
  <c r="T57" i="35"/>
  <c r="T10" i="35" s="1"/>
  <c r="AG10" i="30"/>
  <c r="N9" i="30"/>
  <c r="H58" i="41"/>
  <c r="AC35" i="52"/>
  <c r="F44" i="55"/>
  <c r="Q123" i="39"/>
  <c r="T102" i="55" s="1"/>
  <c r="Q57" i="39"/>
  <c r="Q58" i="39" s="1"/>
  <c r="T84" i="55" s="1"/>
  <c r="F36" i="55"/>
  <c r="F10" i="55"/>
  <c r="E7" i="33"/>
  <c r="F7" i="33" s="1"/>
  <c r="G11" i="55" s="1"/>
  <c r="AF10" i="30"/>
  <c r="L35" i="52"/>
  <c r="F50" i="33"/>
  <c r="G50" i="33" s="1"/>
  <c r="Z137" i="55"/>
  <c r="AG9" i="41"/>
  <c r="Y11" i="41"/>
  <c r="Y16" i="40"/>
  <c r="Y17" i="40" s="1"/>
  <c r="Y18" i="40" s="1"/>
  <c r="AB108" i="55" s="1"/>
  <c r="Y12" i="39"/>
  <c r="Y13" i="39" s="1"/>
  <c r="Y14" i="39" s="1"/>
  <c r="AB73" i="55" s="1"/>
  <c r="S58" i="35"/>
  <c r="F58" i="35"/>
  <c r="I9" i="30"/>
  <c r="T8" i="41"/>
  <c r="AD11" i="52"/>
  <c r="AC11" i="41"/>
  <c r="AC16" i="40"/>
  <c r="AC17" i="40" s="1"/>
  <c r="AC18" i="40" s="1"/>
  <c r="AF108" i="55" s="1"/>
  <c r="AC12" i="39"/>
  <c r="AC13" i="39" s="1"/>
  <c r="AC14" i="39" s="1"/>
  <c r="AF73" i="55" s="1"/>
  <c r="C39" i="24"/>
  <c r="C31" i="24"/>
  <c r="C23" i="24"/>
  <c r="C15" i="24"/>
  <c r="C9" i="24"/>
  <c r="E9" i="24" s="1"/>
  <c r="C43" i="24"/>
  <c r="C27" i="24"/>
  <c r="C38" i="24"/>
  <c r="C30" i="24"/>
  <c r="C42" i="24"/>
  <c r="C34" i="24"/>
  <c r="C26" i="24"/>
  <c r="C18" i="24"/>
  <c r="C10" i="24"/>
  <c r="C37" i="24"/>
  <c r="C29" i="24"/>
  <c r="C21" i="24"/>
  <c r="C13" i="24"/>
  <c r="C19" i="24"/>
  <c r="C22" i="24"/>
  <c r="C40" i="24"/>
  <c r="C32" i="24"/>
  <c r="C24" i="24"/>
  <c r="C16" i="24"/>
  <c r="C35" i="24"/>
  <c r="C11" i="24"/>
  <c r="C41" i="24"/>
  <c r="C33" i="24"/>
  <c r="C25" i="24"/>
  <c r="C17" i="24"/>
  <c r="C28" i="24"/>
  <c r="C20" i="24"/>
  <c r="C12" i="24"/>
  <c r="C36" i="24"/>
  <c r="C14" i="24"/>
  <c r="H32" i="55"/>
  <c r="F6" i="55"/>
  <c r="AG83" i="30"/>
  <c r="AG82" i="30"/>
  <c r="C101" i="39"/>
  <c r="B100" i="39"/>
  <c r="B39" i="41"/>
  <c r="L17" i="52"/>
  <c r="W12" i="32"/>
  <c r="Y8" i="52"/>
  <c r="AI74" i="55"/>
  <c r="AI138" i="55"/>
  <c r="U57" i="39"/>
  <c r="U58" i="39" s="1"/>
  <c r="X84" i="55" s="1"/>
  <c r="U123" i="39"/>
  <c r="X102" i="55" s="1"/>
  <c r="E57" i="39"/>
  <c r="E58" i="39" s="1"/>
  <c r="H84" i="55" s="1"/>
  <c r="E123" i="39"/>
  <c r="H102" i="55" s="1"/>
  <c r="C53" i="39"/>
  <c r="B52" i="39"/>
  <c r="R134" i="55"/>
  <c r="AD12" i="32"/>
  <c r="AF8" i="52"/>
  <c r="I106" i="55"/>
  <c r="B33" i="41"/>
  <c r="F23" i="55"/>
  <c r="J44" i="33"/>
  <c r="K23" i="55" s="1"/>
  <c r="T10" i="30"/>
  <c r="N137" i="55"/>
  <c r="T50" i="32"/>
  <c r="C53" i="40"/>
  <c r="C54" i="40" s="1"/>
  <c r="B52" i="40"/>
  <c r="AJ21" i="32"/>
  <c r="AN134" i="55"/>
  <c r="AI10" i="30"/>
  <c r="B88" i="40"/>
  <c r="C89" i="40"/>
  <c r="O35" i="52"/>
  <c r="AA57" i="39"/>
  <c r="AA58" i="39" s="1"/>
  <c r="AD84" i="55" s="1"/>
  <c r="AA123" i="39"/>
  <c r="AD102" i="55" s="1"/>
  <c r="K57" i="39"/>
  <c r="K58" i="39" s="1"/>
  <c r="N84" i="55" s="1"/>
  <c r="K123" i="39"/>
  <c r="N102" i="55" s="1"/>
  <c r="J24" i="52"/>
  <c r="AN138" i="55"/>
  <c r="X138" i="55"/>
  <c r="H138" i="55"/>
  <c r="AJ137" i="55"/>
  <c r="Z123" i="39"/>
  <c r="AC102" i="55" s="1"/>
  <c r="Z57" i="39"/>
  <c r="Z58" i="39" s="1"/>
  <c r="AC84" i="55" s="1"/>
  <c r="AD42" i="41"/>
  <c r="F25" i="55"/>
  <c r="AG56" i="35"/>
  <c r="Y56" i="35"/>
  <c r="Q56" i="35"/>
  <c r="I56" i="35"/>
  <c r="I54" i="35" s="1"/>
  <c r="I9" i="35" s="1"/>
  <c r="AF56" i="35"/>
  <c r="X56" i="35"/>
  <c r="P56" i="35"/>
  <c r="H56" i="35"/>
  <c r="AE56" i="35"/>
  <c r="W56" i="35"/>
  <c r="O56" i="35"/>
  <c r="G56" i="35"/>
  <c r="AD56" i="35"/>
  <c r="V56" i="35"/>
  <c r="N56" i="35"/>
  <c r="F56" i="35"/>
  <c r="AK56" i="35"/>
  <c r="AC56" i="35"/>
  <c r="U56" i="35"/>
  <c r="M56" i="35"/>
  <c r="M54" i="35" s="1"/>
  <c r="M9" i="35" s="1"/>
  <c r="E56" i="35"/>
  <c r="AI56" i="35"/>
  <c r="AA56" i="35"/>
  <c r="S56" i="35"/>
  <c r="K56" i="35"/>
  <c r="C56" i="35"/>
  <c r="AH56" i="35"/>
  <c r="Z56" i="35"/>
  <c r="R56" i="35"/>
  <c r="J56" i="35"/>
  <c r="J54" i="35" s="1"/>
  <c r="J9" i="35" s="1"/>
  <c r="T56" i="35"/>
  <c r="L56" i="35"/>
  <c r="D56" i="35"/>
  <c r="AJ56" i="35"/>
  <c r="AB56" i="35"/>
  <c r="Y10" i="30"/>
  <c r="N57" i="41"/>
  <c r="Q138" i="55" s="1"/>
  <c r="C30" i="52"/>
  <c r="AD122" i="39"/>
  <c r="AG101" i="55" s="1"/>
  <c r="AD121" i="39"/>
  <c r="AG100" i="55" s="1"/>
  <c r="AD37" i="39"/>
  <c r="AD38" i="39" s="1"/>
  <c r="AG79" i="55" s="1"/>
  <c r="N122" i="39"/>
  <c r="Q101" i="55" s="1"/>
  <c r="N121" i="39"/>
  <c r="Q100" i="55" s="1"/>
  <c r="N37" i="39"/>
  <c r="N38" i="39" s="1"/>
  <c r="Q79" i="55" s="1"/>
  <c r="AD134" i="55"/>
  <c r="AH82" i="35"/>
  <c r="AJ35" i="52"/>
  <c r="N138" i="55"/>
  <c r="J137" i="55"/>
  <c r="AK134" i="55"/>
  <c r="X13" i="32"/>
  <c r="X46" i="30" s="1"/>
  <c r="X12" i="32"/>
  <c r="U58" i="35"/>
  <c r="N58" i="35"/>
  <c r="V13" i="32"/>
  <c r="V46" i="30" s="1"/>
  <c r="AB13" i="32"/>
  <c r="AB46" i="30" s="1"/>
  <c r="AB12" i="32"/>
  <c r="I9" i="24"/>
  <c r="F38" i="55"/>
  <c r="T17" i="41"/>
  <c r="AJ11" i="41"/>
  <c r="AJ16" i="40"/>
  <c r="AJ17" i="40" s="1"/>
  <c r="AJ18" i="40" s="1"/>
  <c r="AM108" i="55" s="1"/>
  <c r="AJ12" i="39"/>
  <c r="AJ13" i="39" s="1"/>
  <c r="AJ14" i="39" s="1"/>
  <c r="AM73" i="55" s="1"/>
  <c r="R14" i="45"/>
  <c r="AB138" i="55"/>
  <c r="L138" i="55"/>
  <c r="B60" i="39"/>
  <c r="C61" i="39"/>
  <c r="V57" i="39"/>
  <c r="V58" i="39" s="1"/>
  <c r="Y84" i="55" s="1"/>
  <c r="V123" i="39"/>
  <c r="Y102" i="55" s="1"/>
  <c r="F35" i="55"/>
  <c r="E36" i="33"/>
  <c r="O12" i="32"/>
  <c r="O13" i="32"/>
  <c r="O46" i="30" s="1"/>
  <c r="AF121" i="39"/>
  <c r="AI100" i="55" s="1"/>
  <c r="AF122" i="39"/>
  <c r="AI101" i="55" s="1"/>
  <c r="AF37" i="39"/>
  <c r="AF38" i="39" s="1"/>
  <c r="AI79" i="55" s="1"/>
  <c r="P121" i="39"/>
  <c r="S100" i="55" s="1"/>
  <c r="P122" i="39"/>
  <c r="S101" i="55" s="1"/>
  <c r="P37" i="39"/>
  <c r="P38" i="39" s="1"/>
  <c r="S79" i="55" s="1"/>
  <c r="AF82" i="30"/>
  <c r="AF83" i="30"/>
  <c r="N12" i="32"/>
  <c r="P8" i="52"/>
  <c r="AE106" i="55"/>
  <c r="X106" i="55"/>
  <c r="O8" i="40"/>
  <c r="O9" i="40" s="1"/>
  <c r="O10" i="40" s="1"/>
  <c r="P8" i="40"/>
  <c r="P9" i="40" s="1"/>
  <c r="P10" i="40" s="1"/>
  <c r="L44" i="33"/>
  <c r="M23" i="55" s="1"/>
  <c r="AA9" i="41"/>
  <c r="L10" i="30"/>
  <c r="AD137" i="55"/>
  <c r="AB57" i="39"/>
  <c r="AB58" i="39" s="1"/>
  <c r="AE84" i="55" s="1"/>
  <c r="AB123" i="39"/>
  <c r="AE102" i="55" s="1"/>
  <c r="L57" i="39"/>
  <c r="L58" i="39" s="1"/>
  <c r="O84" i="55" s="1"/>
  <c r="L123" i="39"/>
  <c r="O102" i="55" s="1"/>
  <c r="L50" i="32"/>
  <c r="B41" i="41"/>
  <c r="I134" i="55"/>
  <c r="AI13" i="32"/>
  <c r="AI46" i="30" s="1"/>
  <c r="L9" i="41"/>
  <c r="AA10" i="30"/>
  <c r="B56" i="41"/>
  <c r="Y138" i="55"/>
  <c r="AG43" i="41"/>
  <c r="AB9" i="41"/>
  <c r="AH10" i="30"/>
  <c r="O57" i="41"/>
  <c r="R138" i="55" s="1"/>
  <c r="T137" i="55"/>
  <c r="J123" i="39"/>
  <c r="M102" i="55" s="1"/>
  <c r="J57" i="39"/>
  <c r="J58" i="39" s="1"/>
  <c r="M84" i="55" s="1"/>
  <c r="F42" i="41"/>
  <c r="AE134" i="55"/>
  <c r="AC18" i="52"/>
  <c r="AB18" i="41"/>
  <c r="AJ83" i="30"/>
  <c r="AJ82" i="30"/>
  <c r="Q10" i="30"/>
  <c r="X58" i="41"/>
  <c r="AA138" i="55" s="1"/>
  <c r="M35" i="52"/>
  <c r="AC42" i="41"/>
  <c r="R78" i="35"/>
  <c r="N78" i="35"/>
  <c r="E78" i="35"/>
  <c r="I11" i="41"/>
  <c r="I16" i="40"/>
  <c r="I17" i="40" s="1"/>
  <c r="I18" i="40" s="1"/>
  <c r="L108" i="55" s="1"/>
  <c r="I12" i="39"/>
  <c r="I13" i="39" s="1"/>
  <c r="I14" i="39" s="1"/>
  <c r="L73" i="55" s="1"/>
  <c r="AC58" i="35"/>
  <c r="AI58" i="35"/>
  <c r="V58" i="35"/>
  <c r="Z58" i="35"/>
  <c r="X8" i="52"/>
  <c r="AL11" i="52"/>
  <c r="AK11" i="41"/>
  <c r="AK16" i="40"/>
  <c r="AK17" i="40" s="1"/>
  <c r="AK18" i="40" s="1"/>
  <c r="AN108" i="55" s="1"/>
  <c r="AK12" i="39"/>
  <c r="AK13" i="39" s="1"/>
  <c r="AK14" i="39" s="1"/>
  <c r="AN73" i="55" s="1"/>
  <c r="F11" i="52"/>
  <c r="E11" i="41"/>
  <c r="E16" i="40"/>
  <c r="E17" i="40" s="1"/>
  <c r="E18" i="40" s="1"/>
  <c r="H108" i="55" s="1"/>
  <c r="E12" i="39"/>
  <c r="E13" i="39" s="1"/>
  <c r="E14" i="39" s="1"/>
  <c r="H73" i="55" s="1"/>
  <c r="D8" i="41"/>
  <c r="C13" i="39"/>
  <c r="R61" i="45"/>
  <c r="R10" i="45"/>
  <c r="S83" i="30"/>
  <c r="S82" i="30"/>
  <c r="AC138" i="55"/>
  <c r="M138" i="55"/>
  <c r="C73" i="39"/>
  <c r="B72" i="39"/>
  <c r="AJ122" i="39"/>
  <c r="AM101" i="55" s="1"/>
  <c r="AJ121" i="39"/>
  <c r="AM100" i="55" s="1"/>
  <c r="AJ37" i="39"/>
  <c r="AJ38" i="39" s="1"/>
  <c r="AM79" i="55" s="1"/>
  <c r="T122" i="39"/>
  <c r="W101" i="55" s="1"/>
  <c r="T121" i="39"/>
  <c r="W100" i="55" s="1"/>
  <c r="T37" i="39"/>
  <c r="T38" i="39" s="1"/>
  <c r="W79" i="55" s="1"/>
  <c r="D122" i="39"/>
  <c r="G101" i="55" s="1"/>
  <c r="D121" i="39"/>
  <c r="G100" i="55" s="1"/>
  <c r="D37" i="39"/>
  <c r="D38" i="39" s="1"/>
  <c r="G79" i="55" s="1"/>
  <c r="AB11" i="41"/>
  <c r="AB16" i="40"/>
  <c r="AB17" i="40" s="1"/>
  <c r="AB18" i="40" s="1"/>
  <c r="AE108" i="55" s="1"/>
  <c r="AB12" i="39"/>
  <c r="AB13" i="39" s="1"/>
  <c r="AB14" i="39" s="1"/>
  <c r="AE73" i="55" s="1"/>
  <c r="B32" i="39"/>
  <c r="C17" i="36"/>
  <c r="F51" i="55"/>
  <c r="B60" i="40"/>
  <c r="C61" i="40"/>
  <c r="F57" i="39"/>
  <c r="F58" i="39" s="1"/>
  <c r="I84" i="55" s="1"/>
  <c r="F123" i="39"/>
  <c r="I102" i="55" s="1"/>
  <c r="AD50" i="32"/>
  <c r="AA122" i="39"/>
  <c r="AD101" i="55" s="1"/>
  <c r="AA121" i="39"/>
  <c r="AD100" i="55" s="1"/>
  <c r="AA37" i="39"/>
  <c r="AA38" i="39" s="1"/>
  <c r="AD79" i="55" s="1"/>
  <c r="K122" i="39"/>
  <c r="N101" i="55" s="1"/>
  <c r="K121" i="39"/>
  <c r="N100" i="55" s="1"/>
  <c r="K37" i="39"/>
  <c r="K38" i="39" s="1"/>
  <c r="N79" i="55" s="1"/>
  <c r="G12" i="32"/>
  <c r="G13" i="32"/>
  <c r="G46" i="30" s="1"/>
  <c r="C21" i="40"/>
  <c r="F56" i="55"/>
  <c r="F40" i="55"/>
  <c r="F12" i="32"/>
  <c r="F13" i="32"/>
  <c r="F46" i="30" s="1"/>
  <c r="AM106" i="55"/>
  <c r="AF106" i="55"/>
  <c r="Z106" i="55"/>
  <c r="X8" i="40"/>
  <c r="X9" i="40" s="1"/>
  <c r="X10" i="40" s="1"/>
  <c r="H134" i="55"/>
  <c r="D10" i="30"/>
  <c r="B104" i="39"/>
  <c r="C105" i="39"/>
  <c r="B68" i="39"/>
  <c r="C69" i="39"/>
  <c r="D50" i="32"/>
  <c r="F37" i="55"/>
  <c r="S13" i="32"/>
  <c r="S46" i="30" s="1"/>
  <c r="Q43" i="41"/>
  <c r="P134" i="55"/>
  <c r="AK8" i="52"/>
  <c r="S10" i="30"/>
  <c r="AB59" i="41"/>
  <c r="AE138" i="55" s="1"/>
  <c r="AH58" i="41"/>
  <c r="P57" i="41"/>
  <c r="F50" i="55"/>
  <c r="AC137" i="55"/>
  <c r="K31" i="52"/>
  <c r="Z10" i="30"/>
  <c r="AA59" i="41"/>
  <c r="AD138" i="55" s="1"/>
  <c r="C109" i="39"/>
  <c r="B108" i="39"/>
  <c r="AG58" i="41"/>
  <c r="AJ138" i="55" s="1"/>
  <c r="B76" i="39"/>
  <c r="C77" i="39"/>
  <c r="P37" i="41"/>
  <c r="S135" i="55" s="1"/>
  <c r="F22" i="55"/>
  <c r="U8" i="52"/>
  <c r="I10" i="30"/>
  <c r="AH59" i="41"/>
  <c r="AD57" i="41"/>
  <c r="AG138" i="55" s="1"/>
  <c r="AK35" i="52"/>
  <c r="W138" i="55"/>
  <c r="AI137" i="55"/>
  <c r="S137" i="55"/>
  <c r="Y123" i="39"/>
  <c r="AB102" i="55" s="1"/>
  <c r="Y57" i="39"/>
  <c r="Y58" i="39" s="1"/>
  <c r="AB84" i="55" s="1"/>
  <c r="E42" i="41"/>
  <c r="V134" i="55"/>
  <c r="V11" i="41"/>
  <c r="V16" i="40"/>
  <c r="V17" i="40" s="1"/>
  <c r="V18" i="40" s="1"/>
  <c r="Y108" i="55" s="1"/>
  <c r="V12" i="39"/>
  <c r="V13" i="39" s="1"/>
  <c r="V14" i="39" s="1"/>
  <c r="Y73" i="55" s="1"/>
  <c r="AD82" i="35"/>
  <c r="K82" i="35"/>
  <c r="AG72" i="35"/>
  <c r="Y72" i="35"/>
  <c r="Q72" i="35"/>
  <c r="I72" i="35"/>
  <c r="AF72" i="35"/>
  <c r="X72" i="35"/>
  <c r="P72" i="35"/>
  <c r="H72" i="35"/>
  <c r="AE72" i="35"/>
  <c r="W72" i="35"/>
  <c r="O72" i="35"/>
  <c r="G72" i="35"/>
  <c r="AD72" i="35"/>
  <c r="V72" i="35"/>
  <c r="N72" i="35"/>
  <c r="F72" i="35"/>
  <c r="AK72" i="35"/>
  <c r="AC72" i="35"/>
  <c r="U72" i="35"/>
  <c r="M72" i="35"/>
  <c r="E72" i="35"/>
  <c r="AI72" i="35"/>
  <c r="AA72" i="35"/>
  <c r="S72" i="35"/>
  <c r="K72" i="35"/>
  <c r="C72" i="35"/>
  <c r="AH72" i="35"/>
  <c r="Z72" i="35"/>
  <c r="R72" i="35"/>
  <c r="J72" i="35"/>
  <c r="AJ72" i="35"/>
  <c r="AB72" i="35"/>
  <c r="T72" i="35"/>
  <c r="L72" i="35"/>
  <c r="D72" i="35"/>
  <c r="H10" i="30"/>
  <c r="C93" i="39"/>
  <c r="B92" i="39"/>
  <c r="AH137" i="55"/>
  <c r="X123" i="39"/>
  <c r="AA102" i="55" s="1"/>
  <c r="X57" i="39"/>
  <c r="X58" i="39" s="1"/>
  <c r="AA84" i="55" s="1"/>
  <c r="H123" i="39"/>
  <c r="K102" i="55" s="1"/>
  <c r="H57" i="39"/>
  <c r="H58" i="39" s="1"/>
  <c r="K84" i="55" s="1"/>
  <c r="AC122" i="39"/>
  <c r="AF101" i="55" s="1"/>
  <c r="AC121" i="39"/>
  <c r="AF100" i="55" s="1"/>
  <c r="AC37" i="39"/>
  <c r="AC38" i="39" s="1"/>
  <c r="AF79" i="55" s="1"/>
  <c r="M122" i="39"/>
  <c r="P101" i="55" s="1"/>
  <c r="M121" i="39"/>
  <c r="P100" i="55" s="1"/>
  <c r="M37" i="39"/>
  <c r="M38" i="39" s="1"/>
  <c r="P79" i="55" s="1"/>
  <c r="H34" i="33"/>
  <c r="AC134" i="55"/>
  <c r="Y9" i="41"/>
  <c r="AG11" i="41"/>
  <c r="AG16" i="40"/>
  <c r="AG17" i="40" s="1"/>
  <c r="AG18" i="40" s="1"/>
  <c r="AJ108" i="55" s="1"/>
  <c r="AG12" i="39"/>
  <c r="AG13" i="39" s="1"/>
  <c r="AG14" i="39" s="1"/>
  <c r="AJ73" i="55" s="1"/>
  <c r="H12" i="32"/>
  <c r="J8" i="52"/>
  <c r="AK58" i="35"/>
  <c r="D58" i="35"/>
  <c r="AD58" i="35"/>
  <c r="AH58" i="35"/>
  <c r="O8" i="52"/>
  <c r="V8" i="41"/>
  <c r="AL8" i="52"/>
  <c r="AJ12" i="32"/>
  <c r="F8" i="52"/>
  <c r="D12" i="32"/>
  <c r="N21" i="32"/>
  <c r="C17" i="40"/>
  <c r="R44" i="24"/>
  <c r="D41" i="28"/>
  <c r="D45" i="28"/>
  <c r="D46" i="28"/>
  <c r="E24" i="37"/>
  <c r="G9" i="28"/>
  <c r="G20" i="28" s="1"/>
  <c r="F11" i="28"/>
  <c r="F13" i="28"/>
  <c r="F14" i="28"/>
  <c r="E37" i="28"/>
  <c r="D44" i="28"/>
  <c r="D47" i="28"/>
  <c r="D43" i="28"/>
  <c r="F15" i="28"/>
  <c r="F12" i="28"/>
  <c r="D39" i="28"/>
  <c r="F18" i="28"/>
  <c r="F16" i="28"/>
  <c r="D42" i="28"/>
  <c r="H13" i="47"/>
  <c r="F38" i="66" s="1"/>
  <c r="E4" i="37"/>
  <c r="I14" i="47"/>
  <c r="D9" i="26"/>
  <c r="E10" i="62"/>
  <c r="D40" i="28"/>
  <c r="E31" i="50" l="1"/>
  <c r="E26" i="28"/>
  <c r="H58" i="28"/>
  <c r="G25" i="55"/>
  <c r="G41" i="33"/>
  <c r="E15" i="50"/>
  <c r="P54" i="35"/>
  <c r="P9" i="35" s="1"/>
  <c r="K54" i="35"/>
  <c r="K9" i="35" s="1"/>
  <c r="AA76" i="35"/>
  <c r="P76" i="35"/>
  <c r="D54" i="35"/>
  <c r="D9" i="35" s="1"/>
  <c r="AF39" i="45"/>
  <c r="Z54" i="35"/>
  <c r="Z9" i="35" s="1"/>
  <c r="R76" i="35"/>
  <c r="AA78" i="35"/>
  <c r="P78" i="35"/>
  <c r="E76" i="35"/>
  <c r="N8" i="39"/>
  <c r="N76" i="35"/>
  <c r="M15" i="32"/>
  <c r="Q54" i="35"/>
  <c r="Q9" i="35" s="1"/>
  <c r="T51" i="35"/>
  <c r="L8" i="39"/>
  <c r="L118" i="39" s="1"/>
  <c r="O97" i="55" s="1"/>
  <c r="E69" i="33"/>
  <c r="F59" i="55" s="1"/>
  <c r="E16" i="33"/>
  <c r="AB54" i="35"/>
  <c r="AB9" i="35" s="1"/>
  <c r="Y54" i="35"/>
  <c r="Y9" i="35" s="1"/>
  <c r="S54" i="35"/>
  <c r="S9" i="35" s="1"/>
  <c r="G70" i="35"/>
  <c r="X78" i="35"/>
  <c r="U78" i="35"/>
  <c r="D78" i="35"/>
  <c r="AD78" i="35"/>
  <c r="AF78" i="35"/>
  <c r="AH78" i="35"/>
  <c r="AI54" i="35"/>
  <c r="AI9" i="35" s="1"/>
  <c r="X54" i="35"/>
  <c r="X9" i="35" s="1"/>
  <c r="V78" i="35"/>
  <c r="AC78" i="35"/>
  <c r="L78" i="35"/>
  <c r="G78" i="35"/>
  <c r="I78" i="35"/>
  <c r="R54" i="35"/>
  <c r="R9" i="35" s="1"/>
  <c r="AI78" i="35"/>
  <c r="AK78" i="35"/>
  <c r="T78" i="35"/>
  <c r="O78" i="35"/>
  <c r="Q78" i="35"/>
  <c r="M78" i="35"/>
  <c r="N54" i="35"/>
  <c r="N9" i="35" s="1"/>
  <c r="AB78" i="35"/>
  <c r="W78" i="35"/>
  <c r="Y78" i="35"/>
  <c r="AH54" i="35"/>
  <c r="AH9" i="35" s="1"/>
  <c r="O54" i="35"/>
  <c r="O9" i="35" s="1"/>
  <c r="C78" i="35"/>
  <c r="K78" i="35"/>
  <c r="AJ78" i="35"/>
  <c r="AE78" i="35"/>
  <c r="AG78" i="35"/>
  <c r="AC54" i="35"/>
  <c r="AC9" i="35" s="1"/>
  <c r="Z78" i="35"/>
  <c r="S78" i="35"/>
  <c r="F78" i="35"/>
  <c r="H78" i="35"/>
  <c r="AE54" i="35"/>
  <c r="AE9" i="35" s="1"/>
  <c r="E34" i="50"/>
  <c r="AC58" i="40"/>
  <c r="AF118" i="55" s="1"/>
  <c r="H22" i="36"/>
  <c r="H180" i="55" s="1"/>
  <c r="V20" i="40"/>
  <c r="V21" i="40" s="1"/>
  <c r="V22" i="40" s="1"/>
  <c r="Y109" i="55" s="1"/>
  <c r="G49" i="55"/>
  <c r="G48" i="55" s="1"/>
  <c r="E18" i="33"/>
  <c r="F17" i="55" s="1"/>
  <c r="I14" i="52"/>
  <c r="C16" i="41"/>
  <c r="AI39" i="45"/>
  <c r="AR40" i="45"/>
  <c r="K15" i="32"/>
  <c r="T58" i="40"/>
  <c r="W118" i="55" s="1"/>
  <c r="K16" i="32"/>
  <c r="L13" i="41" s="1"/>
  <c r="U58" i="40"/>
  <c r="X118" i="55" s="1"/>
  <c r="M16" i="32"/>
  <c r="I24" i="55"/>
  <c r="S52" i="35"/>
  <c r="AB58" i="40"/>
  <c r="AE118" i="55" s="1"/>
  <c r="W54" i="35"/>
  <c r="W9" i="35" s="1"/>
  <c r="AD82" i="30"/>
  <c r="AE80" i="35" s="1"/>
  <c r="F58" i="40"/>
  <c r="I118" i="55" s="1"/>
  <c r="L58" i="40"/>
  <c r="O118" i="55" s="1"/>
  <c r="AA54" i="35"/>
  <c r="AA9" i="35" s="1"/>
  <c r="V54" i="35"/>
  <c r="V9" i="35" s="1"/>
  <c r="AC83" i="30"/>
  <c r="AT68" i="45" s="1"/>
  <c r="AD58" i="40"/>
  <c r="AG118" i="55" s="1"/>
  <c r="AF58" i="40"/>
  <c r="AI118" i="55" s="1"/>
  <c r="F9" i="33"/>
  <c r="G12" i="55" s="1"/>
  <c r="I58" i="40"/>
  <c r="L118" i="55" s="1"/>
  <c r="N58" i="40"/>
  <c r="Q118" i="55" s="1"/>
  <c r="T54" i="35"/>
  <c r="T9" i="35" s="1"/>
  <c r="AC82" i="30"/>
  <c r="AD80" i="35" s="1"/>
  <c r="E54" i="35"/>
  <c r="E9" i="35" s="1"/>
  <c r="AF54" i="35"/>
  <c r="AF9" i="35" s="1"/>
  <c r="K58" i="40"/>
  <c r="N118" i="55" s="1"/>
  <c r="Q68" i="35"/>
  <c r="L68" i="35"/>
  <c r="AK68" i="35"/>
  <c r="AE68" i="35"/>
  <c r="Y68" i="35"/>
  <c r="T68" i="35"/>
  <c r="F68" i="35"/>
  <c r="H68" i="35"/>
  <c r="J16" i="41"/>
  <c r="S68" i="35"/>
  <c r="AG68" i="35"/>
  <c r="AB68" i="35"/>
  <c r="N68" i="35"/>
  <c r="P68" i="35"/>
  <c r="AA68" i="35"/>
  <c r="J68" i="35"/>
  <c r="AJ68" i="35"/>
  <c r="V68" i="35"/>
  <c r="X68" i="35"/>
  <c r="AD54" i="35"/>
  <c r="AD9" i="35" s="1"/>
  <c r="AI68" i="35"/>
  <c r="R68" i="35"/>
  <c r="E68" i="35"/>
  <c r="AD68" i="35"/>
  <c r="AF68" i="35"/>
  <c r="J58" i="40"/>
  <c r="M118" i="55" s="1"/>
  <c r="K68" i="35"/>
  <c r="AH68" i="35"/>
  <c r="U68" i="35"/>
  <c r="J80" i="35"/>
  <c r="V21" i="32"/>
  <c r="V51" i="30"/>
  <c r="W51" i="35" s="1"/>
  <c r="V52" i="30"/>
  <c r="AM40" i="45" s="1"/>
  <c r="W127" i="39"/>
  <c r="U54" i="35"/>
  <c r="U9" i="35" s="1"/>
  <c r="AD76" i="35"/>
  <c r="X52" i="30"/>
  <c r="AO40" i="45" s="1"/>
  <c r="X51" i="30"/>
  <c r="AO39" i="45" s="1"/>
  <c r="Y127" i="39"/>
  <c r="H58" i="40"/>
  <c r="K118" i="55" s="1"/>
  <c r="AC76" i="35"/>
  <c r="L76" i="35"/>
  <c r="G76" i="35"/>
  <c r="I76" i="35"/>
  <c r="Y58" i="40"/>
  <c r="AB118" i="55" s="1"/>
  <c r="Z58" i="40"/>
  <c r="AC118" i="55" s="1"/>
  <c r="W58" i="40"/>
  <c r="Z118" i="55" s="1"/>
  <c r="G49" i="33"/>
  <c r="H49" i="33" s="1"/>
  <c r="I45" i="55" s="1"/>
  <c r="P52" i="35"/>
  <c r="AG52" i="30"/>
  <c r="AX40" i="45" s="1"/>
  <c r="AG51" i="30"/>
  <c r="AH51" i="35" s="1"/>
  <c r="AH127" i="39"/>
  <c r="Y15" i="52"/>
  <c r="Y14" i="52" s="1"/>
  <c r="Q20" i="40"/>
  <c r="Q21" i="40" s="1"/>
  <c r="Q22" i="40" s="1"/>
  <c r="T109" i="55" s="1"/>
  <c r="P52" i="30"/>
  <c r="Q52" i="35" s="1"/>
  <c r="P51" i="30"/>
  <c r="AG39" i="45" s="1"/>
  <c r="Q127" i="39"/>
  <c r="X15" i="41"/>
  <c r="AI58" i="40"/>
  <c r="AL118" i="55" s="1"/>
  <c r="AG58" i="40"/>
  <c r="AJ118" i="55" s="1"/>
  <c r="D58" i="40"/>
  <c r="G118" i="55" s="1"/>
  <c r="V58" i="40"/>
  <c r="Y118" i="55" s="1"/>
  <c r="AA58" i="40"/>
  <c r="AD118" i="55" s="1"/>
  <c r="AV39" i="45"/>
  <c r="E58" i="40"/>
  <c r="H118" i="55" s="1"/>
  <c r="M76" i="35"/>
  <c r="AI76" i="35"/>
  <c r="V76" i="35"/>
  <c r="Z76" i="35"/>
  <c r="H49" i="55"/>
  <c r="AK54" i="35"/>
  <c r="AK9" i="35" s="1"/>
  <c r="X58" i="40"/>
  <c r="AA118" i="55" s="1"/>
  <c r="AK76" i="35"/>
  <c r="T76" i="35"/>
  <c r="O76" i="35"/>
  <c r="Q76" i="35"/>
  <c r="D51" i="35"/>
  <c r="R58" i="40"/>
  <c r="U118" i="55" s="1"/>
  <c r="Q58" i="40"/>
  <c r="T118" i="55" s="1"/>
  <c r="S40" i="45"/>
  <c r="T51" i="30"/>
  <c r="U51" i="35" s="1"/>
  <c r="T52" i="30"/>
  <c r="AK40" i="45" s="1"/>
  <c r="U127" i="39"/>
  <c r="O58" i="40"/>
  <c r="R118" i="55" s="1"/>
  <c r="AH76" i="35"/>
  <c r="AK58" i="40"/>
  <c r="AN118" i="55" s="1"/>
  <c r="L54" i="35"/>
  <c r="L9" i="35" s="1"/>
  <c r="F54" i="35"/>
  <c r="F9" i="35" s="1"/>
  <c r="H54" i="35"/>
  <c r="H9" i="35" s="1"/>
  <c r="AI70" i="35"/>
  <c r="C76" i="35"/>
  <c r="AB76" i="35"/>
  <c r="W76" i="35"/>
  <c r="Y76" i="35"/>
  <c r="AE82" i="35"/>
  <c r="AJ58" i="40"/>
  <c r="AM118" i="55" s="1"/>
  <c r="D76" i="35"/>
  <c r="G58" i="40"/>
  <c r="J118" i="55" s="1"/>
  <c r="N57" i="35"/>
  <c r="N10" i="35" s="1"/>
  <c r="Z70" i="35"/>
  <c r="E57" i="35"/>
  <c r="E10" i="35" s="1"/>
  <c r="K76" i="35"/>
  <c r="AJ76" i="35"/>
  <c r="AE76" i="35"/>
  <c r="AG76" i="35"/>
  <c r="AU69" i="45"/>
  <c r="R20" i="40"/>
  <c r="R21" i="40" s="1"/>
  <c r="R22" i="40" s="1"/>
  <c r="U109" i="55" s="1"/>
  <c r="Q52" i="30"/>
  <c r="AH40" i="45" s="1"/>
  <c r="Q51" i="30"/>
  <c r="R51" i="35" s="1"/>
  <c r="R127" i="39"/>
  <c r="AB51" i="30"/>
  <c r="AC51" i="35" s="1"/>
  <c r="AB52" i="30"/>
  <c r="AS40" i="45" s="1"/>
  <c r="AC127" i="39"/>
  <c r="F52" i="30"/>
  <c r="W40" i="45" s="1"/>
  <c r="F51" i="30"/>
  <c r="W39" i="45" s="1"/>
  <c r="G127" i="39"/>
  <c r="P58" i="40"/>
  <c r="S118" i="55" s="1"/>
  <c r="AE58" i="40"/>
  <c r="AH118" i="55" s="1"/>
  <c r="Y21" i="32"/>
  <c r="Y52" i="30"/>
  <c r="AP40" i="45" s="1"/>
  <c r="Y51" i="30"/>
  <c r="AP39" i="45" s="1"/>
  <c r="Z127" i="39"/>
  <c r="X76" i="35"/>
  <c r="L51" i="30"/>
  <c r="M51" i="35" s="1"/>
  <c r="L52" i="30"/>
  <c r="M52" i="35" s="1"/>
  <c r="M127" i="39"/>
  <c r="U76" i="35"/>
  <c r="AF76" i="35"/>
  <c r="U51" i="30"/>
  <c r="AL39" i="45" s="1"/>
  <c r="U52" i="30"/>
  <c r="V52" i="35" s="1"/>
  <c r="V127" i="39"/>
  <c r="AD51" i="30"/>
  <c r="AU39" i="45" s="1"/>
  <c r="AD52" i="30"/>
  <c r="AU40" i="45" s="1"/>
  <c r="AE127" i="39"/>
  <c r="M70" i="35"/>
  <c r="S76" i="35"/>
  <c r="F76" i="35"/>
  <c r="H76" i="35"/>
  <c r="AH58" i="40"/>
  <c r="AK118" i="55" s="1"/>
  <c r="S58" i="40"/>
  <c r="V118" i="55" s="1"/>
  <c r="L128" i="39"/>
  <c r="G54" i="35"/>
  <c r="G9" i="35" s="1"/>
  <c r="AJ54" i="35"/>
  <c r="AJ9" i="35" s="1"/>
  <c r="AB80" i="35"/>
  <c r="AK80" i="35"/>
  <c r="AI80" i="35"/>
  <c r="AA80" i="35"/>
  <c r="W80" i="35"/>
  <c r="U46" i="30"/>
  <c r="V46" i="35" s="1"/>
  <c r="K80" i="35"/>
  <c r="O80" i="35"/>
  <c r="V8" i="39"/>
  <c r="V9" i="39" s="1"/>
  <c r="V10" i="39" s="1"/>
  <c r="Y72" i="55" s="1"/>
  <c r="T80" i="35"/>
  <c r="AG54" i="35"/>
  <c r="AG9" i="35" s="1"/>
  <c r="P80" i="35"/>
  <c r="C54" i="35"/>
  <c r="C9" i="35" s="1"/>
  <c r="AH80" i="35"/>
  <c r="U15" i="32"/>
  <c r="AJ80" i="35"/>
  <c r="X80" i="35"/>
  <c r="J26" i="33"/>
  <c r="R57" i="35"/>
  <c r="R10" i="35" s="1"/>
  <c r="H25" i="55"/>
  <c r="H27" i="33"/>
  <c r="E32" i="28"/>
  <c r="E24" i="28"/>
  <c r="G24" i="33"/>
  <c r="H21" i="55" s="1"/>
  <c r="E31" i="28"/>
  <c r="AI16" i="41"/>
  <c r="D16" i="41"/>
  <c r="B46" i="30"/>
  <c r="B16" i="32"/>
  <c r="F16" i="41"/>
  <c r="E30" i="28"/>
  <c r="T16" i="41"/>
  <c r="E35" i="28"/>
  <c r="D25" i="28"/>
  <c r="E33" i="28"/>
  <c r="AF16" i="41"/>
  <c r="K16" i="41"/>
  <c r="E29" i="28"/>
  <c r="E27" i="28"/>
  <c r="AB16" i="41"/>
  <c r="M57" i="35"/>
  <c r="M10" i="35" s="1"/>
  <c r="E34" i="28"/>
  <c r="AJ16" i="41"/>
  <c r="P82" i="35"/>
  <c r="E28" i="28"/>
  <c r="S16" i="41"/>
  <c r="AA16" i="41"/>
  <c r="X16" i="41"/>
  <c r="V39" i="45"/>
  <c r="AG57" i="35"/>
  <c r="AG10" i="35" s="1"/>
  <c r="AB51" i="35"/>
  <c r="F21" i="52"/>
  <c r="E22" i="41"/>
  <c r="H131" i="55" s="1"/>
  <c r="E7" i="30"/>
  <c r="F41" i="30"/>
  <c r="E27" i="32"/>
  <c r="F41" i="35"/>
  <c r="F40" i="35" s="1"/>
  <c r="F7" i="35" s="1"/>
  <c r="V29" i="45"/>
  <c r="E24" i="39"/>
  <c r="E25" i="39" s="1"/>
  <c r="E26" i="39" s="1"/>
  <c r="H76" i="55" s="1"/>
  <c r="AF52" i="35"/>
  <c r="G19" i="55"/>
  <c r="I23" i="36"/>
  <c r="C51" i="35"/>
  <c r="AA39" i="45"/>
  <c r="AB40" i="45"/>
  <c r="L51" i="35"/>
  <c r="AY40" i="45"/>
  <c r="AJ51" i="35"/>
  <c r="F21" i="32"/>
  <c r="G18" i="41"/>
  <c r="AG21" i="32"/>
  <c r="AG19" i="32" s="1"/>
  <c r="Z16" i="39"/>
  <c r="Z17" i="39" s="1"/>
  <c r="Z18" i="39" s="1"/>
  <c r="AC74" i="55" s="1"/>
  <c r="P18" i="41"/>
  <c r="S129" i="55" s="1"/>
  <c r="AE20" i="40"/>
  <c r="AE21" i="40" s="1"/>
  <c r="AE22" i="40" s="1"/>
  <c r="AH109" i="55" s="1"/>
  <c r="AB18" i="52"/>
  <c r="AH16" i="39"/>
  <c r="AH17" i="39" s="1"/>
  <c r="AH18" i="39" s="1"/>
  <c r="AK74" i="55" s="1"/>
  <c r="V16" i="39"/>
  <c r="V17" i="39" s="1"/>
  <c r="V18" i="39" s="1"/>
  <c r="Y74" i="55" s="1"/>
  <c r="AC20" i="40"/>
  <c r="AC21" i="40" s="1"/>
  <c r="AC22" i="40" s="1"/>
  <c r="AF109" i="55" s="1"/>
  <c r="T18" i="52"/>
  <c r="AF15" i="41"/>
  <c r="AG15" i="52"/>
  <c r="AG14" i="52" s="1"/>
  <c r="Q17" i="52"/>
  <c r="Q14" i="52" s="1"/>
  <c r="U18" i="52"/>
  <c r="T18" i="41"/>
  <c r="R16" i="39"/>
  <c r="R17" i="39" s="1"/>
  <c r="R18" i="39" s="1"/>
  <c r="U74" i="55" s="1"/>
  <c r="Q16" i="39"/>
  <c r="Q17" i="39" s="1"/>
  <c r="Q18" i="39" s="1"/>
  <c r="T74" i="55" s="1"/>
  <c r="U20" i="40"/>
  <c r="U21" i="40" s="1"/>
  <c r="U22" i="40" s="1"/>
  <c r="X109" i="55" s="1"/>
  <c r="X52" i="35"/>
  <c r="X51" i="35"/>
  <c r="AJ17" i="41"/>
  <c r="P21" i="32"/>
  <c r="P19" i="32" s="1"/>
  <c r="Q128" i="39" s="1"/>
  <c r="AH20" i="40"/>
  <c r="AH21" i="40" s="1"/>
  <c r="AH22" i="40" s="1"/>
  <c r="AK109" i="55" s="1"/>
  <c r="U16" i="39"/>
  <c r="U17" i="39" s="1"/>
  <c r="U18" i="39" s="1"/>
  <c r="X74" i="55" s="1"/>
  <c r="Z20" i="40"/>
  <c r="Z21" i="40" s="1"/>
  <c r="Z22" i="40" s="1"/>
  <c r="AC109" i="55" s="1"/>
  <c r="AA40" i="45"/>
  <c r="AZ40" i="45"/>
  <c r="AA51" i="35"/>
  <c r="T21" i="32"/>
  <c r="T19" i="32" s="1"/>
  <c r="U128" i="39" s="1"/>
  <c r="L21" i="32"/>
  <c r="L19" i="32" s="1"/>
  <c r="M128" i="39" s="1"/>
  <c r="K17" i="41"/>
  <c r="AQ40" i="45"/>
  <c r="F17" i="41"/>
  <c r="G17" i="52"/>
  <c r="F18" i="41"/>
  <c r="D18" i="52"/>
  <c r="C18" i="41"/>
  <c r="E20" i="33"/>
  <c r="U70" i="35"/>
  <c r="Q70" i="35"/>
  <c r="L70" i="35"/>
  <c r="AK70" i="35"/>
  <c r="AE70" i="35"/>
  <c r="O70" i="35"/>
  <c r="AC70" i="35"/>
  <c r="L18" i="41"/>
  <c r="Y70" i="35"/>
  <c r="T70" i="35"/>
  <c r="F70" i="35"/>
  <c r="H70" i="35"/>
  <c r="T40" i="45"/>
  <c r="C70" i="35"/>
  <c r="K70" i="35"/>
  <c r="AG70" i="35"/>
  <c r="AB70" i="35"/>
  <c r="N70" i="35"/>
  <c r="P70" i="35"/>
  <c r="B24" i="40"/>
  <c r="C82" i="35"/>
  <c r="AH70" i="35"/>
  <c r="D70" i="35"/>
  <c r="S70" i="35"/>
  <c r="J70" i="35"/>
  <c r="AJ70" i="35"/>
  <c r="V70" i="35"/>
  <c r="X70" i="35"/>
  <c r="B82" i="30"/>
  <c r="C80" i="35" s="1"/>
  <c r="I70" i="35"/>
  <c r="W70" i="35"/>
  <c r="AA70" i="35"/>
  <c r="R70" i="35"/>
  <c r="E70" i="35"/>
  <c r="AD70" i="35"/>
  <c r="J57" i="35"/>
  <c r="J10" i="35" s="1"/>
  <c r="AE82" i="30"/>
  <c r="AF80" i="35" s="1"/>
  <c r="AC16" i="39"/>
  <c r="AC17" i="39" s="1"/>
  <c r="AC18" i="39" s="1"/>
  <c r="AF74" i="55" s="1"/>
  <c r="H74" i="32"/>
  <c r="I61" i="41" s="1"/>
  <c r="L139" i="55" s="1"/>
  <c r="I19" i="50"/>
  <c r="K129" i="55"/>
  <c r="AI17" i="41"/>
  <c r="AB21" i="32"/>
  <c r="AB19" i="32" s="1"/>
  <c r="AB17" i="41"/>
  <c r="AJ17" i="52"/>
  <c r="I80" i="35"/>
  <c r="F52" i="35"/>
  <c r="V40" i="45"/>
  <c r="G16" i="39"/>
  <c r="G17" i="39" s="1"/>
  <c r="G18" i="39" s="1"/>
  <c r="J74" i="55" s="1"/>
  <c r="G20" i="40"/>
  <c r="G21" i="40" s="1"/>
  <c r="G22" i="40" s="1"/>
  <c r="J109" i="55" s="1"/>
  <c r="L8" i="24"/>
  <c r="M8" i="24" s="1"/>
  <c r="G56" i="33"/>
  <c r="H56" i="33" s="1"/>
  <c r="H57" i="33"/>
  <c r="F8" i="24"/>
  <c r="I54" i="33"/>
  <c r="J54" i="33" s="1"/>
  <c r="K54" i="33" s="1"/>
  <c r="C51" i="28"/>
  <c r="C54" i="28" s="1"/>
  <c r="H55" i="33"/>
  <c r="T69" i="45"/>
  <c r="W69" i="45"/>
  <c r="AF69" i="45"/>
  <c r="AI51" i="35"/>
  <c r="V69" i="45"/>
  <c r="AI69" i="45"/>
  <c r="M16" i="39"/>
  <c r="M17" i="39" s="1"/>
  <c r="M18" i="39" s="1"/>
  <c r="P74" i="55" s="1"/>
  <c r="M20" i="40"/>
  <c r="M21" i="40" s="1"/>
  <c r="M22" i="40" s="1"/>
  <c r="P109" i="55" s="1"/>
  <c r="AB81" i="35"/>
  <c r="AR68" i="45"/>
  <c r="G30" i="33"/>
  <c r="H28" i="55" s="1"/>
  <c r="X21" i="32"/>
  <c r="AF82" i="35"/>
  <c r="AP69" i="45"/>
  <c r="L83" i="30"/>
  <c r="M81" i="35" s="1"/>
  <c r="S69" i="45"/>
  <c r="Y20" i="40"/>
  <c r="Y21" i="40" s="1"/>
  <c r="Y22" i="40" s="1"/>
  <c r="AB109" i="55" s="1"/>
  <c r="Y16" i="39"/>
  <c r="Y17" i="39" s="1"/>
  <c r="Y18" i="39" s="1"/>
  <c r="AB74" i="55" s="1"/>
  <c r="AS69" i="45"/>
  <c r="G82" i="30"/>
  <c r="H80" i="35" s="1"/>
  <c r="AK69" i="45"/>
  <c r="W16" i="39"/>
  <c r="W17" i="39" s="1"/>
  <c r="W18" i="39" s="1"/>
  <c r="Z74" i="55" s="1"/>
  <c r="W20" i="40"/>
  <c r="W21" i="40" s="1"/>
  <c r="W22" i="40" s="1"/>
  <c r="Z109" i="55" s="1"/>
  <c r="F16" i="33"/>
  <c r="G16" i="33" s="1"/>
  <c r="F22" i="33"/>
  <c r="H21" i="33"/>
  <c r="E42" i="28"/>
  <c r="E49" i="28"/>
  <c r="C44" i="24"/>
  <c r="L82" i="30"/>
  <c r="M80" i="35" s="1"/>
  <c r="F58" i="33"/>
  <c r="H82" i="35"/>
  <c r="AA74" i="32"/>
  <c r="AB92" i="40" s="1"/>
  <c r="AB93" i="40" s="1"/>
  <c r="AB94" i="40" s="1"/>
  <c r="S82" i="35"/>
  <c r="R83" i="30"/>
  <c r="AI68" i="45" s="1"/>
  <c r="Z82" i="35"/>
  <c r="F33" i="33"/>
  <c r="G35" i="33"/>
  <c r="H33" i="55" s="1"/>
  <c r="H31" i="55" s="1"/>
  <c r="G66" i="33"/>
  <c r="H56" i="55" s="1"/>
  <c r="G32" i="33"/>
  <c r="H30" i="55" s="1"/>
  <c r="J134" i="55"/>
  <c r="E134" i="55" s="1"/>
  <c r="H64" i="33"/>
  <c r="AB57" i="35"/>
  <c r="AB10" i="35" s="1"/>
  <c r="AF57" i="35"/>
  <c r="AF10" i="35" s="1"/>
  <c r="F82" i="30"/>
  <c r="G80" i="35" s="1"/>
  <c r="Y82" i="30"/>
  <c r="Z80" i="35" s="1"/>
  <c r="AC82" i="35"/>
  <c r="AI57" i="35"/>
  <c r="AI10" i="35" s="1"/>
  <c r="AE83" i="30"/>
  <c r="AV68" i="45" s="1"/>
  <c r="X69" i="45"/>
  <c r="R82" i="30"/>
  <c r="S80" i="35" s="1"/>
  <c r="O83" i="30"/>
  <c r="P81" i="35" s="1"/>
  <c r="AB82" i="30"/>
  <c r="AC80" i="35" s="1"/>
  <c r="AB83" i="30"/>
  <c r="AC81" i="35" s="1"/>
  <c r="D57" i="35"/>
  <c r="D10" i="35" s="1"/>
  <c r="AK57" i="35"/>
  <c r="AK10" i="35" s="1"/>
  <c r="Z57" i="35"/>
  <c r="Z10" i="35" s="1"/>
  <c r="AH57" i="35"/>
  <c r="AH10" i="35" s="1"/>
  <c r="N13" i="32"/>
  <c r="F83" i="30"/>
  <c r="E24" i="50"/>
  <c r="C25" i="52"/>
  <c r="C24" i="52"/>
  <c r="H62" i="33"/>
  <c r="I52" i="55" s="1"/>
  <c r="AG69" i="45"/>
  <c r="P82" i="30"/>
  <c r="Q80" i="35" s="1"/>
  <c r="Q82" i="35"/>
  <c r="I59" i="33"/>
  <c r="J49" i="55" s="1"/>
  <c r="I49" i="55"/>
  <c r="S57" i="35"/>
  <c r="S10" i="35" s="1"/>
  <c r="G82" i="35"/>
  <c r="H51" i="33"/>
  <c r="I47" i="55" s="1"/>
  <c r="K138" i="55"/>
  <c r="AC57" i="35"/>
  <c r="AC10" i="35" s="1"/>
  <c r="AO69" i="45"/>
  <c r="X82" i="30"/>
  <c r="Y80" i="35" s="1"/>
  <c r="X83" i="30"/>
  <c r="Y81" i="35" s="1"/>
  <c r="Y82" i="35"/>
  <c r="C18" i="35"/>
  <c r="C6" i="35" s="1"/>
  <c r="F38" i="50"/>
  <c r="F20" i="36" s="1"/>
  <c r="AJ13" i="32"/>
  <c r="AE13" i="32"/>
  <c r="R13" i="32"/>
  <c r="D18" i="35"/>
  <c r="D6" i="35" s="1"/>
  <c r="V57" i="35"/>
  <c r="V10" i="35" s="1"/>
  <c r="H13" i="32"/>
  <c r="AK138" i="55"/>
  <c r="C16" i="36"/>
  <c r="B17" i="53" s="1"/>
  <c r="E18" i="35"/>
  <c r="E6" i="35" s="1"/>
  <c r="D13" i="32"/>
  <c r="D46" i="30" s="1"/>
  <c r="W13" i="32"/>
  <c r="F57" i="35"/>
  <c r="F10" i="35" s="1"/>
  <c r="E13" i="32"/>
  <c r="F18" i="35"/>
  <c r="F6" i="35" s="1"/>
  <c r="R82" i="35"/>
  <c r="Q82" i="30"/>
  <c r="R80" i="35" s="1"/>
  <c r="AH69" i="45"/>
  <c r="Q83" i="30"/>
  <c r="U83" i="30"/>
  <c r="U82" i="30"/>
  <c r="AL69" i="45"/>
  <c r="V82" i="35"/>
  <c r="Z8" i="52"/>
  <c r="B42" i="41"/>
  <c r="AH14" i="40"/>
  <c r="AK107" i="55" s="1"/>
  <c r="AB23" i="30"/>
  <c r="AR11" i="45"/>
  <c r="AB23" i="35"/>
  <c r="R14" i="40"/>
  <c r="U107" i="55" s="1"/>
  <c r="R46" i="45"/>
  <c r="D83" i="30"/>
  <c r="D82" i="30"/>
  <c r="E82" i="35"/>
  <c r="U69" i="45"/>
  <c r="AG139" i="68"/>
  <c r="AH139" i="68" s="1"/>
  <c r="D82" i="35"/>
  <c r="T83" i="30"/>
  <c r="U81" i="35" s="1"/>
  <c r="AC28" i="30"/>
  <c r="AS16" i="45"/>
  <c r="AC28" i="35"/>
  <c r="D47" i="57"/>
  <c r="G23" i="36"/>
  <c r="H42" i="33"/>
  <c r="I40" i="55" s="1"/>
  <c r="H14" i="33"/>
  <c r="I10" i="55" s="1"/>
  <c r="I57" i="35"/>
  <c r="I10" i="35" s="1"/>
  <c r="R44" i="45"/>
  <c r="C82" i="30"/>
  <c r="D80" i="35" s="1"/>
  <c r="M82" i="35"/>
  <c r="AC69" i="45"/>
  <c r="B22" i="37"/>
  <c r="AA12" i="45"/>
  <c r="K24" i="30"/>
  <c r="I81" i="35"/>
  <c r="Y68" i="45"/>
  <c r="K83" i="30"/>
  <c r="K82" i="30"/>
  <c r="AB69" i="45"/>
  <c r="L82" i="35"/>
  <c r="L29" i="30"/>
  <c r="AB17" i="45"/>
  <c r="L29" i="35"/>
  <c r="AJ57" i="35"/>
  <c r="AJ10" i="35" s="1"/>
  <c r="Z14" i="40"/>
  <c r="AC107" i="55" s="1"/>
  <c r="G83" i="30"/>
  <c r="H81" i="35" s="1"/>
  <c r="AD67" i="45"/>
  <c r="M74" i="32"/>
  <c r="M15" i="30"/>
  <c r="T82" i="30"/>
  <c r="U80" i="35" s="1"/>
  <c r="H27" i="30"/>
  <c r="H27" i="35"/>
  <c r="X15" i="45"/>
  <c r="AI9" i="45"/>
  <c r="S21" i="30"/>
  <c r="S21" i="35"/>
  <c r="G31" i="55"/>
  <c r="D62" i="41"/>
  <c r="B62" i="41" s="1"/>
  <c r="N31" i="30"/>
  <c r="N31" i="35"/>
  <c r="AD19" i="45"/>
  <c r="H23" i="36"/>
  <c r="H38" i="33"/>
  <c r="I38" i="33" s="1"/>
  <c r="J38" i="33" s="1"/>
  <c r="K38" i="33" s="1"/>
  <c r="E82" i="30"/>
  <c r="V67" i="45" s="1"/>
  <c r="B10" i="41"/>
  <c r="AC13" i="32"/>
  <c r="C83" i="30"/>
  <c r="D81" i="35" s="1"/>
  <c r="H51" i="55"/>
  <c r="I7" i="50"/>
  <c r="E33" i="40"/>
  <c r="C29" i="37"/>
  <c r="D26" i="62"/>
  <c r="Q8" i="52"/>
  <c r="N35" i="30"/>
  <c r="AD23" i="45"/>
  <c r="N35" i="35"/>
  <c r="H133" i="55"/>
  <c r="B58" i="41"/>
  <c r="M32" i="30"/>
  <c r="AC20" i="45"/>
  <c r="M32" i="35"/>
  <c r="AD68" i="45"/>
  <c r="N81" i="35"/>
  <c r="B57" i="41"/>
  <c r="F82" i="35"/>
  <c r="U57" i="35"/>
  <c r="U10" i="35" s="1"/>
  <c r="C10" i="52"/>
  <c r="G151" i="55"/>
  <c r="J7" i="50"/>
  <c r="K9" i="50"/>
  <c r="F26" i="41"/>
  <c r="I133" i="55" s="1"/>
  <c r="G23" i="52"/>
  <c r="H27" i="50"/>
  <c r="G26" i="50"/>
  <c r="E83" i="30"/>
  <c r="V68" i="45" s="1"/>
  <c r="AA57" i="35"/>
  <c r="AA10" i="35" s="1"/>
  <c r="B9" i="41"/>
  <c r="F6" i="30"/>
  <c r="G19" i="30"/>
  <c r="F31" i="32"/>
  <c r="G19" i="35"/>
  <c r="G18" i="35" s="1"/>
  <c r="G6" i="35" s="1"/>
  <c r="W7" i="45"/>
  <c r="P30" i="30"/>
  <c r="P30" i="35"/>
  <c r="AF18" i="45"/>
  <c r="AD57" i="35"/>
  <c r="AD10" i="35" s="1"/>
  <c r="N80" i="35"/>
  <c r="Y83" i="30"/>
  <c r="AA15" i="30"/>
  <c r="U82" i="35"/>
  <c r="P83" i="30"/>
  <c r="N8" i="52"/>
  <c r="H15" i="30"/>
  <c r="H44" i="30"/>
  <c r="X32" i="45"/>
  <c r="H44" i="35"/>
  <c r="H53" i="55"/>
  <c r="H19" i="55"/>
  <c r="H39" i="33"/>
  <c r="I37" i="55" s="1"/>
  <c r="I20" i="55"/>
  <c r="H45" i="33"/>
  <c r="I45" i="33" s="1"/>
  <c r="J42" i="55" s="1"/>
  <c r="H46" i="33"/>
  <c r="I43" i="55" s="1"/>
  <c r="H63" i="33"/>
  <c r="I53" i="55" s="1"/>
  <c r="G21" i="55"/>
  <c r="H55" i="55"/>
  <c r="H65" i="33"/>
  <c r="H25" i="33"/>
  <c r="I22" i="55" s="1"/>
  <c r="I61" i="33"/>
  <c r="J61" i="33" s="1"/>
  <c r="K51" i="55" s="1"/>
  <c r="K116" i="68"/>
  <c r="L116" i="68" s="1"/>
  <c r="M116" i="68" s="1"/>
  <c r="H60" i="33"/>
  <c r="H22" i="55"/>
  <c r="W129" i="68"/>
  <c r="J171" i="55"/>
  <c r="K172" i="55"/>
  <c r="G47" i="56"/>
  <c r="G48" i="56" s="1"/>
  <c r="G49" i="56" s="1"/>
  <c r="G51" i="56" s="1"/>
  <c r="G53" i="56" s="1"/>
  <c r="C23" i="37" s="1"/>
  <c r="H38" i="55"/>
  <c r="H40" i="33"/>
  <c r="I40" i="33" s="1"/>
  <c r="J40" i="33" s="1"/>
  <c r="L16" i="32"/>
  <c r="L15" i="32"/>
  <c r="M8" i="39"/>
  <c r="H6" i="55"/>
  <c r="Z16" i="32"/>
  <c r="Z15" i="32"/>
  <c r="AA8" i="39"/>
  <c r="G15" i="32"/>
  <c r="G16" i="32"/>
  <c r="H8" i="39"/>
  <c r="H8" i="41"/>
  <c r="AG81" i="35"/>
  <c r="AW68" i="45"/>
  <c r="C62" i="39"/>
  <c r="B61" i="39"/>
  <c r="Y52" i="35"/>
  <c r="AL18" i="52"/>
  <c r="AK18" i="41"/>
  <c r="U43" i="41"/>
  <c r="E28" i="24"/>
  <c r="J28" i="24"/>
  <c r="D28" i="24"/>
  <c r="H28" i="24" s="1"/>
  <c r="E16" i="24"/>
  <c r="D16" i="24"/>
  <c r="H16" i="24" s="1"/>
  <c r="J16" i="24"/>
  <c r="E29" i="24"/>
  <c r="D29" i="24"/>
  <c r="H29" i="24" s="1"/>
  <c r="J29" i="24"/>
  <c r="J38" i="24"/>
  <c r="E38" i="24"/>
  <c r="D38" i="24"/>
  <c r="H38" i="24" s="1"/>
  <c r="J39" i="24"/>
  <c r="E39" i="24"/>
  <c r="D39" i="24"/>
  <c r="H39" i="24" s="1"/>
  <c r="R18" i="52"/>
  <c r="J51" i="35"/>
  <c r="Z39" i="45"/>
  <c r="C35" i="52"/>
  <c r="O18" i="52"/>
  <c r="N18" i="41"/>
  <c r="I12" i="32"/>
  <c r="I13" i="32"/>
  <c r="I46" i="30" s="1"/>
  <c r="J8" i="40"/>
  <c r="K81" i="35"/>
  <c r="AA68" i="45"/>
  <c r="AE18" i="41"/>
  <c r="AF18" i="52"/>
  <c r="M8" i="41"/>
  <c r="AA8" i="41"/>
  <c r="D19" i="32"/>
  <c r="E128" i="39" s="1"/>
  <c r="AE18" i="52"/>
  <c r="AD18" i="41"/>
  <c r="I52" i="35"/>
  <c r="Y40" i="45"/>
  <c r="L57" i="35"/>
  <c r="L10" i="35" s="1"/>
  <c r="B85" i="40"/>
  <c r="C86" i="40"/>
  <c r="I34" i="33"/>
  <c r="J34" i="33" s="1"/>
  <c r="K34" i="33" s="1"/>
  <c r="C70" i="40"/>
  <c r="B69" i="40"/>
  <c r="F77" i="68"/>
  <c r="E107" i="68"/>
  <c r="E172" i="68" s="1"/>
  <c r="D78" i="68"/>
  <c r="F78" i="68" s="1"/>
  <c r="W74" i="32"/>
  <c r="W15" i="30"/>
  <c r="AN67" i="45"/>
  <c r="U127" i="68"/>
  <c r="V127" i="68" s="1"/>
  <c r="X130" i="68"/>
  <c r="Y130" i="68" s="1"/>
  <c r="Z130" i="68" s="1"/>
  <c r="H29" i="55"/>
  <c r="N28" i="39"/>
  <c r="AH137" i="68"/>
  <c r="C18" i="40"/>
  <c r="V18" i="52"/>
  <c r="U18" i="41"/>
  <c r="O17" i="41"/>
  <c r="P17" i="52"/>
  <c r="AK8" i="41"/>
  <c r="AE40" i="45"/>
  <c r="O52" i="35"/>
  <c r="I8" i="41"/>
  <c r="B93" i="39"/>
  <c r="C94" i="39"/>
  <c r="B109" i="39"/>
  <c r="C110" i="39"/>
  <c r="G8" i="41"/>
  <c r="B61" i="40"/>
  <c r="C62" i="40"/>
  <c r="C14" i="39"/>
  <c r="B37" i="41"/>
  <c r="AF74" i="32"/>
  <c r="AF15" i="30"/>
  <c r="AW67" i="45"/>
  <c r="C18" i="39"/>
  <c r="O15" i="32"/>
  <c r="O16" i="32"/>
  <c r="P8" i="39"/>
  <c r="AD8" i="52"/>
  <c r="Y8" i="41"/>
  <c r="AJ19" i="32"/>
  <c r="AD13" i="32"/>
  <c r="AD46" i="30" s="1"/>
  <c r="AG74" i="32"/>
  <c r="AG15" i="30"/>
  <c r="AX67" i="45"/>
  <c r="E24" i="24"/>
  <c r="D24" i="24"/>
  <c r="H24" i="24" s="1"/>
  <c r="J24" i="24"/>
  <c r="E37" i="24"/>
  <c r="J37" i="24"/>
  <c r="D37" i="24"/>
  <c r="H37" i="24" s="1"/>
  <c r="G46" i="55"/>
  <c r="P44" i="33"/>
  <c r="Q23" i="55" s="1"/>
  <c r="U8" i="41"/>
  <c r="K17" i="52"/>
  <c r="J17" i="41"/>
  <c r="G15" i="52"/>
  <c r="F15" i="41"/>
  <c r="G5" i="55"/>
  <c r="I8" i="33"/>
  <c r="J8" i="33" s="1"/>
  <c r="M19" i="32"/>
  <c r="N128" i="39" s="1"/>
  <c r="F43" i="41"/>
  <c r="G17" i="41"/>
  <c r="H17" i="52"/>
  <c r="AI17" i="52"/>
  <c r="AH17" i="41"/>
  <c r="N43" i="41"/>
  <c r="G43" i="41"/>
  <c r="G7" i="55"/>
  <c r="H11" i="33"/>
  <c r="I11" i="33" s="1"/>
  <c r="AD19" i="32"/>
  <c r="AE128" i="39" s="1"/>
  <c r="W13" i="52"/>
  <c r="V13" i="41"/>
  <c r="V36" i="40"/>
  <c r="V37" i="40" s="1"/>
  <c r="V38" i="40" s="1"/>
  <c r="Y113" i="55" s="1"/>
  <c r="V28" i="39"/>
  <c r="E51" i="35"/>
  <c r="U39" i="45"/>
  <c r="AC19" i="32"/>
  <c r="AD128" i="39" s="1"/>
  <c r="R18" i="41"/>
  <c r="S18" i="52"/>
  <c r="AH13" i="32"/>
  <c r="AH46" i="30" s="1"/>
  <c r="C78" i="40"/>
  <c r="B77" i="40"/>
  <c r="N18" i="52"/>
  <c r="M18" i="41"/>
  <c r="I44" i="55"/>
  <c r="AE81" i="35"/>
  <c r="AU68" i="45"/>
  <c r="T126" i="68"/>
  <c r="U126" i="68" s="1"/>
  <c r="AB133" i="68"/>
  <c r="AC133" i="68" s="1"/>
  <c r="AD133" i="68" s="1"/>
  <c r="K21" i="50"/>
  <c r="J19" i="50"/>
  <c r="O81" i="35"/>
  <c r="AE68" i="45"/>
  <c r="P57" i="35"/>
  <c r="P10" i="35" s="1"/>
  <c r="O18" i="41"/>
  <c r="P18" i="52"/>
  <c r="E8" i="41"/>
  <c r="I32" i="55"/>
  <c r="G43" i="33"/>
  <c r="G36" i="33" s="1"/>
  <c r="E43" i="41"/>
  <c r="AA15" i="41"/>
  <c r="AB15" i="52"/>
  <c r="S74" i="32"/>
  <c r="S15" i="30"/>
  <c r="AJ67" i="45"/>
  <c r="E135" i="55"/>
  <c r="Y18" i="41"/>
  <c r="Z18" i="52"/>
  <c r="AK51" i="35"/>
  <c r="BA39" i="45"/>
  <c r="O44" i="33"/>
  <c r="P23" i="55" s="1"/>
  <c r="AH81" i="35"/>
  <c r="AX68" i="45"/>
  <c r="J17" i="24"/>
  <c r="E17" i="24"/>
  <c r="D17" i="24"/>
  <c r="H17" i="24" s="1"/>
  <c r="E32" i="24"/>
  <c r="D32" i="24"/>
  <c r="H32" i="24" s="1"/>
  <c r="J32" i="24"/>
  <c r="D10" i="24"/>
  <c r="H10" i="24" s="1"/>
  <c r="J10" i="24"/>
  <c r="E10" i="24"/>
  <c r="E27" i="24"/>
  <c r="D27" i="24"/>
  <c r="H27" i="24" s="1"/>
  <c r="J27" i="24"/>
  <c r="W17" i="41"/>
  <c r="X17" i="52"/>
  <c r="E6" i="33"/>
  <c r="C8" i="41"/>
  <c r="C98" i="39"/>
  <c r="B97" i="39"/>
  <c r="H5" i="55"/>
  <c r="Z40" i="45"/>
  <c r="J52" i="35"/>
  <c r="K8" i="41"/>
  <c r="AK43" i="41"/>
  <c r="N51" i="35"/>
  <c r="AD39" i="45"/>
  <c r="H41" i="33"/>
  <c r="K11" i="52"/>
  <c r="J11" i="41"/>
  <c r="J16" i="40"/>
  <c r="J12" i="39"/>
  <c r="J13" i="39" s="1"/>
  <c r="J14" i="39" s="1"/>
  <c r="M73" i="55" s="1"/>
  <c r="B37" i="39"/>
  <c r="C38" i="39"/>
  <c r="AF19" i="32"/>
  <c r="AG128" i="39" s="1"/>
  <c r="Q8" i="41"/>
  <c r="S8" i="41"/>
  <c r="C50" i="40"/>
  <c r="B49" i="40"/>
  <c r="W18" i="52"/>
  <c r="V18" i="41"/>
  <c r="F102" i="55"/>
  <c r="E102" i="55" s="1"/>
  <c r="B123" i="39"/>
  <c r="B13" i="40"/>
  <c r="AD51" i="35"/>
  <c r="AT39" i="45"/>
  <c r="I18" i="41"/>
  <c r="J18" i="52"/>
  <c r="Q19" i="32"/>
  <c r="R128" i="39" s="1"/>
  <c r="AF15" i="32"/>
  <c r="AF16" i="32"/>
  <c r="AG8" i="39"/>
  <c r="F31" i="55"/>
  <c r="AD43" i="41"/>
  <c r="AG12" i="32"/>
  <c r="AG13" i="32"/>
  <c r="AG46" i="30" s="1"/>
  <c r="AH8" i="40"/>
  <c r="AH9" i="40" s="1"/>
  <c r="AH10" i="40" s="1"/>
  <c r="H44" i="55"/>
  <c r="I164" i="55"/>
  <c r="J165" i="55"/>
  <c r="L46" i="35"/>
  <c r="AB34" i="45"/>
  <c r="N74" i="32"/>
  <c r="N15" i="30"/>
  <c r="AE67" i="45"/>
  <c r="AQ67" i="45"/>
  <c r="Z15" i="30"/>
  <c r="Z74" i="32"/>
  <c r="P119" i="68"/>
  <c r="Q119" i="68" s="1"/>
  <c r="S16" i="32"/>
  <c r="S15" i="32"/>
  <c r="T8" i="39"/>
  <c r="H39" i="55"/>
  <c r="I8" i="52"/>
  <c r="T81" i="35"/>
  <c r="AJ68" i="45"/>
  <c r="AI16" i="32"/>
  <c r="AI15" i="32"/>
  <c r="AJ8" i="39"/>
  <c r="S106" i="55"/>
  <c r="Z18" i="41"/>
  <c r="AA18" i="52"/>
  <c r="V15" i="32"/>
  <c r="V16" i="32"/>
  <c r="W8" i="39"/>
  <c r="S138" i="55"/>
  <c r="X8" i="41"/>
  <c r="D25" i="24"/>
  <c r="H25" i="24" s="1"/>
  <c r="J25" i="24"/>
  <c r="E25" i="24"/>
  <c r="E40" i="24"/>
  <c r="D40" i="24"/>
  <c r="H40" i="24" s="1"/>
  <c r="J40" i="24"/>
  <c r="D18" i="24"/>
  <c r="H18" i="24" s="1"/>
  <c r="J18" i="24"/>
  <c r="E18" i="24"/>
  <c r="E43" i="24"/>
  <c r="D43" i="24"/>
  <c r="H43" i="24" s="1"/>
  <c r="J43" i="24"/>
  <c r="E15" i="52"/>
  <c r="E14" i="52" s="1"/>
  <c r="D15" i="41"/>
  <c r="B45" i="40"/>
  <c r="C46" i="40"/>
  <c r="T16" i="32"/>
  <c r="T15" i="32"/>
  <c r="U8" i="39"/>
  <c r="C58" i="40"/>
  <c r="B57" i="40"/>
  <c r="AG51" i="35"/>
  <c r="AW39" i="45"/>
  <c r="Y57" i="35"/>
  <c r="Y10" i="35" s="1"/>
  <c r="R8" i="52"/>
  <c r="U19" i="32"/>
  <c r="V128" i="39" s="1"/>
  <c r="F48" i="55"/>
  <c r="B57" i="39"/>
  <c r="C58" i="39"/>
  <c r="C16" i="32"/>
  <c r="C15" i="32"/>
  <c r="D8" i="39"/>
  <c r="B12" i="40"/>
  <c r="Y12" i="32"/>
  <c r="AA8" i="52"/>
  <c r="Z8" i="40"/>
  <c r="Z9" i="40" s="1"/>
  <c r="Z10" i="40" s="1"/>
  <c r="AJ8" i="52"/>
  <c r="B59" i="41"/>
  <c r="W43" i="41"/>
  <c r="I47" i="33"/>
  <c r="C81" i="35"/>
  <c r="S68" i="45"/>
  <c r="G7" i="50"/>
  <c r="H8" i="50"/>
  <c r="H7" i="50" s="1"/>
  <c r="AF67" i="45"/>
  <c r="B73" i="40"/>
  <c r="C74" i="40"/>
  <c r="N120" i="68"/>
  <c r="O120" i="68" s="1"/>
  <c r="S123" i="68"/>
  <c r="T123" i="68" s="1"/>
  <c r="K62" i="30"/>
  <c r="K11" i="30" s="1"/>
  <c r="L61" i="35"/>
  <c r="AB49" i="45"/>
  <c r="C50" i="39"/>
  <c r="B49" i="39"/>
  <c r="AA81" i="35"/>
  <c r="AQ68" i="45"/>
  <c r="X128" i="68"/>
  <c r="F15" i="32"/>
  <c r="F16" i="32"/>
  <c r="G8" i="39"/>
  <c r="AE43" i="41"/>
  <c r="AD17" i="52"/>
  <c r="AC17" i="41"/>
  <c r="R106" i="55"/>
  <c r="O8" i="41"/>
  <c r="P8" i="41"/>
  <c r="F34" i="55"/>
  <c r="Y19" i="32"/>
  <c r="Z128" i="39" s="1"/>
  <c r="J14" i="24"/>
  <c r="D14" i="24"/>
  <c r="H14" i="24" s="1"/>
  <c r="E14" i="24"/>
  <c r="J33" i="24"/>
  <c r="E33" i="24"/>
  <c r="D33" i="24"/>
  <c r="H33" i="24" s="1"/>
  <c r="J22" i="24"/>
  <c r="D22" i="24"/>
  <c r="H22" i="24" s="1"/>
  <c r="E22" i="24"/>
  <c r="D26" i="24"/>
  <c r="H26" i="24" s="1"/>
  <c r="J26" i="24"/>
  <c r="E26" i="24"/>
  <c r="J9" i="24"/>
  <c r="D9" i="24"/>
  <c r="F11" i="55"/>
  <c r="H37" i="33"/>
  <c r="I37" i="33" s="1"/>
  <c r="J37" i="33" s="1"/>
  <c r="AF8" i="41"/>
  <c r="F100" i="55"/>
  <c r="E100" i="55" s="1"/>
  <c r="B121" i="39"/>
  <c r="H18" i="52"/>
  <c r="AG17" i="41"/>
  <c r="AH17" i="52"/>
  <c r="W57" i="35"/>
  <c r="W10" i="35" s="1"/>
  <c r="T15" i="41"/>
  <c r="U15" i="52"/>
  <c r="E137" i="55"/>
  <c r="F48" i="33"/>
  <c r="Q12" i="32"/>
  <c r="S8" i="52"/>
  <c r="R8" i="40"/>
  <c r="R9" i="40" s="1"/>
  <c r="R10" i="40" s="1"/>
  <c r="B41" i="40"/>
  <c r="G35" i="55"/>
  <c r="F36" i="33"/>
  <c r="C26" i="52"/>
  <c r="Q57" i="35"/>
  <c r="Q10" i="35" s="1"/>
  <c r="B65" i="39"/>
  <c r="C66" i="39"/>
  <c r="F17" i="52"/>
  <c r="E17" i="41"/>
  <c r="AB15" i="41"/>
  <c r="AC15" i="52"/>
  <c r="AC14" i="52" s="1"/>
  <c r="S17" i="52"/>
  <c r="R17" i="41"/>
  <c r="AI11" i="52"/>
  <c r="AH11" i="41"/>
  <c r="AH16" i="40"/>
  <c r="AH17" i="40" s="1"/>
  <c r="AH18" i="40" s="1"/>
  <c r="AK108" i="55" s="1"/>
  <c r="AH12" i="39"/>
  <c r="AH13" i="39" s="1"/>
  <c r="AH14" i="39" s="1"/>
  <c r="AK73" i="55" s="1"/>
  <c r="L118" i="68"/>
  <c r="M118" i="68" s="1"/>
  <c r="O121" i="68"/>
  <c r="P121" i="68" s="1"/>
  <c r="G113" i="68"/>
  <c r="E183" i="68"/>
  <c r="F179" i="68" s="1"/>
  <c r="F183" i="68" s="1"/>
  <c r="G179" i="68" s="1"/>
  <c r="H114" i="68"/>
  <c r="S125" i="68"/>
  <c r="T125" i="68" s="1"/>
  <c r="U125" i="68" s="1"/>
  <c r="I152" i="55"/>
  <c r="J153" i="55"/>
  <c r="K115" i="68"/>
  <c r="L115" i="68" s="1"/>
  <c r="M115" i="68" s="1"/>
  <c r="M12" i="52"/>
  <c r="L12" i="41"/>
  <c r="AF138" i="68"/>
  <c r="AG138" i="68" s="1"/>
  <c r="AH138" i="68" s="1"/>
  <c r="N117" i="68"/>
  <c r="O117" i="68" s="1"/>
  <c r="N118" i="39"/>
  <c r="Q97" i="55" s="1"/>
  <c r="N117" i="39"/>
  <c r="N9" i="39"/>
  <c r="N10" i="39" s="1"/>
  <c r="Q72" i="55" s="1"/>
  <c r="V17" i="52"/>
  <c r="U17" i="41"/>
  <c r="C70" i="39"/>
  <c r="B69" i="39"/>
  <c r="C22" i="40"/>
  <c r="AE39" i="45"/>
  <c r="O51" i="35"/>
  <c r="G7" i="33"/>
  <c r="H11" i="55" s="1"/>
  <c r="C78" i="39"/>
  <c r="B77" i="39"/>
  <c r="H8" i="52"/>
  <c r="B33" i="39"/>
  <c r="C34" i="39"/>
  <c r="E17" i="33"/>
  <c r="C15" i="41"/>
  <c r="D15" i="52"/>
  <c r="X19" i="32"/>
  <c r="AC8" i="41"/>
  <c r="C90" i="40"/>
  <c r="B89" i="40"/>
  <c r="AL17" i="52"/>
  <c r="AK17" i="41"/>
  <c r="E36" i="24"/>
  <c r="J36" i="24"/>
  <c r="D36" i="24"/>
  <c r="H36" i="24" s="1"/>
  <c r="D41" i="24"/>
  <c r="H41" i="24" s="1"/>
  <c r="J41" i="24"/>
  <c r="E41" i="24"/>
  <c r="E19" i="24"/>
  <c r="D19" i="24"/>
  <c r="H19" i="24" s="1"/>
  <c r="J19" i="24"/>
  <c r="D34" i="24"/>
  <c r="H34" i="24" s="1"/>
  <c r="J34" i="24"/>
  <c r="E34" i="24"/>
  <c r="J15" i="24"/>
  <c r="E15" i="24"/>
  <c r="D15" i="24"/>
  <c r="H15" i="24" s="1"/>
  <c r="W18" i="41"/>
  <c r="X18" i="52"/>
  <c r="H46" i="55"/>
  <c r="B45" i="39"/>
  <c r="C46" i="39"/>
  <c r="V8" i="52"/>
  <c r="J13" i="32"/>
  <c r="J46" i="30" s="1"/>
  <c r="N17" i="41"/>
  <c r="O17" i="52"/>
  <c r="AD77" i="35"/>
  <c r="V77" i="35"/>
  <c r="N77" i="35"/>
  <c r="F77" i="35"/>
  <c r="AK77" i="35"/>
  <c r="AC77" i="35"/>
  <c r="U77" i="35"/>
  <c r="M77" i="35"/>
  <c r="E77" i="35"/>
  <c r="AJ77" i="35"/>
  <c r="AB77" i="35"/>
  <c r="T77" i="35"/>
  <c r="L77" i="35"/>
  <c r="D77" i="35"/>
  <c r="AI77" i="35"/>
  <c r="AA77" i="35"/>
  <c r="S77" i="35"/>
  <c r="K77" i="35"/>
  <c r="C77" i="35"/>
  <c r="AH77" i="35"/>
  <c r="Z77" i="35"/>
  <c r="R77" i="35"/>
  <c r="J77" i="35"/>
  <c r="AF77" i="35"/>
  <c r="X77" i="35"/>
  <c r="P77" i="35"/>
  <c r="H77" i="35"/>
  <c r="AE77" i="35"/>
  <c r="W77" i="35"/>
  <c r="O77" i="35"/>
  <c r="G77" i="35"/>
  <c r="I77" i="35"/>
  <c r="AG77" i="35"/>
  <c r="Y77" i="35"/>
  <c r="Q77" i="35"/>
  <c r="F101" i="55"/>
  <c r="E101" i="55" s="1"/>
  <c r="B122" i="39"/>
  <c r="F19" i="32"/>
  <c r="G128" i="39" s="1"/>
  <c r="AG52" i="35"/>
  <c r="AW40" i="45"/>
  <c r="C57" i="35"/>
  <c r="C10" i="35" s="1"/>
  <c r="G38" i="55"/>
  <c r="AE17" i="41"/>
  <c r="AF17" i="52"/>
  <c r="O57" i="35"/>
  <c r="O10" i="35" s="1"/>
  <c r="AB8" i="52"/>
  <c r="E52" i="35"/>
  <c r="U40" i="45"/>
  <c r="AD17" i="41"/>
  <c r="AE17" i="52"/>
  <c r="AA11" i="52"/>
  <c r="Z11" i="41"/>
  <c r="Z16" i="40"/>
  <c r="Z17" i="40" s="1"/>
  <c r="Z18" i="40" s="1"/>
  <c r="AC108" i="55" s="1"/>
  <c r="Z12" i="39"/>
  <c r="Z13" i="39" s="1"/>
  <c r="Z14" i="39" s="1"/>
  <c r="AC73" i="55" s="1"/>
  <c r="O43" i="41"/>
  <c r="H19" i="32"/>
  <c r="I128" i="39" s="1"/>
  <c r="AG8" i="41"/>
  <c r="AY67" i="45"/>
  <c r="AH15" i="30"/>
  <c r="AH74" i="32"/>
  <c r="R124" i="68"/>
  <c r="S124" i="68" s="1"/>
  <c r="H151" i="55"/>
  <c r="N46" i="35"/>
  <c r="AD34" i="45"/>
  <c r="G6" i="55"/>
  <c r="C106" i="39"/>
  <c r="B105" i="39"/>
  <c r="I5" i="55"/>
  <c r="AJ74" i="32"/>
  <c r="AJ15" i="30"/>
  <c r="BA67" i="45"/>
  <c r="M43" i="41"/>
  <c r="F14" i="55"/>
  <c r="AG80" i="35"/>
  <c r="AK52" i="35"/>
  <c r="BA40" i="45"/>
  <c r="AE8" i="41"/>
  <c r="B53" i="39"/>
  <c r="C54" i="39"/>
  <c r="B101" i="39"/>
  <c r="C102" i="39"/>
  <c r="J12" i="24"/>
  <c r="E12" i="24"/>
  <c r="D12" i="24"/>
  <c r="H12" i="24" s="1"/>
  <c r="E11" i="24"/>
  <c r="D11" i="24"/>
  <c r="H11" i="24" s="1"/>
  <c r="J11" i="24"/>
  <c r="E13" i="24"/>
  <c r="D13" i="24"/>
  <c r="H13" i="24" s="1"/>
  <c r="J13" i="24"/>
  <c r="D42" i="24"/>
  <c r="H42" i="24" s="1"/>
  <c r="J42" i="24"/>
  <c r="E42" i="24"/>
  <c r="J23" i="24"/>
  <c r="E23" i="24"/>
  <c r="D23" i="24"/>
  <c r="H23" i="24" s="1"/>
  <c r="V19" i="32"/>
  <c r="W128" i="39" s="1"/>
  <c r="AC43" i="41"/>
  <c r="AI15" i="41"/>
  <c r="AJ15" i="52"/>
  <c r="J18" i="41"/>
  <c r="K18" i="52"/>
  <c r="AE57" i="35"/>
  <c r="AE10" i="35" s="1"/>
  <c r="AD40" i="45"/>
  <c r="N52" i="35"/>
  <c r="AK73" i="35"/>
  <c r="AK71" i="35" s="1"/>
  <c r="AK13" i="35" s="1"/>
  <c r="AC73" i="35"/>
  <c r="AC71" i="35" s="1"/>
  <c r="AC13" i="35" s="1"/>
  <c r="U73" i="35"/>
  <c r="U71" i="35" s="1"/>
  <c r="U13" i="35" s="1"/>
  <c r="M73" i="35"/>
  <c r="M71" i="35" s="1"/>
  <c r="M13" i="35" s="1"/>
  <c r="E73" i="35"/>
  <c r="E71" i="35" s="1"/>
  <c r="E13" i="35" s="1"/>
  <c r="AJ73" i="35"/>
  <c r="AJ71" i="35" s="1"/>
  <c r="AJ13" i="35" s="1"/>
  <c r="AB73" i="35"/>
  <c r="AB71" i="35" s="1"/>
  <c r="AB13" i="35" s="1"/>
  <c r="T73" i="35"/>
  <c r="T71" i="35" s="1"/>
  <c r="T13" i="35" s="1"/>
  <c r="L73" i="35"/>
  <c r="L71" i="35" s="1"/>
  <c r="L13" i="35" s="1"/>
  <c r="D73" i="35"/>
  <c r="D71" i="35" s="1"/>
  <c r="D13" i="35" s="1"/>
  <c r="AI73" i="35"/>
  <c r="AI71" i="35" s="1"/>
  <c r="AI13" i="35" s="1"/>
  <c r="AA73" i="35"/>
  <c r="AA71" i="35" s="1"/>
  <c r="AA13" i="35" s="1"/>
  <c r="S73" i="35"/>
  <c r="S71" i="35" s="1"/>
  <c r="S13" i="35" s="1"/>
  <c r="K73" i="35"/>
  <c r="K71" i="35" s="1"/>
  <c r="K13" i="35" s="1"/>
  <c r="C73" i="35"/>
  <c r="C71" i="35" s="1"/>
  <c r="C13" i="35" s="1"/>
  <c r="AH73" i="35"/>
  <c r="AH71" i="35" s="1"/>
  <c r="AH13" i="35" s="1"/>
  <c r="Z73" i="35"/>
  <c r="Z71" i="35" s="1"/>
  <c r="Z13" i="35" s="1"/>
  <c r="R73" i="35"/>
  <c r="R71" i="35" s="1"/>
  <c r="R13" i="35" s="1"/>
  <c r="J73" i="35"/>
  <c r="J71" i="35" s="1"/>
  <c r="J13" i="35" s="1"/>
  <c r="AG73" i="35"/>
  <c r="AG71" i="35" s="1"/>
  <c r="AG13" i="35" s="1"/>
  <c r="Y73" i="35"/>
  <c r="Y71" i="35" s="1"/>
  <c r="Y13" i="35" s="1"/>
  <c r="Q73" i="35"/>
  <c r="Q71" i="35" s="1"/>
  <c r="Q13" i="35" s="1"/>
  <c r="I73" i="35"/>
  <c r="I71" i="35" s="1"/>
  <c r="I13" i="35" s="1"/>
  <c r="AE73" i="35"/>
  <c r="AE71" i="35" s="1"/>
  <c r="AE13" i="35" s="1"/>
  <c r="W73" i="35"/>
  <c r="W71" i="35" s="1"/>
  <c r="W13" i="35" s="1"/>
  <c r="O73" i="35"/>
  <c r="O71" i="35" s="1"/>
  <c r="O13" i="35" s="1"/>
  <c r="G73" i="35"/>
  <c r="G71" i="35" s="1"/>
  <c r="G13" i="35" s="1"/>
  <c r="AD73" i="35"/>
  <c r="AD71" i="35" s="1"/>
  <c r="AD13" i="35" s="1"/>
  <c r="V73" i="35"/>
  <c r="V71" i="35" s="1"/>
  <c r="V13" i="35" s="1"/>
  <c r="N73" i="35"/>
  <c r="N71" i="35" s="1"/>
  <c r="N13" i="35" s="1"/>
  <c r="F73" i="35"/>
  <c r="F71" i="35" s="1"/>
  <c r="F13" i="35" s="1"/>
  <c r="X73" i="35"/>
  <c r="X71" i="35" s="1"/>
  <c r="X13" i="35" s="1"/>
  <c r="P73" i="35"/>
  <c r="P71" i="35" s="1"/>
  <c r="P13" i="35" s="1"/>
  <c r="H73" i="35"/>
  <c r="H71" i="35" s="1"/>
  <c r="H13" i="35" s="1"/>
  <c r="AF73" i="35"/>
  <c r="AF71" i="35" s="1"/>
  <c r="AF13" i="35" s="1"/>
  <c r="G51" i="35"/>
  <c r="AH18" i="41"/>
  <c r="AI18" i="52"/>
  <c r="AA15" i="32"/>
  <c r="AA16" i="32"/>
  <c r="AB8" i="39"/>
  <c r="B65" i="40"/>
  <c r="C66" i="40"/>
  <c r="H50" i="33"/>
  <c r="I50" i="33" s="1"/>
  <c r="S11" i="52"/>
  <c r="R11" i="41"/>
  <c r="R16" i="40"/>
  <c r="R17" i="40" s="1"/>
  <c r="R18" i="40" s="1"/>
  <c r="U108" i="55" s="1"/>
  <c r="R12" i="39"/>
  <c r="R13" i="39" s="1"/>
  <c r="R14" i="39" s="1"/>
  <c r="U73" i="55" s="1"/>
  <c r="I51" i="55"/>
  <c r="AD8" i="41"/>
  <c r="AT40" i="45"/>
  <c r="AD52" i="35"/>
  <c r="I51" i="35"/>
  <c r="Y39" i="45"/>
  <c r="AH8" i="52"/>
  <c r="AI8" i="41"/>
  <c r="N17" i="52"/>
  <c r="M17" i="41"/>
  <c r="AJ15" i="41"/>
  <c r="AK15" i="52"/>
  <c r="AK14" i="52" s="1"/>
  <c r="X57" i="35"/>
  <c r="X10" i="35" s="1"/>
  <c r="AI81" i="35"/>
  <c r="AY68" i="45"/>
  <c r="G19" i="50"/>
  <c r="H20" i="50"/>
  <c r="G170" i="68"/>
  <c r="C79" i="68"/>
  <c r="AD135" i="68"/>
  <c r="AD136" i="68"/>
  <c r="C31" i="52"/>
  <c r="H31" i="33"/>
  <c r="I31" i="33" s="1"/>
  <c r="I74" i="32"/>
  <c r="I15" i="30"/>
  <c r="Z67" i="45"/>
  <c r="AI74" i="32"/>
  <c r="AI15" i="30"/>
  <c r="AZ67" i="45"/>
  <c r="M62" i="30"/>
  <c r="M11" i="30" s="1"/>
  <c r="N61" i="35"/>
  <c r="AD49" i="45"/>
  <c r="W81" i="35"/>
  <c r="AM68" i="45"/>
  <c r="AD134" i="68"/>
  <c r="AE134" i="68" s="1"/>
  <c r="N19" i="32"/>
  <c r="O128" i="39" s="1"/>
  <c r="AA106" i="55"/>
  <c r="B73" i="39"/>
  <c r="C74" i="39"/>
  <c r="H7" i="55"/>
  <c r="H35" i="55"/>
  <c r="AK81" i="35"/>
  <c r="BA68" i="45"/>
  <c r="AD18" i="52"/>
  <c r="AC18" i="41"/>
  <c r="Q44" i="33"/>
  <c r="R23" i="55" s="1"/>
  <c r="AB16" i="32"/>
  <c r="AB15" i="32"/>
  <c r="AC8" i="39"/>
  <c r="X15" i="32"/>
  <c r="X16" i="32"/>
  <c r="Y8" i="39"/>
  <c r="B53" i="40"/>
  <c r="S15" i="41"/>
  <c r="V129" i="55" s="1"/>
  <c r="T15" i="52"/>
  <c r="J20" i="24"/>
  <c r="E20" i="24"/>
  <c r="D20" i="24"/>
  <c r="H20" i="24" s="1"/>
  <c r="E35" i="24"/>
  <c r="D35" i="24"/>
  <c r="H35" i="24" s="1"/>
  <c r="J35" i="24"/>
  <c r="E21" i="24"/>
  <c r="D21" i="24"/>
  <c r="H21" i="24" s="1"/>
  <c r="J21" i="24"/>
  <c r="J30" i="24"/>
  <c r="E30" i="24"/>
  <c r="D30" i="24"/>
  <c r="H30" i="24" s="1"/>
  <c r="J31" i="24"/>
  <c r="E31" i="24"/>
  <c r="D31" i="24"/>
  <c r="H31" i="24" s="1"/>
  <c r="D8" i="52"/>
  <c r="K15" i="41"/>
  <c r="L15" i="52"/>
  <c r="L14" i="52" s="1"/>
  <c r="K57" i="35"/>
  <c r="K10" i="35" s="1"/>
  <c r="L15" i="41"/>
  <c r="M15" i="52"/>
  <c r="M14" i="52" s="1"/>
  <c r="AJ69" i="35"/>
  <c r="AB69" i="35"/>
  <c r="T69" i="35"/>
  <c r="L69" i="35"/>
  <c r="D69" i="35"/>
  <c r="AI69" i="35"/>
  <c r="AA69" i="35"/>
  <c r="S69" i="35"/>
  <c r="K69" i="35"/>
  <c r="C69" i="35"/>
  <c r="AH69" i="35"/>
  <c r="Z69" i="35"/>
  <c r="R69" i="35"/>
  <c r="J69" i="35"/>
  <c r="AG69" i="35"/>
  <c r="Y69" i="35"/>
  <c r="Q69" i="35"/>
  <c r="I69" i="35"/>
  <c r="AF69" i="35"/>
  <c r="X69" i="35"/>
  <c r="P69" i="35"/>
  <c r="H69" i="35"/>
  <c r="AD69" i="35"/>
  <c r="V69" i="35"/>
  <c r="N69" i="35"/>
  <c r="F69" i="35"/>
  <c r="AK69" i="35"/>
  <c r="AC69" i="35"/>
  <c r="U69" i="35"/>
  <c r="M69" i="35"/>
  <c r="E69" i="35"/>
  <c r="AE69" i="35"/>
  <c r="W69" i="35"/>
  <c r="O69" i="35"/>
  <c r="G69" i="35"/>
  <c r="G67" i="35" s="1"/>
  <c r="G12" i="35" s="1"/>
  <c r="C35" i="58"/>
  <c r="C36" i="58" s="1"/>
  <c r="C21" i="37" s="1"/>
  <c r="AG18" i="41"/>
  <c r="AH18" i="52"/>
  <c r="P15" i="32"/>
  <c r="P16" i="32"/>
  <c r="Q8" i="39"/>
  <c r="F8" i="41"/>
  <c r="AA67" i="45"/>
  <c r="J15" i="30"/>
  <c r="J74" i="32"/>
  <c r="U62" i="30"/>
  <c r="U11" i="30" s="1"/>
  <c r="AL49" i="45"/>
  <c r="V61" i="35"/>
  <c r="C42" i="39"/>
  <c r="B41" i="39"/>
  <c r="F18" i="52"/>
  <c r="E18" i="41"/>
  <c r="V43" i="41"/>
  <c r="I17" i="41"/>
  <c r="J17" i="52"/>
  <c r="G57" i="35"/>
  <c r="G10" i="35" s="1"/>
  <c r="C10" i="40"/>
  <c r="B25" i="40"/>
  <c r="C26" i="40"/>
  <c r="F76" i="55"/>
  <c r="X81" i="35"/>
  <c r="AN68" i="45"/>
  <c r="AB132" i="68"/>
  <c r="Y131" i="68"/>
  <c r="J81" i="35"/>
  <c r="Z68" i="45"/>
  <c r="H57" i="35"/>
  <c r="H10" i="35" s="1"/>
  <c r="AJ81" i="35"/>
  <c r="AZ68" i="45"/>
  <c r="R122" i="68"/>
  <c r="O12" i="52"/>
  <c r="N12" i="41"/>
  <c r="V74" i="32"/>
  <c r="V15" i="30"/>
  <c r="AM67" i="45"/>
  <c r="E40" i="28"/>
  <c r="E41" i="28"/>
  <c r="E47" i="28"/>
  <c r="E44" i="28"/>
  <c r="E39" i="28"/>
  <c r="E46" i="28"/>
  <c r="E43" i="28"/>
  <c r="E45" i="28"/>
  <c r="D51" i="28"/>
  <c r="D54" i="28" s="1"/>
  <c r="F37" i="28"/>
  <c r="F49" i="28" s="1"/>
  <c r="E50" i="28"/>
  <c r="E48" i="28"/>
  <c r="F24" i="37"/>
  <c r="G15" i="28"/>
  <c r="G11" i="28"/>
  <c r="G13" i="28"/>
  <c r="H9" i="28"/>
  <c r="H20" i="28" s="1"/>
  <c r="G16" i="28"/>
  <c r="G17" i="28"/>
  <c r="G14" i="28"/>
  <c r="G10" i="28"/>
  <c r="G18" i="28"/>
  <c r="G12" i="28"/>
  <c r="F41" i="66"/>
  <c r="F39" i="66"/>
  <c r="F40" i="66"/>
  <c r="F10" i="62"/>
  <c r="E9" i="26"/>
  <c r="I13" i="47"/>
  <c r="G38" i="66" s="1"/>
  <c r="F4" i="37"/>
  <c r="J14" i="47"/>
  <c r="F180" i="55"/>
  <c r="G180" i="55"/>
  <c r="H75" i="35" l="1"/>
  <c r="T75" i="35"/>
  <c r="M75" i="35"/>
  <c r="L75" i="35"/>
  <c r="F75" i="35"/>
  <c r="F14" i="35" s="1"/>
  <c r="AG75" i="35"/>
  <c r="D75" i="35"/>
  <c r="AK75" i="35"/>
  <c r="AC75" i="35"/>
  <c r="AC14" i="35" s="1"/>
  <c r="R75" i="35"/>
  <c r="S75" i="35"/>
  <c r="S14" i="35" s="1"/>
  <c r="AF75" i="35"/>
  <c r="AF14" i="35" s="1"/>
  <c r="AE75" i="35"/>
  <c r="U75" i="35"/>
  <c r="AJ75" i="35"/>
  <c r="AJ14" i="35" s="1"/>
  <c r="R14" i="35"/>
  <c r="D14" i="35"/>
  <c r="K75" i="35"/>
  <c r="Y75" i="35"/>
  <c r="N75" i="35"/>
  <c r="L14" i="35"/>
  <c r="W75" i="35"/>
  <c r="W14" i="35" s="1"/>
  <c r="AH75" i="35"/>
  <c r="AH14" i="35" s="1"/>
  <c r="Z75" i="35"/>
  <c r="Z14" i="35" s="1"/>
  <c r="P75" i="35"/>
  <c r="P14" i="35" s="1"/>
  <c r="AB75" i="35"/>
  <c r="Q75" i="35"/>
  <c r="Q14" i="35" s="1"/>
  <c r="V75" i="35"/>
  <c r="V14" i="35" s="1"/>
  <c r="I75" i="35"/>
  <c r="I14" i="35" s="1"/>
  <c r="AD75" i="35"/>
  <c r="E75" i="35"/>
  <c r="E14" i="35" s="1"/>
  <c r="AA75" i="35"/>
  <c r="J75" i="35"/>
  <c r="J14" i="35" s="1"/>
  <c r="N14" i="35"/>
  <c r="X75" i="35"/>
  <c r="C75" i="35"/>
  <c r="C14" i="35" s="1"/>
  <c r="O75" i="35"/>
  <c r="O14" i="35" s="1"/>
  <c r="AI75" i="35"/>
  <c r="G75" i="35"/>
  <c r="F69" i="33"/>
  <c r="D28" i="28"/>
  <c r="H59" i="28"/>
  <c r="D33" i="28"/>
  <c r="G61" i="28"/>
  <c r="D34" i="28"/>
  <c r="H61" i="28"/>
  <c r="D35" i="28"/>
  <c r="I61" i="28"/>
  <c r="D31" i="28"/>
  <c r="H60" i="28"/>
  <c r="D27" i="28"/>
  <c r="G59" i="28"/>
  <c r="D30" i="28"/>
  <c r="G60" i="28"/>
  <c r="D24" i="28"/>
  <c r="G58" i="28"/>
  <c r="D29" i="28"/>
  <c r="I59" i="28"/>
  <c r="D32" i="28"/>
  <c r="I60" i="28"/>
  <c r="D26" i="28"/>
  <c r="I58" i="28"/>
  <c r="L36" i="40"/>
  <c r="L37" i="40" s="1"/>
  <c r="L38" i="40" s="1"/>
  <c r="O113" i="55" s="1"/>
  <c r="AL40" i="45"/>
  <c r="M13" i="52"/>
  <c r="M7" i="52" s="1"/>
  <c r="G52" i="35"/>
  <c r="L9" i="39"/>
  <c r="L10" i="39" s="1"/>
  <c r="O72" i="55" s="1"/>
  <c r="L117" i="39"/>
  <c r="L28" i="39"/>
  <c r="L29" i="39" s="1"/>
  <c r="L30" i="39" s="1"/>
  <c r="O77" i="55" s="1"/>
  <c r="AA14" i="35"/>
  <c r="U14" i="35"/>
  <c r="M25" i="32"/>
  <c r="N28" i="40" s="1"/>
  <c r="N29" i="40" s="1"/>
  <c r="N30" i="40" s="1"/>
  <c r="T14" i="35"/>
  <c r="X14" i="35"/>
  <c r="AG14" i="35"/>
  <c r="AI14" i="35"/>
  <c r="AE14" i="35"/>
  <c r="K25" i="32"/>
  <c r="M20" i="52" s="1"/>
  <c r="AS39" i="45"/>
  <c r="AE51" i="35"/>
  <c r="Z67" i="35"/>
  <c r="Z12" i="35" s="1"/>
  <c r="J79" i="35"/>
  <c r="J15" i="35" s="1"/>
  <c r="H14" i="35"/>
  <c r="AB14" i="35"/>
  <c r="K14" i="35"/>
  <c r="AD14" i="35"/>
  <c r="M14" i="35"/>
  <c r="U67" i="35"/>
  <c r="U12" i="35" s="1"/>
  <c r="W79" i="35"/>
  <c r="W15" i="35" s="1"/>
  <c r="G14" i="35"/>
  <c r="AK14" i="35"/>
  <c r="Y14" i="35"/>
  <c r="AX39" i="45"/>
  <c r="F18" i="33"/>
  <c r="G18" i="33" s="1"/>
  <c r="I22" i="36"/>
  <c r="E160" i="68"/>
  <c r="C41" i="68"/>
  <c r="D41" i="68" s="1"/>
  <c r="E41" i="68" s="1"/>
  <c r="E71" i="68" s="1"/>
  <c r="E162" i="68" s="1"/>
  <c r="D35" i="58"/>
  <c r="D36" i="58" s="1"/>
  <c r="D21" i="37" s="1"/>
  <c r="AB130" i="39"/>
  <c r="AD81" i="35"/>
  <c r="AD79" i="35" s="1"/>
  <c r="AD15" i="35" s="1"/>
  <c r="K79" i="35"/>
  <c r="K15" i="35" s="1"/>
  <c r="AI79" i="35"/>
  <c r="AI15" i="35" s="1"/>
  <c r="W52" i="35"/>
  <c r="V51" i="35"/>
  <c r="AK39" i="45"/>
  <c r="G22" i="33"/>
  <c r="E35" i="58" s="1"/>
  <c r="E36" i="58" s="1"/>
  <c r="E21" i="37" s="1"/>
  <c r="H45" i="55"/>
  <c r="I49" i="33"/>
  <c r="J45" i="55" s="1"/>
  <c r="H24" i="33"/>
  <c r="I21" i="55" s="1"/>
  <c r="AH39" i="45"/>
  <c r="N36" i="40"/>
  <c r="N37" i="40" s="1"/>
  <c r="N38" i="40" s="1"/>
  <c r="Q113" i="55" s="1"/>
  <c r="AE52" i="35"/>
  <c r="N13" i="41"/>
  <c r="Q128" i="55" s="1"/>
  <c r="AC15" i="30"/>
  <c r="O13" i="52"/>
  <c r="O7" i="52" s="1"/>
  <c r="R52" i="35"/>
  <c r="AC74" i="32"/>
  <c r="AE39" i="52" s="1"/>
  <c r="AE38" i="52" s="1"/>
  <c r="AT67" i="45"/>
  <c r="AC39" i="45"/>
  <c r="N130" i="39"/>
  <c r="AF67" i="35"/>
  <c r="AF12" i="35" s="1"/>
  <c r="U52" i="35"/>
  <c r="AH52" i="35"/>
  <c r="G9" i="33"/>
  <c r="H12" i="55" s="1"/>
  <c r="K67" i="35"/>
  <c r="K12" i="35" s="1"/>
  <c r="AJ14" i="52"/>
  <c r="AU67" i="45"/>
  <c r="AB79" i="35"/>
  <c r="AB15" i="35" s="1"/>
  <c r="W67" i="35"/>
  <c r="W12" i="35" s="1"/>
  <c r="AI67" i="35"/>
  <c r="AI12" i="35" s="1"/>
  <c r="Z51" i="35"/>
  <c r="AD15" i="30"/>
  <c r="AI129" i="55"/>
  <c r="X79" i="35"/>
  <c r="X15" i="35" s="1"/>
  <c r="Z52" i="35"/>
  <c r="AD74" i="32"/>
  <c r="AE112" i="39" s="1"/>
  <c r="AA129" i="55"/>
  <c r="T79" i="35"/>
  <c r="T15" i="35" s="1"/>
  <c r="AK79" i="35"/>
  <c r="AK15" i="35" s="1"/>
  <c r="AB14" i="52"/>
  <c r="B9" i="35"/>
  <c r="T130" i="39"/>
  <c r="AJ67" i="35"/>
  <c r="AJ12" i="35" s="1"/>
  <c r="AO67" i="45"/>
  <c r="N67" i="35"/>
  <c r="N12" i="35" s="1"/>
  <c r="Q51" i="35"/>
  <c r="Q67" i="35"/>
  <c r="Q12" i="35" s="1"/>
  <c r="AL34" i="45"/>
  <c r="AH79" i="35"/>
  <c r="AH15" i="35" s="1"/>
  <c r="T14" i="52"/>
  <c r="Y67" i="35"/>
  <c r="Y12" i="35" s="1"/>
  <c r="S67" i="35"/>
  <c r="S12" i="35" s="1"/>
  <c r="AG67" i="35"/>
  <c r="AG12" i="35" s="1"/>
  <c r="AA67" i="35"/>
  <c r="AA12" i="35" s="1"/>
  <c r="O129" i="55"/>
  <c r="G129" i="55"/>
  <c r="M67" i="35"/>
  <c r="M12" i="35" s="1"/>
  <c r="B127" i="39"/>
  <c r="AG130" i="39"/>
  <c r="L25" i="32"/>
  <c r="M20" i="39" s="1"/>
  <c r="W12" i="52"/>
  <c r="W7" i="52" s="1"/>
  <c r="W130" i="39"/>
  <c r="AK16" i="41"/>
  <c r="AK128" i="39"/>
  <c r="AJ130" i="39"/>
  <c r="AH16" i="41"/>
  <c r="AH128" i="39"/>
  <c r="Y16" i="41"/>
  <c r="Y128" i="39"/>
  <c r="AA130" i="39"/>
  <c r="AC16" i="41"/>
  <c r="AC128" i="39"/>
  <c r="AD129" i="55"/>
  <c r="AA79" i="35"/>
  <c r="AA15" i="35" s="1"/>
  <c r="AE79" i="35"/>
  <c r="AE15" i="35" s="1"/>
  <c r="P25" i="32"/>
  <c r="Q20" i="39" s="1"/>
  <c r="V12" i="41"/>
  <c r="Y128" i="55" s="1"/>
  <c r="G25" i="32"/>
  <c r="H28" i="40" s="1"/>
  <c r="H29" i="40" s="1"/>
  <c r="H30" i="40" s="1"/>
  <c r="U25" i="32"/>
  <c r="V20" i="41" s="1"/>
  <c r="Y130" i="55" s="1"/>
  <c r="J67" i="35"/>
  <c r="J12" i="35" s="1"/>
  <c r="V117" i="39"/>
  <c r="Y96" i="55" s="1"/>
  <c r="R67" i="35"/>
  <c r="R12" i="35" s="1"/>
  <c r="AJ79" i="35"/>
  <c r="AJ15" i="35" s="1"/>
  <c r="L67" i="35"/>
  <c r="L12" i="35" s="1"/>
  <c r="O79" i="35"/>
  <c r="O15" i="35" s="1"/>
  <c r="T67" i="35"/>
  <c r="T12" i="35" s="1"/>
  <c r="AB67" i="35"/>
  <c r="AB12" i="35" s="1"/>
  <c r="AC68" i="45"/>
  <c r="AF25" i="32"/>
  <c r="K24" i="55"/>
  <c r="K26" i="33"/>
  <c r="O25" i="32"/>
  <c r="X25" i="32"/>
  <c r="T25" i="32"/>
  <c r="U20" i="39" s="1"/>
  <c r="V25" i="32"/>
  <c r="W20" i="39" s="1"/>
  <c r="AA25" i="32"/>
  <c r="AB28" i="40" s="1"/>
  <c r="AB29" i="40" s="1"/>
  <c r="AB30" i="40" s="1"/>
  <c r="F25" i="32"/>
  <c r="I25" i="55"/>
  <c r="D16" i="32"/>
  <c r="I27" i="33"/>
  <c r="J27" i="33" s="1"/>
  <c r="D15" i="32"/>
  <c r="F12" i="52" s="1"/>
  <c r="I16" i="41"/>
  <c r="AI25" i="32"/>
  <c r="AJ28" i="40" s="1"/>
  <c r="AJ29" i="40" s="1"/>
  <c r="AJ30" i="40" s="1"/>
  <c r="B15" i="30"/>
  <c r="N16" i="41"/>
  <c r="W15" i="32"/>
  <c r="X12" i="41" s="1"/>
  <c r="W46" i="30"/>
  <c r="X46" i="35" s="1"/>
  <c r="R16" i="32"/>
  <c r="S28" i="39" s="1"/>
  <c r="R46" i="30"/>
  <c r="S46" i="35" s="1"/>
  <c r="P79" i="35"/>
  <c r="P15" i="35" s="1"/>
  <c r="M16" i="41"/>
  <c r="H30" i="33"/>
  <c r="I28" i="55" s="1"/>
  <c r="Q16" i="41"/>
  <c r="C46" i="35"/>
  <c r="C43" i="35" s="1"/>
  <c r="S34" i="45"/>
  <c r="G16" i="41"/>
  <c r="R16" i="41"/>
  <c r="Z25" i="32"/>
  <c r="AA20" i="39" s="1"/>
  <c r="G33" i="33"/>
  <c r="H35" i="33"/>
  <c r="I33" i="55" s="1"/>
  <c r="I31" i="55" s="1"/>
  <c r="AJ15" i="32"/>
  <c r="AL12" i="52" s="1"/>
  <c r="AJ46" i="30"/>
  <c r="BA34" i="45" s="1"/>
  <c r="Z16" i="41"/>
  <c r="V16" i="41"/>
  <c r="AG16" i="41"/>
  <c r="AB25" i="32"/>
  <c r="AC20" i="39" s="1"/>
  <c r="W16" i="41"/>
  <c r="C25" i="32"/>
  <c r="D129" i="39" s="1"/>
  <c r="U16" i="41"/>
  <c r="AC16" i="32"/>
  <c r="AD36" i="40" s="1"/>
  <c r="AD37" i="40" s="1"/>
  <c r="AD38" i="40" s="1"/>
  <c r="AG113" i="55" s="1"/>
  <c r="AC46" i="30"/>
  <c r="AD46" i="35" s="1"/>
  <c r="H15" i="32"/>
  <c r="I12" i="41" s="1"/>
  <c r="H46" i="30"/>
  <c r="Y34" i="45" s="1"/>
  <c r="AF8" i="39"/>
  <c r="AF117" i="39" s="1"/>
  <c r="AE46" i="30"/>
  <c r="AF46" i="35" s="1"/>
  <c r="N15" i="32"/>
  <c r="O12" i="41" s="1"/>
  <c r="N46" i="30"/>
  <c r="O46" i="35" s="1"/>
  <c r="AE16" i="41"/>
  <c r="E16" i="41"/>
  <c r="E16" i="32"/>
  <c r="E46" i="30"/>
  <c r="E8" i="30" s="1"/>
  <c r="O16" i="41"/>
  <c r="E8" i="39"/>
  <c r="E118" i="39" s="1"/>
  <c r="H97" i="55" s="1"/>
  <c r="S25" i="32"/>
  <c r="T20" i="39" s="1"/>
  <c r="B74" i="32"/>
  <c r="C112" i="39" s="1"/>
  <c r="C124" i="39" s="1"/>
  <c r="AD16" i="41"/>
  <c r="D67" i="35"/>
  <c r="D12" i="35" s="1"/>
  <c r="F24" i="39"/>
  <c r="F25" i="39" s="1"/>
  <c r="F26" i="39" s="1"/>
  <c r="I76" i="55" s="1"/>
  <c r="AC67" i="35"/>
  <c r="AC12" i="35" s="1"/>
  <c r="I67" i="35"/>
  <c r="I12" i="35" s="1"/>
  <c r="AV67" i="45"/>
  <c r="AB61" i="41"/>
  <c r="AE139" i="55" s="1"/>
  <c r="G21" i="52"/>
  <c r="F22" i="41"/>
  <c r="I131" i="55" s="1"/>
  <c r="F27" i="32"/>
  <c r="G32" i="40" s="1"/>
  <c r="G33" i="40" s="1"/>
  <c r="G34" i="40" s="1"/>
  <c r="J112" i="55" s="1"/>
  <c r="G41" i="35"/>
  <c r="G40" i="35" s="1"/>
  <c r="G7" i="35" s="1"/>
  <c r="W29" i="45"/>
  <c r="F7" i="30"/>
  <c r="G41" i="30"/>
  <c r="F32" i="40"/>
  <c r="F33" i="40" s="1"/>
  <c r="F34" i="40" s="1"/>
  <c r="I112" i="55" s="1"/>
  <c r="AB15" i="30"/>
  <c r="J39" i="52"/>
  <c r="J38" i="52" s="1"/>
  <c r="I112" i="39"/>
  <c r="I124" i="39" s="1"/>
  <c r="L103" i="55" s="1"/>
  <c r="I92" i="40"/>
  <c r="I93" i="40" s="1"/>
  <c r="I94" i="40" s="1"/>
  <c r="L126" i="55" s="1"/>
  <c r="AS67" i="45"/>
  <c r="E67" i="35"/>
  <c r="E12" i="35" s="1"/>
  <c r="P67" i="35"/>
  <c r="P12" i="35" s="1"/>
  <c r="N129" i="55"/>
  <c r="AK67" i="35"/>
  <c r="AK12" i="35" s="1"/>
  <c r="V118" i="39"/>
  <c r="Y97" i="55" s="1"/>
  <c r="F67" i="35"/>
  <c r="F12" i="35" s="1"/>
  <c r="R74" i="32"/>
  <c r="S61" i="41" s="1"/>
  <c r="V139" i="55" s="1"/>
  <c r="S81" i="35"/>
  <c r="S79" i="35" s="1"/>
  <c r="S15" i="35" s="1"/>
  <c r="V67" i="35"/>
  <c r="V12" i="35" s="1"/>
  <c r="S67" i="45"/>
  <c r="C79" i="35"/>
  <c r="C15" i="35" s="1"/>
  <c r="AE67" i="35"/>
  <c r="AE12" i="35" s="1"/>
  <c r="L15" i="30"/>
  <c r="H67" i="35"/>
  <c r="H12" i="35" s="1"/>
  <c r="AD67" i="35"/>
  <c r="AD12" i="35" s="1"/>
  <c r="X67" i="35"/>
  <c r="X12" i="35" s="1"/>
  <c r="AG40" i="45"/>
  <c r="AM39" i="45"/>
  <c r="Y51" i="35"/>
  <c r="AC40" i="45"/>
  <c r="U14" i="52"/>
  <c r="W129" i="55"/>
  <c r="Q18" i="41"/>
  <c r="B18" i="41" s="1"/>
  <c r="W17" i="52"/>
  <c r="V17" i="41"/>
  <c r="Z17" i="41"/>
  <c r="AA17" i="52"/>
  <c r="G14" i="52"/>
  <c r="AE129" i="55"/>
  <c r="R17" i="52"/>
  <c r="Q17" i="41"/>
  <c r="AM129" i="55"/>
  <c r="AL129" i="55"/>
  <c r="AC52" i="35"/>
  <c r="D17" i="52"/>
  <c r="D14" i="52" s="1"/>
  <c r="E19" i="33"/>
  <c r="E15" i="33" s="1"/>
  <c r="C17" i="41"/>
  <c r="F129" i="55" s="1"/>
  <c r="F20" i="33"/>
  <c r="G16" i="55" s="1"/>
  <c r="F16" i="55"/>
  <c r="I129" i="55"/>
  <c r="X68" i="45"/>
  <c r="O67" i="35"/>
  <c r="O12" i="35" s="1"/>
  <c r="W67" i="45"/>
  <c r="F81" i="35"/>
  <c r="B17" i="39"/>
  <c r="AH67" i="35"/>
  <c r="AH12" i="35" s="1"/>
  <c r="C67" i="35"/>
  <c r="C12" i="35" s="1"/>
  <c r="O8" i="24"/>
  <c r="P8" i="24" s="1"/>
  <c r="S8" i="24" s="1"/>
  <c r="U8" i="24" s="1"/>
  <c r="Y8" i="24" s="1"/>
  <c r="L54" i="33"/>
  <c r="M54" i="33" s="1"/>
  <c r="N54" i="33" s="1"/>
  <c r="H79" i="35"/>
  <c r="H15" i="35" s="1"/>
  <c r="X67" i="45"/>
  <c r="G15" i="30"/>
  <c r="I79" i="35"/>
  <c r="I15" i="35" s="1"/>
  <c r="Z17" i="52"/>
  <c r="L74" i="32"/>
  <c r="M92" i="40" s="1"/>
  <c r="M93" i="40" s="1"/>
  <c r="M94" i="40" s="1"/>
  <c r="I56" i="33"/>
  <c r="Y17" i="41"/>
  <c r="AE16" i="32"/>
  <c r="B21" i="40"/>
  <c r="I55" i="33"/>
  <c r="J55" i="33" s="1"/>
  <c r="I57" i="33"/>
  <c r="J57" i="33" s="1"/>
  <c r="B20" i="40"/>
  <c r="AC67" i="45"/>
  <c r="G14" i="55"/>
  <c r="B16" i="39"/>
  <c r="Y74" i="32"/>
  <c r="Z92" i="40" s="1"/>
  <c r="Z93" i="40" s="1"/>
  <c r="Z94" i="40" s="1"/>
  <c r="I21" i="33"/>
  <c r="J21" i="33" s="1"/>
  <c r="I8" i="39"/>
  <c r="I118" i="39" s="1"/>
  <c r="L97" i="55" s="1"/>
  <c r="F8" i="39"/>
  <c r="F118" i="39" s="1"/>
  <c r="I97" i="55" s="1"/>
  <c r="H16" i="32"/>
  <c r="I130" i="39" s="1"/>
  <c r="E62" i="30"/>
  <c r="E11" i="30" s="1"/>
  <c r="H62" i="30"/>
  <c r="H11" i="30" s="1"/>
  <c r="E15" i="32"/>
  <c r="C5" i="37"/>
  <c r="C10" i="26" s="1"/>
  <c r="C9" i="49"/>
  <c r="AF81" i="35"/>
  <c r="AF79" i="35" s="1"/>
  <c r="AF15" i="35" s="1"/>
  <c r="AE15" i="30"/>
  <c r="AE74" i="32"/>
  <c r="AG39" i="52" s="1"/>
  <c r="AG38" i="52" s="1"/>
  <c r="AG67" i="45"/>
  <c r="AB74" i="32"/>
  <c r="AD39" i="52" s="1"/>
  <c r="AD38" i="52" s="1"/>
  <c r="AC39" i="52"/>
  <c r="AC38" i="52" s="1"/>
  <c r="AB112" i="39"/>
  <c r="AB113" i="39" s="1"/>
  <c r="AB114" i="39" s="1"/>
  <c r="AS68" i="45"/>
  <c r="P15" i="30"/>
  <c r="T67" i="45"/>
  <c r="AE126" i="55"/>
  <c r="G58" i="33"/>
  <c r="G38" i="50"/>
  <c r="G20" i="36" s="1"/>
  <c r="R15" i="30"/>
  <c r="AI67" i="45"/>
  <c r="X15" i="30"/>
  <c r="X74" i="32"/>
  <c r="Y112" i="39" s="1"/>
  <c r="AO68" i="45"/>
  <c r="AP67" i="45"/>
  <c r="F74" i="32"/>
  <c r="G61" i="41" s="1"/>
  <c r="J139" i="55" s="1"/>
  <c r="I36" i="55"/>
  <c r="AJ16" i="32"/>
  <c r="AK130" i="39" s="1"/>
  <c r="U79" i="35"/>
  <c r="U15" i="35" s="1"/>
  <c r="AH67" i="45"/>
  <c r="AK8" i="39"/>
  <c r="AK118" i="39" s="1"/>
  <c r="AN97" i="55" s="1"/>
  <c r="J51" i="55"/>
  <c r="AK67" i="45"/>
  <c r="BA49" i="45"/>
  <c r="AV49" i="45"/>
  <c r="AE15" i="32"/>
  <c r="H66" i="33"/>
  <c r="H58" i="33" s="1"/>
  <c r="I14" i="33"/>
  <c r="J10" i="55" s="1"/>
  <c r="H32" i="33"/>
  <c r="I30" i="55" s="1"/>
  <c r="E138" i="55"/>
  <c r="I42" i="33"/>
  <c r="J42" i="33" s="1"/>
  <c r="K42" i="33" s="1"/>
  <c r="L40" i="55" s="1"/>
  <c r="O8" i="39"/>
  <c r="O117" i="39" s="1"/>
  <c r="N16" i="32"/>
  <c r="AE49" i="45"/>
  <c r="I51" i="33"/>
  <c r="J47" i="55" s="1"/>
  <c r="I54" i="55"/>
  <c r="I64" i="33"/>
  <c r="J64" i="33" s="1"/>
  <c r="S8" i="39"/>
  <c r="S117" i="39" s="1"/>
  <c r="AI49" i="45"/>
  <c r="R15" i="32"/>
  <c r="X8" i="39"/>
  <c r="X118" i="39" s="1"/>
  <c r="AA97" i="55" s="1"/>
  <c r="O15" i="30"/>
  <c r="W16" i="32"/>
  <c r="X130" i="39" s="1"/>
  <c r="O74" i="32"/>
  <c r="Q39" i="52" s="1"/>
  <c r="Q38" i="52" s="1"/>
  <c r="AF68" i="45"/>
  <c r="W62" i="30"/>
  <c r="W11" i="30" s="1"/>
  <c r="AC79" i="35"/>
  <c r="AC15" i="35" s="1"/>
  <c r="T15" i="30"/>
  <c r="AK68" i="45"/>
  <c r="W68" i="45"/>
  <c r="G81" i="35"/>
  <c r="G79" i="35" s="1"/>
  <c r="G15" i="35" s="1"/>
  <c r="F15" i="30"/>
  <c r="Y79" i="35"/>
  <c r="Y15" i="35" s="1"/>
  <c r="D79" i="35"/>
  <c r="D15" i="35" s="1"/>
  <c r="F21" i="24"/>
  <c r="AD8" i="39"/>
  <c r="AD117" i="39" s="1"/>
  <c r="J59" i="33"/>
  <c r="K49" i="55" s="1"/>
  <c r="I62" i="33"/>
  <c r="J52" i="55" s="1"/>
  <c r="R69" i="45"/>
  <c r="N20" i="39"/>
  <c r="N21" i="39" s="1"/>
  <c r="N22" i="39" s="1"/>
  <c r="F9" i="24"/>
  <c r="I39" i="33"/>
  <c r="J37" i="55" s="1"/>
  <c r="AG68" i="45"/>
  <c r="Q81" i="35"/>
  <c r="Q79" i="35" s="1"/>
  <c r="Q15" i="35" s="1"/>
  <c r="Q13" i="32"/>
  <c r="Y13" i="32"/>
  <c r="Y46" i="30" s="1"/>
  <c r="B11" i="41"/>
  <c r="C11" i="52"/>
  <c r="Q15" i="30"/>
  <c r="F33" i="24"/>
  <c r="F16" i="24"/>
  <c r="F17" i="24"/>
  <c r="T21" i="30"/>
  <c r="AJ9" i="45"/>
  <c r="T21" i="35"/>
  <c r="E34" i="40"/>
  <c r="C15" i="30"/>
  <c r="C74" i="32"/>
  <c r="E39" i="52" s="1"/>
  <c r="E38" i="52" s="1"/>
  <c r="O128" i="55"/>
  <c r="P74" i="32"/>
  <c r="R39" i="52" s="1"/>
  <c r="R38" i="52" s="1"/>
  <c r="G26" i="41"/>
  <c r="J133" i="55" s="1"/>
  <c r="H23" i="52"/>
  <c r="AD20" i="45"/>
  <c r="N32" i="30"/>
  <c r="N32" i="35"/>
  <c r="M29" i="30"/>
  <c r="AC17" i="45"/>
  <c r="M29" i="35"/>
  <c r="V80" i="35"/>
  <c r="AL67" i="45"/>
  <c r="U74" i="32"/>
  <c r="V130" i="39" s="1"/>
  <c r="U15" i="30"/>
  <c r="AD61" i="35"/>
  <c r="F39" i="24"/>
  <c r="G6" i="30"/>
  <c r="G31" i="32"/>
  <c r="H19" i="30"/>
  <c r="X7" i="45"/>
  <c r="H19" i="35"/>
  <c r="H18" i="35" s="1"/>
  <c r="H6" i="35" s="1"/>
  <c r="I27" i="30"/>
  <c r="I27" i="35"/>
  <c r="Y15" i="45"/>
  <c r="U68" i="45"/>
  <c r="E81" i="35"/>
  <c r="G74" i="32"/>
  <c r="H92" i="40" s="1"/>
  <c r="H93" i="40" s="1"/>
  <c r="H94" i="40" s="1"/>
  <c r="F11" i="24"/>
  <c r="AC15" i="32"/>
  <c r="I46" i="33"/>
  <c r="J43" i="55" s="1"/>
  <c r="E15" i="30"/>
  <c r="AB67" i="45"/>
  <c r="L80" i="35"/>
  <c r="K15" i="30"/>
  <c r="K74" i="32"/>
  <c r="L130" i="39" s="1"/>
  <c r="F80" i="35"/>
  <c r="AI8" i="52"/>
  <c r="E74" i="32"/>
  <c r="F61" i="41" s="1"/>
  <c r="I139" i="55" s="1"/>
  <c r="L81" i="35"/>
  <c r="AB68" i="45"/>
  <c r="Y15" i="30"/>
  <c r="C80" i="68"/>
  <c r="D80" i="68" s="1"/>
  <c r="H80" i="68" s="1"/>
  <c r="T68" i="45"/>
  <c r="O39" i="52"/>
  <c r="O38" i="52" s="1"/>
  <c r="N61" i="41"/>
  <c r="Q139" i="55" s="1"/>
  <c r="N92" i="40"/>
  <c r="N93" i="40" s="1"/>
  <c r="N94" i="40" s="1"/>
  <c r="N112" i="39"/>
  <c r="F20" i="24"/>
  <c r="Q30" i="30"/>
  <c r="Q30" i="35"/>
  <c r="AG18" i="45"/>
  <c r="AG79" i="35"/>
  <c r="AG15" i="35" s="1"/>
  <c r="U67" i="45"/>
  <c r="D74" i="32"/>
  <c r="E80" i="35"/>
  <c r="D15" i="30"/>
  <c r="AL68" i="45"/>
  <c r="V81" i="35"/>
  <c r="F30" i="24"/>
  <c r="K7" i="50"/>
  <c r="L9" i="50"/>
  <c r="AH68" i="45"/>
  <c r="AP68" i="45"/>
  <c r="I63" i="33"/>
  <c r="J53" i="55" s="1"/>
  <c r="R81" i="35"/>
  <c r="R79" i="35" s="1"/>
  <c r="R15" i="35" s="1"/>
  <c r="Z81" i="35"/>
  <c r="Z79" i="35" s="1"/>
  <c r="Z15" i="35" s="1"/>
  <c r="H170" i="68"/>
  <c r="O35" i="30"/>
  <c r="AE23" i="45"/>
  <c r="O35" i="35"/>
  <c r="F15" i="24"/>
  <c r="M79" i="35"/>
  <c r="M15" i="35" s="1"/>
  <c r="O31" i="30"/>
  <c r="O31" i="35"/>
  <c r="AE19" i="45"/>
  <c r="L24" i="30"/>
  <c r="AB12" i="45"/>
  <c r="L24" i="35"/>
  <c r="AC23" i="30"/>
  <c r="AS11" i="45"/>
  <c r="AC23" i="35"/>
  <c r="F23" i="24"/>
  <c r="H26" i="50"/>
  <c r="I27" i="50"/>
  <c r="F43" i="24"/>
  <c r="I44" i="30"/>
  <c r="Y32" i="45"/>
  <c r="I44" i="35"/>
  <c r="N79" i="35"/>
  <c r="N15" i="35" s="1"/>
  <c r="G59" i="55"/>
  <c r="G69" i="33"/>
  <c r="AD28" i="30"/>
  <c r="AD28" i="35"/>
  <c r="AT16" i="45"/>
  <c r="F42" i="24"/>
  <c r="Q74" i="32"/>
  <c r="R61" i="41" s="1"/>
  <c r="U139" i="55" s="1"/>
  <c r="J20" i="55"/>
  <c r="J66" i="55" s="1"/>
  <c r="J195" i="55" s="1"/>
  <c r="F14" i="24"/>
  <c r="F18" i="24"/>
  <c r="T74" i="32"/>
  <c r="U92" i="40" s="1"/>
  <c r="U93" i="40" s="1"/>
  <c r="U94" i="40" s="1"/>
  <c r="F24" i="24"/>
  <c r="H48" i="55"/>
  <c r="I42" i="55"/>
  <c r="J45" i="33"/>
  <c r="K45" i="33" s="1"/>
  <c r="L42" i="55" s="1"/>
  <c r="I66" i="55"/>
  <c r="I195" i="55" s="1"/>
  <c r="I19" i="55"/>
  <c r="K6" i="55"/>
  <c r="I55" i="55"/>
  <c r="I50" i="55"/>
  <c r="I60" i="33"/>
  <c r="J60" i="33" s="1"/>
  <c r="I65" i="33"/>
  <c r="K61" i="33"/>
  <c r="J31" i="33"/>
  <c r="K29" i="55" s="1"/>
  <c r="H16" i="33"/>
  <c r="I25" i="33"/>
  <c r="J22" i="55" s="1"/>
  <c r="K40" i="33"/>
  <c r="L40" i="33" s="1"/>
  <c r="M40" i="33" s="1"/>
  <c r="N40" i="33" s="1"/>
  <c r="L172" i="55"/>
  <c r="K171" i="55"/>
  <c r="V125" i="68"/>
  <c r="X129" i="68"/>
  <c r="Y129" i="68" s="1"/>
  <c r="Q121" i="68"/>
  <c r="R121" i="68" s="1"/>
  <c r="D23" i="37"/>
  <c r="E23" i="37" s="1"/>
  <c r="F23" i="37" s="1"/>
  <c r="G23" i="37" s="1"/>
  <c r="H23" i="37" s="1"/>
  <c r="I23" i="37" s="1"/>
  <c r="J23" i="37" s="1"/>
  <c r="K23" i="37" s="1"/>
  <c r="L23" i="37" s="1"/>
  <c r="M23" i="37" s="1"/>
  <c r="N23" i="37" s="1"/>
  <c r="O23" i="37" s="1"/>
  <c r="P23" i="37" s="1"/>
  <c r="Q23" i="37" s="1"/>
  <c r="R23" i="37" s="1"/>
  <c r="S23" i="37" s="1"/>
  <c r="T23" i="37" s="1"/>
  <c r="U23" i="37" s="1"/>
  <c r="V23" i="37" s="1"/>
  <c r="W23" i="37" s="1"/>
  <c r="X23" i="37" s="1"/>
  <c r="Y23" i="37" s="1"/>
  <c r="Z23" i="37" s="1"/>
  <c r="AA23" i="37" s="1"/>
  <c r="AB23" i="37" s="1"/>
  <c r="AC23" i="37" s="1"/>
  <c r="AD23" i="37" s="1"/>
  <c r="AE23" i="37" s="1"/>
  <c r="AF23" i="37" s="1"/>
  <c r="AG23" i="37" s="1"/>
  <c r="AH23" i="37" s="1"/>
  <c r="AI23" i="37" s="1"/>
  <c r="AJ23" i="37" s="1"/>
  <c r="AK23" i="37" s="1"/>
  <c r="K35" i="55"/>
  <c r="P120" i="68"/>
  <c r="Q120" i="68" s="1"/>
  <c r="AG16" i="32"/>
  <c r="AH130" i="39" s="1"/>
  <c r="AG15" i="32"/>
  <c r="AH8" i="39"/>
  <c r="I16" i="32"/>
  <c r="J130" i="39" s="1"/>
  <c r="I15" i="32"/>
  <c r="J8" i="39"/>
  <c r="J46" i="55"/>
  <c r="B13" i="35"/>
  <c r="L32" i="55"/>
  <c r="L34" i="33"/>
  <c r="J7" i="55"/>
  <c r="J11" i="33"/>
  <c r="K11" i="33" s="1"/>
  <c r="N115" i="68"/>
  <c r="O115" i="68" s="1"/>
  <c r="P115" i="68" s="1"/>
  <c r="G78" i="68"/>
  <c r="F80" i="55"/>
  <c r="E80" i="55" s="1"/>
  <c r="B42" i="39"/>
  <c r="AD12" i="52"/>
  <c r="AC12" i="41"/>
  <c r="L23" i="24"/>
  <c r="O23" i="24" s="1"/>
  <c r="P23" i="24" s="1"/>
  <c r="S23" i="24" s="1"/>
  <c r="AI15" i="52"/>
  <c r="AI14" i="52" s="1"/>
  <c r="AH15" i="41"/>
  <c r="F31" i="24"/>
  <c r="F88" i="55"/>
  <c r="E88" i="55" s="1"/>
  <c r="B74" i="39"/>
  <c r="L42" i="24"/>
  <c r="O42" i="24" s="1"/>
  <c r="P42" i="24" s="1"/>
  <c r="S42" i="24" s="1"/>
  <c r="AL50" i="45"/>
  <c r="V62" i="35"/>
  <c r="V59" i="35" s="1"/>
  <c r="V11" i="35" s="1"/>
  <c r="AB118" i="39"/>
  <c r="AE97" i="55" s="1"/>
  <c r="AB117" i="39"/>
  <c r="AB9" i="39"/>
  <c r="AB10" i="39" s="1"/>
  <c r="AE72" i="55" s="1"/>
  <c r="F12" i="24"/>
  <c r="U34" i="45"/>
  <c r="D8" i="30"/>
  <c r="E46" i="35"/>
  <c r="E43" i="35" s="1"/>
  <c r="E8" i="35" s="1"/>
  <c r="AC132" i="68"/>
  <c r="AD132" i="68" s="1"/>
  <c r="F34" i="24"/>
  <c r="F19" i="24"/>
  <c r="F36" i="24"/>
  <c r="F78" i="55"/>
  <c r="E78" i="55" s="1"/>
  <c r="B34" i="39"/>
  <c r="F87" i="55"/>
  <c r="E87" i="55" s="1"/>
  <c r="B70" i="39"/>
  <c r="J152" i="55"/>
  <c r="K153" i="55"/>
  <c r="F26" i="24"/>
  <c r="L22" i="24"/>
  <c r="O22" i="24" s="1"/>
  <c r="P22" i="24" s="1"/>
  <c r="S22" i="24" s="1"/>
  <c r="F62" i="30"/>
  <c r="F11" i="30" s="1"/>
  <c r="G61" i="35"/>
  <c r="W49" i="45"/>
  <c r="E12" i="52"/>
  <c r="D12" i="41"/>
  <c r="T62" i="30"/>
  <c r="T11" i="30" s="1"/>
  <c r="U61" i="35"/>
  <c r="AK49" i="45"/>
  <c r="L43" i="24"/>
  <c r="O43" i="24" s="1"/>
  <c r="P43" i="24" s="1"/>
  <c r="S43" i="24" s="1"/>
  <c r="F25" i="24"/>
  <c r="W12" i="41"/>
  <c r="X12" i="52"/>
  <c r="AJ118" i="39"/>
  <c r="AM97" i="55" s="1"/>
  <c r="AJ117" i="39"/>
  <c r="AJ9" i="39"/>
  <c r="AJ10" i="39" s="1"/>
  <c r="AM72" i="55" s="1"/>
  <c r="O61" i="41"/>
  <c r="R139" i="55" s="1"/>
  <c r="O92" i="40"/>
  <c r="O93" i="40" s="1"/>
  <c r="O94" i="40" s="1"/>
  <c r="O112" i="39"/>
  <c r="P39" i="52"/>
  <c r="P38" i="52" s="1"/>
  <c r="AG46" i="35"/>
  <c r="AW34" i="45"/>
  <c r="H7" i="33"/>
  <c r="I7" i="33" s="1"/>
  <c r="F27" i="24"/>
  <c r="O96" i="55"/>
  <c r="V126" i="68"/>
  <c r="W126" i="68" s="1"/>
  <c r="G48" i="33"/>
  <c r="H43" i="33"/>
  <c r="H36" i="33" s="1"/>
  <c r="U44" i="33"/>
  <c r="V23" i="55" s="1"/>
  <c r="P46" i="35"/>
  <c r="AF34" i="45"/>
  <c r="F73" i="55"/>
  <c r="E73" i="55" s="1"/>
  <c r="B14" i="39"/>
  <c r="U15" i="41"/>
  <c r="V15" i="52"/>
  <c r="V14" i="52" s="1"/>
  <c r="J32" i="55"/>
  <c r="F15" i="52"/>
  <c r="F14" i="52" s="1"/>
  <c r="E15" i="41"/>
  <c r="F29" i="24"/>
  <c r="AC15" i="41"/>
  <c r="AD15" i="52"/>
  <c r="AD14" i="52" s="1"/>
  <c r="G8" i="30"/>
  <c r="H46" i="35"/>
  <c r="H43" i="35" s="1"/>
  <c r="H8" i="35" s="1"/>
  <c r="X34" i="45"/>
  <c r="P62" i="30"/>
  <c r="P11" i="30" s="1"/>
  <c r="Q61" i="35"/>
  <c r="AG49" i="45"/>
  <c r="L30" i="24"/>
  <c r="O30" i="24" s="1"/>
  <c r="P30" i="24" s="1"/>
  <c r="S30" i="24" s="1"/>
  <c r="X62" i="30"/>
  <c r="X11" i="30" s="1"/>
  <c r="Y61" i="35"/>
  <c r="AO49" i="45"/>
  <c r="Y13" i="41"/>
  <c r="Y36" i="40"/>
  <c r="Y37" i="40" s="1"/>
  <c r="Y38" i="40" s="1"/>
  <c r="AB113" i="55" s="1"/>
  <c r="Y28" i="39"/>
  <c r="Z13" i="52"/>
  <c r="P15" i="52"/>
  <c r="P14" i="52" s="1"/>
  <c r="O15" i="41"/>
  <c r="Q111" i="55"/>
  <c r="J6" i="55"/>
  <c r="L36" i="55"/>
  <c r="L11" i="24"/>
  <c r="L120" i="39"/>
  <c r="O99" i="55" s="1"/>
  <c r="J15" i="52"/>
  <c r="J14" i="52" s="1"/>
  <c r="I15" i="41"/>
  <c r="F110" i="55"/>
  <c r="E110" i="55" s="1"/>
  <c r="B26" i="40"/>
  <c r="K61" i="41"/>
  <c r="N139" i="55" s="1"/>
  <c r="K92" i="40"/>
  <c r="K93" i="40" s="1"/>
  <c r="K94" i="40" s="1"/>
  <c r="K112" i="39"/>
  <c r="L39" i="52"/>
  <c r="L38" i="52" s="1"/>
  <c r="Q117" i="39"/>
  <c r="Q118" i="39"/>
  <c r="T97" i="55" s="1"/>
  <c r="Q9" i="39"/>
  <c r="Q10" i="39" s="1"/>
  <c r="T72" i="55" s="1"/>
  <c r="AC118" i="39"/>
  <c r="AF97" i="55" s="1"/>
  <c r="AC117" i="39"/>
  <c r="AC9" i="39"/>
  <c r="AC10" i="39" s="1"/>
  <c r="AF72" i="55" s="1"/>
  <c r="V44" i="33"/>
  <c r="W23" i="55" s="1"/>
  <c r="AJ61" i="41"/>
  <c r="AM139" i="55" s="1"/>
  <c r="AJ92" i="40"/>
  <c r="AJ93" i="40" s="1"/>
  <c r="AJ94" i="40" s="1"/>
  <c r="AJ112" i="39"/>
  <c r="AK39" i="52"/>
  <c r="AK38" i="52" s="1"/>
  <c r="AB46" i="35"/>
  <c r="AR34" i="45"/>
  <c r="D62" i="30"/>
  <c r="D11" i="30" s="1"/>
  <c r="E61" i="35"/>
  <c r="U49" i="45"/>
  <c r="I6" i="55"/>
  <c r="F81" i="55"/>
  <c r="E81" i="55" s="1"/>
  <c r="B46" i="39"/>
  <c r="L34" i="24"/>
  <c r="O34" i="24" s="1"/>
  <c r="P34" i="24" s="1"/>
  <c r="S34" i="24" s="1"/>
  <c r="F41" i="24"/>
  <c r="L36" i="24"/>
  <c r="O36" i="24" s="1"/>
  <c r="P36" i="24" s="1"/>
  <c r="S36" i="24" s="1"/>
  <c r="F89" i="55"/>
  <c r="E89" i="55" s="1"/>
  <c r="B78" i="39"/>
  <c r="P117" i="68"/>
  <c r="I151" i="55"/>
  <c r="I114" i="68"/>
  <c r="J114" i="68" s="1"/>
  <c r="D44" i="24"/>
  <c r="H9" i="24"/>
  <c r="L26" i="24"/>
  <c r="AA15" i="52"/>
  <c r="Z15" i="41"/>
  <c r="G12" i="41"/>
  <c r="H12" i="52"/>
  <c r="F122" i="55"/>
  <c r="E122" i="55" s="1"/>
  <c r="B74" i="40"/>
  <c r="Z8" i="41"/>
  <c r="D13" i="41"/>
  <c r="D28" i="39"/>
  <c r="D36" i="40"/>
  <c r="D37" i="40" s="1"/>
  <c r="D38" i="40" s="1"/>
  <c r="G113" i="55" s="1"/>
  <c r="E13" i="52"/>
  <c r="W15" i="52"/>
  <c r="V15" i="41"/>
  <c r="V12" i="52"/>
  <c r="U12" i="41"/>
  <c r="AJ46" i="35"/>
  <c r="AZ34" i="45"/>
  <c r="T118" i="39"/>
  <c r="W97" i="55" s="1"/>
  <c r="T117" i="39"/>
  <c r="T9" i="39"/>
  <c r="T10" i="39" s="1"/>
  <c r="W72" i="55" s="1"/>
  <c r="AF62" i="30"/>
  <c r="AF11" i="30" s="1"/>
  <c r="AG61" i="35"/>
  <c r="AW49" i="45"/>
  <c r="I39" i="55"/>
  <c r="L21" i="50"/>
  <c r="K19" i="50"/>
  <c r="I7" i="55"/>
  <c r="O15" i="52"/>
  <c r="O14" i="52" s="1"/>
  <c r="N15" i="41"/>
  <c r="L37" i="24"/>
  <c r="O37" i="24" s="1"/>
  <c r="P37" i="24" s="1"/>
  <c r="S37" i="24" s="1"/>
  <c r="AD15" i="32"/>
  <c r="AD16" i="32"/>
  <c r="AE8" i="39"/>
  <c r="AF49" i="45"/>
  <c r="O62" i="30"/>
  <c r="O11" i="30" s="1"/>
  <c r="P61" i="35"/>
  <c r="B13" i="39"/>
  <c r="AA130" i="68"/>
  <c r="AB130" i="68" s="1"/>
  <c r="AE133" i="68"/>
  <c r="Z131" i="68"/>
  <c r="AA131" i="68" s="1"/>
  <c r="AB131" i="68" s="1"/>
  <c r="AC131" i="68" s="1"/>
  <c r="AD131" i="68" s="1"/>
  <c r="H14" i="55"/>
  <c r="L39" i="24"/>
  <c r="O39" i="24" s="1"/>
  <c r="P39" i="24" s="1"/>
  <c r="S39" i="24" s="1"/>
  <c r="L29" i="24"/>
  <c r="O29" i="24" s="1"/>
  <c r="P29" i="24" s="1"/>
  <c r="S29" i="24" s="1"/>
  <c r="X49" i="45"/>
  <c r="G62" i="30"/>
  <c r="G11" i="30" s="1"/>
  <c r="H61" i="35"/>
  <c r="J29" i="55"/>
  <c r="Q13" i="41"/>
  <c r="Q36" i="40"/>
  <c r="Q37" i="40" s="1"/>
  <c r="Q38" i="40" s="1"/>
  <c r="T113" i="55" s="1"/>
  <c r="Q28" i="39"/>
  <c r="R13" i="52"/>
  <c r="L35" i="24"/>
  <c r="O35" i="24" s="1"/>
  <c r="P35" i="24" s="1"/>
  <c r="S35" i="24" s="1"/>
  <c r="L20" i="24"/>
  <c r="O20" i="24" s="1"/>
  <c r="P20" i="24" s="1"/>
  <c r="S20" i="24" s="1"/>
  <c r="F117" i="55"/>
  <c r="E117" i="55" s="1"/>
  <c r="B54" i="40"/>
  <c r="Y117" i="39"/>
  <c r="Y118" i="39"/>
  <c r="AB97" i="55" s="1"/>
  <c r="Y9" i="39"/>
  <c r="Y10" i="39" s="1"/>
  <c r="AB72" i="55" s="1"/>
  <c r="AS34" i="45"/>
  <c r="AC46" i="35"/>
  <c r="D79" i="68"/>
  <c r="G79" i="68" s="1"/>
  <c r="AA62" i="30"/>
  <c r="AA11" i="30" s="1"/>
  <c r="AB61" i="35"/>
  <c r="AR49" i="45"/>
  <c r="F13" i="24"/>
  <c r="F92" i="55"/>
  <c r="E92" i="55" s="1"/>
  <c r="B102" i="39"/>
  <c r="G15" i="41"/>
  <c r="H15" i="52"/>
  <c r="H14" i="52" s="1"/>
  <c r="B15" i="32"/>
  <c r="C8" i="39"/>
  <c r="Z15" i="52"/>
  <c r="Y15" i="41"/>
  <c r="F18" i="55"/>
  <c r="U123" i="68"/>
  <c r="V123" i="68" s="1"/>
  <c r="G34" i="55"/>
  <c r="R8" i="41"/>
  <c r="E44" i="24"/>
  <c r="L14" i="24"/>
  <c r="O14" i="24" s="1"/>
  <c r="P14" i="24" s="1"/>
  <c r="S14" i="24" s="1"/>
  <c r="F84" i="55"/>
  <c r="E84" i="55" s="1"/>
  <c r="B58" i="39"/>
  <c r="F118" i="55"/>
  <c r="E118" i="55" s="1"/>
  <c r="B58" i="40"/>
  <c r="U13" i="41"/>
  <c r="U36" i="40"/>
  <c r="U37" i="40" s="1"/>
  <c r="U38" i="40" s="1"/>
  <c r="X113" i="55" s="1"/>
  <c r="U28" i="39"/>
  <c r="V13" i="52"/>
  <c r="L40" i="24"/>
  <c r="O40" i="24" s="1"/>
  <c r="P40" i="24" s="1"/>
  <c r="S40" i="24" s="1"/>
  <c r="L25" i="24"/>
  <c r="O25" i="24" s="1"/>
  <c r="P25" i="24" s="1"/>
  <c r="S25" i="24" s="1"/>
  <c r="AI62" i="30"/>
  <c r="AI11" i="30" s="1"/>
  <c r="AJ61" i="35"/>
  <c r="AZ49" i="45"/>
  <c r="T46" i="35"/>
  <c r="AJ34" i="45"/>
  <c r="AG12" i="41"/>
  <c r="AH12" i="52"/>
  <c r="F107" i="55"/>
  <c r="E107" i="55" s="1"/>
  <c r="B14" i="40"/>
  <c r="F79" i="55"/>
  <c r="E79" i="55" s="1"/>
  <c r="B38" i="39"/>
  <c r="F91" i="55"/>
  <c r="E91" i="55" s="1"/>
  <c r="B98" i="39"/>
  <c r="F10" i="24"/>
  <c r="F32" i="24"/>
  <c r="AK15" i="41"/>
  <c r="AL15" i="52"/>
  <c r="AL14" i="52" s="1"/>
  <c r="Q12" i="52"/>
  <c r="P12" i="41"/>
  <c r="F119" i="55"/>
  <c r="E119" i="55" s="1"/>
  <c r="B62" i="40"/>
  <c r="I12" i="52"/>
  <c r="H12" i="41"/>
  <c r="AA118" i="39"/>
  <c r="AD97" i="55" s="1"/>
  <c r="AA117" i="39"/>
  <c r="AA9" i="39"/>
  <c r="AA10" i="39" s="1"/>
  <c r="AD72" i="55" s="1"/>
  <c r="Q46" i="35"/>
  <c r="AG34" i="45"/>
  <c r="Y46" i="35"/>
  <c r="AO34" i="45"/>
  <c r="AB62" i="30"/>
  <c r="AB11" i="30" s="1"/>
  <c r="AS49" i="45"/>
  <c r="AC61" i="35"/>
  <c r="AD50" i="45"/>
  <c r="N62" i="35"/>
  <c r="N59" i="35" s="1"/>
  <c r="N11" i="35" s="1"/>
  <c r="I29" i="55"/>
  <c r="I46" i="55"/>
  <c r="J50" i="33"/>
  <c r="K50" i="33" s="1"/>
  <c r="H48" i="33"/>
  <c r="AB13" i="41"/>
  <c r="AB28" i="39"/>
  <c r="AB36" i="40"/>
  <c r="AB37" i="40" s="1"/>
  <c r="AB38" i="40" s="1"/>
  <c r="AE113" i="55" s="1"/>
  <c r="AC13" i="52"/>
  <c r="L13" i="24"/>
  <c r="O13" i="24" s="1"/>
  <c r="P13" i="24" s="1"/>
  <c r="S13" i="24" s="1"/>
  <c r="I117" i="39"/>
  <c r="E28" i="39"/>
  <c r="L41" i="24"/>
  <c r="O41" i="24" s="1"/>
  <c r="P41" i="24" s="1"/>
  <c r="S41" i="24" s="1"/>
  <c r="F114" i="55"/>
  <c r="E114" i="55" s="1"/>
  <c r="B42" i="40"/>
  <c r="I35" i="55"/>
  <c r="L62" i="35"/>
  <c r="L59" i="35" s="1"/>
  <c r="L11" i="35" s="1"/>
  <c r="AB50" i="45"/>
  <c r="F115" i="55"/>
  <c r="E115" i="55" s="1"/>
  <c r="B46" i="40"/>
  <c r="R15" i="52"/>
  <c r="Q15" i="41"/>
  <c r="AK12" i="52"/>
  <c r="AJ12" i="41"/>
  <c r="S62" i="30"/>
  <c r="S11" i="30" s="1"/>
  <c r="T61" i="35"/>
  <c r="AJ49" i="45"/>
  <c r="AA61" i="41"/>
  <c r="AD139" i="55" s="1"/>
  <c r="AA92" i="40"/>
  <c r="AA93" i="40" s="1"/>
  <c r="AA94" i="40" s="1"/>
  <c r="AA112" i="39"/>
  <c r="AB39" i="52"/>
  <c r="AB38" i="52" s="1"/>
  <c r="R15" i="41"/>
  <c r="S15" i="52"/>
  <c r="S14" i="52" s="1"/>
  <c r="L10" i="24"/>
  <c r="O10" i="24" s="1"/>
  <c r="P10" i="24" s="1"/>
  <c r="S10" i="24" s="1"/>
  <c r="T44" i="33"/>
  <c r="U23" i="55" s="1"/>
  <c r="T61" i="41"/>
  <c r="W139" i="55" s="1"/>
  <c r="T92" i="40"/>
  <c r="T93" i="40" s="1"/>
  <c r="T94" i="40" s="1"/>
  <c r="T112" i="39"/>
  <c r="U39" i="52"/>
  <c r="U38" i="52" s="1"/>
  <c r="R119" i="68"/>
  <c r="AE15" i="52"/>
  <c r="AE14" i="52" s="1"/>
  <c r="AD15" i="41"/>
  <c r="K5" i="55"/>
  <c r="L24" i="24"/>
  <c r="O24" i="24" s="1"/>
  <c r="P24" i="24" s="1"/>
  <c r="S24" i="24" s="1"/>
  <c r="E173" i="68"/>
  <c r="F169" i="68" s="1"/>
  <c r="G77" i="68"/>
  <c r="F85" i="55"/>
  <c r="E85" i="55" s="1"/>
  <c r="B62" i="39"/>
  <c r="N116" i="68"/>
  <c r="AQ49" i="45"/>
  <c r="Z62" i="30"/>
  <c r="Z11" i="30" s="1"/>
  <c r="AA61" i="35"/>
  <c r="M118" i="39"/>
  <c r="P97" i="55" s="1"/>
  <c r="M117" i="39"/>
  <c r="M9" i="39"/>
  <c r="M10" i="39" s="1"/>
  <c r="P72" i="55" s="1"/>
  <c r="I38" i="55"/>
  <c r="Y128" i="68"/>
  <c r="T124" i="68"/>
  <c r="L19" i="24"/>
  <c r="L33" i="24"/>
  <c r="O33" i="24" s="1"/>
  <c r="P33" i="24" s="1"/>
  <c r="S33" i="24" s="1"/>
  <c r="J44" i="55"/>
  <c r="AC106" i="55"/>
  <c r="W117" i="39"/>
  <c r="W118" i="39"/>
  <c r="Z97" i="55" s="1"/>
  <c r="W9" i="39"/>
  <c r="W10" i="39" s="1"/>
  <c r="Z72" i="55" s="1"/>
  <c r="AJ13" i="41"/>
  <c r="AJ28" i="39"/>
  <c r="AJ36" i="40"/>
  <c r="AJ37" i="40" s="1"/>
  <c r="AJ38" i="40" s="1"/>
  <c r="AM113" i="55" s="1"/>
  <c r="AK13" i="52"/>
  <c r="U12" i="52"/>
  <c r="T12" i="41"/>
  <c r="AH8" i="41"/>
  <c r="L27" i="24"/>
  <c r="J5" i="55"/>
  <c r="K8" i="33"/>
  <c r="F74" i="55"/>
  <c r="E74" i="55" s="1"/>
  <c r="B18" i="39"/>
  <c r="F94" i="55"/>
  <c r="E94" i="55" s="1"/>
  <c r="B110" i="39"/>
  <c r="F90" i="55"/>
  <c r="E90" i="55" s="1"/>
  <c r="B94" i="39"/>
  <c r="F108" i="55"/>
  <c r="N120" i="39"/>
  <c r="Q99" i="55" s="1"/>
  <c r="N29" i="39"/>
  <c r="N30" i="39" s="1"/>
  <c r="Q77" i="55" s="1"/>
  <c r="J8" i="41"/>
  <c r="F28" i="24"/>
  <c r="I41" i="33"/>
  <c r="AA12" i="41"/>
  <c r="AB12" i="52"/>
  <c r="AC34" i="45"/>
  <c r="M46" i="35"/>
  <c r="AE135" i="68"/>
  <c r="AF135" i="68" s="1"/>
  <c r="AC12" i="52"/>
  <c r="AB12" i="41"/>
  <c r="W61" i="41"/>
  <c r="Z139" i="55" s="1"/>
  <c r="W92" i="40"/>
  <c r="W93" i="40" s="1"/>
  <c r="W94" i="40" s="1"/>
  <c r="W112" i="39"/>
  <c r="X39" i="52"/>
  <c r="X38" i="52" s="1"/>
  <c r="F106" i="55"/>
  <c r="AC13" i="41"/>
  <c r="AC36" i="40"/>
  <c r="AC37" i="40" s="1"/>
  <c r="AC38" i="40" s="1"/>
  <c r="AF113" i="55" s="1"/>
  <c r="AC28" i="39"/>
  <c r="AD13" i="52"/>
  <c r="K38" i="55"/>
  <c r="J35" i="55"/>
  <c r="G143" i="68"/>
  <c r="G182" i="68" s="1"/>
  <c r="G183" i="68" s="1"/>
  <c r="H179" i="68" s="1"/>
  <c r="F86" i="55"/>
  <c r="E86" i="55" s="1"/>
  <c r="B66" i="39"/>
  <c r="U106" i="55"/>
  <c r="L38" i="33"/>
  <c r="L9" i="24"/>
  <c r="J44" i="24"/>
  <c r="G117" i="39"/>
  <c r="G118" i="39"/>
  <c r="J97" i="55" s="1"/>
  <c r="G9" i="39"/>
  <c r="G10" i="39" s="1"/>
  <c r="J72" i="55" s="1"/>
  <c r="N118" i="68"/>
  <c r="D118" i="39"/>
  <c r="G97" i="55" s="1"/>
  <c r="D117" i="39"/>
  <c r="D9" i="39"/>
  <c r="D10" i="39" s="1"/>
  <c r="G72" i="55" s="1"/>
  <c r="W13" i="41"/>
  <c r="W36" i="40"/>
  <c r="W37" i="40" s="1"/>
  <c r="W38" i="40" s="1"/>
  <c r="Z113" i="55" s="1"/>
  <c r="W28" i="39"/>
  <c r="X13" i="52"/>
  <c r="T13" i="41"/>
  <c r="T28" i="39"/>
  <c r="T36" i="40"/>
  <c r="T37" i="40" s="1"/>
  <c r="T38" i="40" s="1"/>
  <c r="W113" i="55" s="1"/>
  <c r="U13" i="52"/>
  <c r="J47" i="33"/>
  <c r="M15" i="41"/>
  <c r="N15" i="52"/>
  <c r="N14" i="52" s="1"/>
  <c r="F116" i="55"/>
  <c r="E116" i="55" s="1"/>
  <c r="B50" i="40"/>
  <c r="J17" i="40"/>
  <c r="B16" i="40"/>
  <c r="F4" i="55"/>
  <c r="F6" i="33"/>
  <c r="B43" i="41"/>
  <c r="F123" i="55"/>
  <c r="E123" i="55" s="1"/>
  <c r="B78" i="40"/>
  <c r="AE62" i="30"/>
  <c r="AE11" i="30" s="1"/>
  <c r="AF61" i="35"/>
  <c r="W127" i="68"/>
  <c r="Y39" i="52"/>
  <c r="Y38" i="52" s="1"/>
  <c r="X61" i="41"/>
  <c r="AA139" i="55" s="1"/>
  <c r="X92" i="40"/>
  <c r="X93" i="40" s="1"/>
  <c r="X94" i="40" s="1"/>
  <c r="X112" i="39"/>
  <c r="F121" i="55"/>
  <c r="E121" i="55" s="1"/>
  <c r="B70" i="40"/>
  <c r="K8" i="52"/>
  <c r="L16" i="24"/>
  <c r="O16" i="24" s="1"/>
  <c r="P16" i="24" s="1"/>
  <c r="S16" i="24" s="1"/>
  <c r="L28" i="24"/>
  <c r="O28" i="24" s="1"/>
  <c r="P28" i="24" s="1"/>
  <c r="S28" i="24" s="1"/>
  <c r="B12" i="39"/>
  <c r="AF134" i="68"/>
  <c r="E8" i="50"/>
  <c r="AA13" i="41"/>
  <c r="AA36" i="40"/>
  <c r="AA37" i="40" s="1"/>
  <c r="AA38" i="40" s="1"/>
  <c r="AD113" i="55" s="1"/>
  <c r="AA28" i="39"/>
  <c r="AB13" i="52"/>
  <c r="L62" i="30"/>
  <c r="L11" i="30" s="1"/>
  <c r="M61" i="35"/>
  <c r="AC49" i="45"/>
  <c r="S122" i="68"/>
  <c r="T122" i="68" s="1"/>
  <c r="F83" i="55"/>
  <c r="E83" i="55" s="1"/>
  <c r="B54" i="39"/>
  <c r="Q12" i="41"/>
  <c r="R12" i="52"/>
  <c r="J61" i="41"/>
  <c r="M139" i="55" s="1"/>
  <c r="J92" i="40"/>
  <c r="J93" i="40" s="1"/>
  <c r="J94" i="40" s="1"/>
  <c r="J112" i="39"/>
  <c r="K39" i="52"/>
  <c r="K38" i="52" s="1"/>
  <c r="C18" i="52"/>
  <c r="N20" i="41"/>
  <c r="Q130" i="55" s="1"/>
  <c r="O20" i="52"/>
  <c r="L31" i="24"/>
  <c r="L21" i="24"/>
  <c r="F35" i="24"/>
  <c r="Y12" i="41"/>
  <c r="Z12" i="52"/>
  <c r="H19" i="50"/>
  <c r="H38" i="50" s="1"/>
  <c r="H20" i="36" s="1"/>
  <c r="E20" i="50"/>
  <c r="X15" i="52"/>
  <c r="X14" i="52" s="1"/>
  <c r="W15" i="41"/>
  <c r="AL39" i="52"/>
  <c r="AL38" i="52" s="1"/>
  <c r="AK61" i="41"/>
  <c r="AN139" i="55" s="1"/>
  <c r="AK92" i="40"/>
  <c r="AK93" i="40" s="1"/>
  <c r="AK94" i="40" s="1"/>
  <c r="AK112" i="39"/>
  <c r="AI61" i="41"/>
  <c r="AL139" i="55" s="1"/>
  <c r="AI92" i="40"/>
  <c r="AI93" i="40" s="1"/>
  <c r="AI94" i="40" s="1"/>
  <c r="AI112" i="39"/>
  <c r="AJ39" i="52"/>
  <c r="AJ38" i="52" s="1"/>
  <c r="J16" i="32"/>
  <c r="K130" i="39" s="1"/>
  <c r="J15" i="32"/>
  <c r="K8" i="39"/>
  <c r="L15" i="24"/>
  <c r="O15" i="24" s="1"/>
  <c r="P15" i="24" s="1"/>
  <c r="S15" i="24" s="1"/>
  <c r="F125" i="55"/>
  <c r="E125" i="55" s="1"/>
  <c r="B90" i="40"/>
  <c r="F109" i="55"/>
  <c r="E109" i="55" s="1"/>
  <c r="B22" i="40"/>
  <c r="Q96" i="55"/>
  <c r="K32" i="55"/>
  <c r="F22" i="24"/>
  <c r="G13" i="41"/>
  <c r="G36" i="40"/>
  <c r="G37" i="40" s="1"/>
  <c r="G38" i="40" s="1"/>
  <c r="J113" i="55" s="1"/>
  <c r="G28" i="39"/>
  <c r="H13" i="52"/>
  <c r="C8" i="30"/>
  <c r="D46" i="35"/>
  <c r="D43" i="35" s="1"/>
  <c r="D8" i="35" s="1"/>
  <c r="T34" i="45"/>
  <c r="U118" i="39"/>
  <c r="X97" i="55" s="1"/>
  <c r="U117" i="39"/>
  <c r="U9" i="39"/>
  <c r="U10" i="39" s="1"/>
  <c r="X72" i="55" s="1"/>
  <c r="F40" i="24"/>
  <c r="W46" i="35"/>
  <c r="AM34" i="45"/>
  <c r="J164" i="55"/>
  <c r="K165" i="55"/>
  <c r="AG117" i="39"/>
  <c r="AG118" i="39"/>
  <c r="AJ97" i="55" s="1"/>
  <c r="AG9" i="39"/>
  <c r="AG10" i="39" s="1"/>
  <c r="AJ72" i="55" s="1"/>
  <c r="AH15" i="52"/>
  <c r="AH14" i="52" s="1"/>
  <c r="AG15" i="41"/>
  <c r="L32" i="24"/>
  <c r="O32" i="24" s="1"/>
  <c r="P32" i="24" s="1"/>
  <c r="S32" i="24" s="1"/>
  <c r="H41" i="55"/>
  <c r="J38" i="55"/>
  <c r="AH16" i="32"/>
  <c r="AI130" i="39" s="1"/>
  <c r="AH15" i="32"/>
  <c r="AI8" i="39"/>
  <c r="AF15" i="52"/>
  <c r="AF14" i="52" s="1"/>
  <c r="AE15" i="41"/>
  <c r="F37" i="24"/>
  <c r="P117" i="39"/>
  <c r="P118" i="39"/>
  <c r="S97" i="55" s="1"/>
  <c r="P9" i="39"/>
  <c r="P10" i="39" s="1"/>
  <c r="S72" i="55" s="1"/>
  <c r="H113" i="68"/>
  <c r="F124" i="55"/>
  <c r="E124" i="55" s="1"/>
  <c r="B86" i="40"/>
  <c r="K36" i="55"/>
  <c r="J36" i="55"/>
  <c r="F38" i="24"/>
  <c r="AE136" i="68"/>
  <c r="H117" i="39"/>
  <c r="H118" i="39"/>
  <c r="K97" i="55" s="1"/>
  <c r="H9" i="39"/>
  <c r="H10" i="39" s="1"/>
  <c r="K72" i="55" s="1"/>
  <c r="AA46" i="35"/>
  <c r="AQ34" i="45"/>
  <c r="N12" i="52"/>
  <c r="M12" i="41"/>
  <c r="F120" i="55"/>
  <c r="E120" i="55" s="1"/>
  <c r="B66" i="40"/>
  <c r="K15" i="52"/>
  <c r="K14" i="52" s="1"/>
  <c r="J15" i="41"/>
  <c r="M129" i="55" s="1"/>
  <c r="N62" i="30"/>
  <c r="N11" i="30" s="1"/>
  <c r="L12" i="24"/>
  <c r="F93" i="55"/>
  <c r="E93" i="55" s="1"/>
  <c r="B106" i="39"/>
  <c r="B10" i="35"/>
  <c r="W34" i="45"/>
  <c r="F8" i="30"/>
  <c r="G46" i="35"/>
  <c r="G43" i="35" s="1"/>
  <c r="G8" i="35" s="1"/>
  <c r="F82" i="55"/>
  <c r="E82" i="55" s="1"/>
  <c r="B50" i="39"/>
  <c r="C62" i="30"/>
  <c r="C11" i="30" s="1"/>
  <c r="T49" i="45"/>
  <c r="D61" i="35"/>
  <c r="AK34" i="45"/>
  <c r="U46" i="35"/>
  <c r="F17" i="33"/>
  <c r="L18" i="24"/>
  <c r="O18" i="24" s="1"/>
  <c r="P18" i="24" s="1"/>
  <c r="S18" i="24" s="1"/>
  <c r="V62" i="30"/>
  <c r="V11" i="30" s="1"/>
  <c r="W61" i="35"/>
  <c r="AM49" i="45"/>
  <c r="AK106" i="55"/>
  <c r="AG13" i="41"/>
  <c r="AG36" i="40"/>
  <c r="AG37" i="40" s="1"/>
  <c r="AG38" i="40" s="1"/>
  <c r="AJ113" i="55" s="1"/>
  <c r="AG28" i="39"/>
  <c r="AH13" i="52"/>
  <c r="L17" i="24"/>
  <c r="O17" i="24" s="1"/>
  <c r="P17" i="24" s="1"/>
  <c r="S17" i="24" s="1"/>
  <c r="V120" i="39"/>
  <c r="Y99" i="55" s="1"/>
  <c r="V29" i="39"/>
  <c r="V30" i="39" s="1"/>
  <c r="Y77" i="55" s="1"/>
  <c r="AH92" i="40"/>
  <c r="AH93" i="40" s="1"/>
  <c r="AH94" i="40" s="1"/>
  <c r="AH61" i="41"/>
  <c r="AK139" i="55" s="1"/>
  <c r="AH112" i="39"/>
  <c r="AI39" i="52"/>
  <c r="AI38" i="52" s="1"/>
  <c r="Q13" i="52"/>
  <c r="P13" i="41"/>
  <c r="P36" i="40"/>
  <c r="P37" i="40" s="1"/>
  <c r="P38" i="40" s="1"/>
  <c r="S113" i="55" s="1"/>
  <c r="P28" i="39"/>
  <c r="AG61" i="41"/>
  <c r="AJ139" i="55" s="1"/>
  <c r="AG92" i="40"/>
  <c r="AG93" i="40" s="1"/>
  <c r="AG94" i="40" s="1"/>
  <c r="AG112" i="39"/>
  <c r="AH39" i="52"/>
  <c r="AH38" i="52" s="1"/>
  <c r="F107" i="68"/>
  <c r="F172" i="68" s="1"/>
  <c r="J9" i="40"/>
  <c r="B8" i="40"/>
  <c r="L38" i="24"/>
  <c r="I13" i="52"/>
  <c r="H13" i="41"/>
  <c r="H36" i="40"/>
  <c r="H37" i="40" s="1"/>
  <c r="H38" i="40" s="1"/>
  <c r="K113" i="55" s="1"/>
  <c r="H28" i="39"/>
  <c r="M13" i="41"/>
  <c r="M36" i="40"/>
  <c r="M37" i="40" s="1"/>
  <c r="M38" i="40" s="1"/>
  <c r="P113" i="55" s="1"/>
  <c r="M28" i="39"/>
  <c r="N13" i="52"/>
  <c r="K37" i="33"/>
  <c r="E51" i="28"/>
  <c r="E54" i="28" s="1"/>
  <c r="G37" i="28"/>
  <c r="F50" i="28"/>
  <c r="F48" i="28"/>
  <c r="F39" i="28"/>
  <c r="F46" i="28"/>
  <c r="F41" i="28"/>
  <c r="F42" i="28"/>
  <c r="F45" i="28"/>
  <c r="F44" i="28"/>
  <c r="H18" i="28"/>
  <c r="H11" i="28"/>
  <c r="I9" i="28"/>
  <c r="I20" i="28" s="1"/>
  <c r="H14" i="28"/>
  <c r="G24" i="37"/>
  <c r="H12" i="28"/>
  <c r="H10" i="28"/>
  <c r="H17" i="28"/>
  <c r="H13" i="28"/>
  <c r="H15" i="28"/>
  <c r="H16" i="28"/>
  <c r="J23" i="36"/>
  <c r="F40" i="28"/>
  <c r="F43" i="28"/>
  <c r="F47" i="28"/>
  <c r="G10" i="62"/>
  <c r="F9" i="26"/>
  <c r="G4" i="37"/>
  <c r="K14" i="47"/>
  <c r="J13" i="47"/>
  <c r="H38" i="66" s="1"/>
  <c r="G41" i="66"/>
  <c r="G39" i="66"/>
  <c r="G40" i="66"/>
  <c r="J12" i="52" l="1"/>
  <c r="F41" i="68"/>
  <c r="H18" i="33"/>
  <c r="I17" i="55" s="1"/>
  <c r="H17" i="55"/>
  <c r="C42" i="68"/>
  <c r="D42" i="68" s="1"/>
  <c r="F42" i="68" s="1"/>
  <c r="G42" i="68" s="1"/>
  <c r="H42" i="68" s="1"/>
  <c r="I42" i="68" s="1"/>
  <c r="G17" i="55"/>
  <c r="F160" i="68"/>
  <c r="S36" i="40"/>
  <c r="S37" i="40" s="1"/>
  <c r="S38" i="40" s="1"/>
  <c r="V113" i="55" s="1"/>
  <c r="S13" i="41"/>
  <c r="S112" i="39"/>
  <c r="S124" i="39" s="1"/>
  <c r="V103" i="55" s="1"/>
  <c r="H8" i="30"/>
  <c r="B14" i="35"/>
  <c r="AG129" i="55"/>
  <c r="J49" i="33"/>
  <c r="K49" i="33" s="1"/>
  <c r="L45" i="55" s="1"/>
  <c r="J22" i="36"/>
  <c r="R39" i="45"/>
  <c r="I24" i="33"/>
  <c r="J21" i="55" s="1"/>
  <c r="H22" i="33"/>
  <c r="F35" i="58" s="1"/>
  <c r="F36" i="58" s="1"/>
  <c r="F21" i="37" s="1"/>
  <c r="AD92" i="40"/>
  <c r="AD93" i="40" s="1"/>
  <c r="AD94" i="40" s="1"/>
  <c r="AG126" i="55" s="1"/>
  <c r="AF129" i="55"/>
  <c r="AD112" i="39"/>
  <c r="AD124" i="39" s="1"/>
  <c r="AG103" i="55" s="1"/>
  <c r="AD61" i="41"/>
  <c r="AG139" i="55" s="1"/>
  <c r="I9" i="39"/>
  <c r="I10" i="39" s="1"/>
  <c r="L72" i="55" s="1"/>
  <c r="AN129" i="55"/>
  <c r="AE92" i="40"/>
  <c r="AE93" i="40" s="1"/>
  <c r="AE94" i="40" s="1"/>
  <c r="AH126" i="55" s="1"/>
  <c r="AK12" i="41"/>
  <c r="AF92" i="40"/>
  <c r="AF93" i="40" s="1"/>
  <c r="AF94" i="40" s="1"/>
  <c r="AI126" i="55" s="1"/>
  <c r="J13" i="52"/>
  <c r="J7" i="52" s="1"/>
  <c r="AV34" i="45"/>
  <c r="AF61" i="41"/>
  <c r="AI139" i="55" s="1"/>
  <c r="I35" i="33"/>
  <c r="J35" i="33" s="1"/>
  <c r="K33" i="55" s="1"/>
  <c r="AE130" i="39"/>
  <c r="N39" i="52"/>
  <c r="N38" i="52" s="1"/>
  <c r="I28" i="39"/>
  <c r="I120" i="39" s="1"/>
  <c r="L99" i="55" s="1"/>
  <c r="H9" i="33"/>
  <c r="I12" i="55" s="1"/>
  <c r="AE61" i="41"/>
  <c r="AH139" i="55" s="1"/>
  <c r="I36" i="40"/>
  <c r="I37" i="40" s="1"/>
  <c r="I38" i="40" s="1"/>
  <c r="L113" i="55" s="1"/>
  <c r="AF39" i="52"/>
  <c r="AF38" i="52" s="1"/>
  <c r="R129" i="55"/>
  <c r="I13" i="41"/>
  <c r="L128" i="55" s="1"/>
  <c r="H33" i="33"/>
  <c r="J129" i="55"/>
  <c r="AK46" i="35"/>
  <c r="E12" i="41"/>
  <c r="G160" i="68"/>
  <c r="T13" i="52"/>
  <c r="AA14" i="52"/>
  <c r="U129" i="55"/>
  <c r="Y12" i="52"/>
  <c r="E9" i="39"/>
  <c r="E10" i="39" s="1"/>
  <c r="H72" i="55" s="1"/>
  <c r="T129" i="55"/>
  <c r="D20" i="39"/>
  <c r="D21" i="39" s="1"/>
  <c r="D22" i="39" s="1"/>
  <c r="E117" i="39"/>
  <c r="H96" i="55" s="1"/>
  <c r="P12" i="52"/>
  <c r="AK129" i="55"/>
  <c r="C92" i="40"/>
  <c r="C93" i="40" s="1"/>
  <c r="G129" i="39"/>
  <c r="C130" i="39"/>
  <c r="Y130" i="39"/>
  <c r="G13" i="52"/>
  <c r="F130" i="39"/>
  <c r="Q130" i="39"/>
  <c r="B25" i="32"/>
  <c r="C129" i="39" s="1"/>
  <c r="D130" i="39"/>
  <c r="D126" i="39" s="1"/>
  <c r="AC130" i="39"/>
  <c r="M130" i="39"/>
  <c r="S130" i="39"/>
  <c r="H130" i="39"/>
  <c r="P13" i="52"/>
  <c r="O130" i="39"/>
  <c r="AF36" i="40"/>
  <c r="AF37" i="40" s="1"/>
  <c r="AF38" i="40" s="1"/>
  <c r="AI113" i="55" s="1"/>
  <c r="AF130" i="39"/>
  <c r="AD28" i="39"/>
  <c r="AD120" i="39" s="1"/>
  <c r="AG99" i="55" s="1"/>
  <c r="AD130" i="39"/>
  <c r="F13" i="52"/>
  <c r="E130" i="39"/>
  <c r="B128" i="39"/>
  <c r="P130" i="39"/>
  <c r="G130" i="39"/>
  <c r="U130" i="39"/>
  <c r="P129" i="55"/>
  <c r="V34" i="45"/>
  <c r="F46" i="35"/>
  <c r="F43" i="35" s="1"/>
  <c r="F8" i="35" s="1"/>
  <c r="F9" i="39"/>
  <c r="F10" i="39" s="1"/>
  <c r="I72" i="55" s="1"/>
  <c r="F117" i="39"/>
  <c r="I96" i="55" s="1"/>
  <c r="I25" i="32"/>
  <c r="J20" i="39" s="1"/>
  <c r="AE13" i="52"/>
  <c r="AD13" i="41"/>
  <c r="AH129" i="55"/>
  <c r="E13" i="41"/>
  <c r="E68" i="33"/>
  <c r="E67" i="33" s="1"/>
  <c r="W14" i="52"/>
  <c r="E36" i="40"/>
  <c r="E37" i="40" s="1"/>
  <c r="E38" i="40" s="1"/>
  <c r="H113" i="55" s="1"/>
  <c r="AE34" i="45"/>
  <c r="D39" i="52"/>
  <c r="D38" i="52" s="1"/>
  <c r="X129" i="55"/>
  <c r="D25" i="32"/>
  <c r="E28" i="40" s="1"/>
  <c r="E29" i="40" s="1"/>
  <c r="E30" i="40" s="1"/>
  <c r="H111" i="55" s="1"/>
  <c r="C61" i="41"/>
  <c r="F139" i="55" s="1"/>
  <c r="L26" i="33"/>
  <c r="L24" i="55"/>
  <c r="R40" i="45"/>
  <c r="K27" i="33"/>
  <c r="L27" i="33" s="1"/>
  <c r="M27" i="33" s="1"/>
  <c r="I46" i="35"/>
  <c r="I43" i="35" s="1"/>
  <c r="I8" i="35" s="1"/>
  <c r="C117" i="39"/>
  <c r="C118" i="39"/>
  <c r="L129" i="55"/>
  <c r="AG25" i="32"/>
  <c r="AJ129" i="55"/>
  <c r="AD25" i="32"/>
  <c r="AE20" i="39" s="1"/>
  <c r="K25" i="55"/>
  <c r="I113" i="39"/>
  <c r="I114" i="39" s="1"/>
  <c r="L95" i="55" s="1"/>
  <c r="AB124" i="39"/>
  <c r="AE103" i="55" s="1"/>
  <c r="J25" i="55"/>
  <c r="O9" i="24"/>
  <c r="P9" i="24" s="1"/>
  <c r="S9" i="24" s="1"/>
  <c r="AF112" i="39"/>
  <c r="AF124" i="39" s="1"/>
  <c r="AI103" i="55" s="1"/>
  <c r="H129" i="55"/>
  <c r="W25" i="32"/>
  <c r="X20" i="39" s="1"/>
  <c r="X21" i="39" s="1"/>
  <c r="X22" i="39" s="1"/>
  <c r="B16" i="41"/>
  <c r="J25" i="32"/>
  <c r="AD118" i="39"/>
  <c r="AG97" i="55" s="1"/>
  <c r="AF9" i="39"/>
  <c r="AF10" i="39" s="1"/>
  <c r="AI72" i="55" s="1"/>
  <c r="F28" i="39"/>
  <c r="S12" i="41"/>
  <c r="R25" i="32"/>
  <c r="S28" i="40" s="1"/>
  <c r="S29" i="40" s="1"/>
  <c r="S30" i="40" s="1"/>
  <c r="V111" i="55" s="1"/>
  <c r="H25" i="32"/>
  <c r="I20" i="41" s="1"/>
  <c r="L130" i="55" s="1"/>
  <c r="AF118" i="39"/>
  <c r="AI97" i="55" s="1"/>
  <c r="F36" i="40"/>
  <c r="F37" i="40" s="1"/>
  <c r="F38" i="40" s="1"/>
  <c r="I113" i="55" s="1"/>
  <c r="AE12" i="52"/>
  <c r="AC25" i="32"/>
  <c r="AD20" i="39" s="1"/>
  <c r="Z129" i="55"/>
  <c r="F13" i="41"/>
  <c r="AJ25" i="32"/>
  <c r="AK20" i="39" s="1"/>
  <c r="AK21" i="39" s="1"/>
  <c r="AK22" i="39" s="1"/>
  <c r="AC129" i="55"/>
  <c r="Q16" i="32"/>
  <c r="R130" i="39" s="1"/>
  <c r="Q46" i="30"/>
  <c r="R46" i="35" s="1"/>
  <c r="AH25" i="32"/>
  <c r="AG12" i="52"/>
  <c r="AE25" i="32"/>
  <c r="AF20" i="41" s="1"/>
  <c r="AI130" i="55" s="1"/>
  <c r="G12" i="52"/>
  <c r="E25" i="32"/>
  <c r="F28" i="40" s="1"/>
  <c r="F29" i="40" s="1"/>
  <c r="F30" i="40" s="1"/>
  <c r="N25" i="32"/>
  <c r="O20" i="41" s="1"/>
  <c r="R130" i="55" s="1"/>
  <c r="Y61" i="41"/>
  <c r="AB139" i="55" s="1"/>
  <c r="H41" i="30"/>
  <c r="G27" i="32"/>
  <c r="H129" i="39" s="1"/>
  <c r="G7" i="30"/>
  <c r="X29" i="45"/>
  <c r="H41" i="35"/>
  <c r="H40" i="35" s="1"/>
  <c r="H7" i="35" s="1"/>
  <c r="H21" i="52"/>
  <c r="G22" i="41"/>
  <c r="J131" i="55" s="1"/>
  <c r="I30" i="33"/>
  <c r="J28" i="55" s="1"/>
  <c r="G24" i="39"/>
  <c r="G25" i="39" s="1"/>
  <c r="G26" i="39" s="1"/>
  <c r="J76" i="55" s="1"/>
  <c r="M61" i="41"/>
  <c r="P139" i="55" s="1"/>
  <c r="M112" i="39"/>
  <c r="M124" i="39" s="1"/>
  <c r="P103" i="55" s="1"/>
  <c r="AA39" i="52"/>
  <c r="AA38" i="52" s="1"/>
  <c r="Z112" i="39"/>
  <c r="Z124" i="39" s="1"/>
  <c r="AC103" i="55" s="1"/>
  <c r="Z61" i="41"/>
  <c r="AC139" i="55" s="1"/>
  <c r="I32" i="33"/>
  <c r="J32" i="33" s="1"/>
  <c r="K30" i="55" s="1"/>
  <c r="T39" i="52"/>
  <c r="T38" i="52" s="1"/>
  <c r="AF13" i="41"/>
  <c r="S92" i="40"/>
  <c r="S93" i="40" s="1"/>
  <c r="S94" i="40" s="1"/>
  <c r="V126" i="55" s="1"/>
  <c r="AG13" i="52"/>
  <c r="B12" i="35"/>
  <c r="AK36" i="40"/>
  <c r="AK37" i="40" s="1"/>
  <c r="AK38" i="40" s="1"/>
  <c r="AN113" i="55" s="1"/>
  <c r="C14" i="49"/>
  <c r="C16" i="37" s="1"/>
  <c r="F79" i="35"/>
  <c r="F15" i="35" s="1"/>
  <c r="R14" i="52"/>
  <c r="L28" i="40"/>
  <c r="L29" i="40" s="1"/>
  <c r="L30" i="40" s="1"/>
  <c r="O111" i="55" s="1"/>
  <c r="L20" i="41"/>
  <c r="O130" i="55" s="1"/>
  <c r="L20" i="39"/>
  <c r="L21" i="39" s="1"/>
  <c r="L22" i="39" s="1"/>
  <c r="O75" i="55" s="1"/>
  <c r="C17" i="52"/>
  <c r="Y20" i="41"/>
  <c r="AB130" i="55" s="1"/>
  <c r="AB129" i="55"/>
  <c r="F15" i="55"/>
  <c r="F13" i="55" s="1"/>
  <c r="F19" i="33"/>
  <c r="F15" i="33" s="1"/>
  <c r="B17" i="41"/>
  <c r="G20" i="33"/>
  <c r="Z14" i="52"/>
  <c r="I48" i="33"/>
  <c r="W8" i="24"/>
  <c r="I61" i="35"/>
  <c r="K55" i="33"/>
  <c r="L55" i="33" s="1"/>
  <c r="AF28" i="39"/>
  <c r="K57" i="33"/>
  <c r="O54" i="33"/>
  <c r="P54" i="33" s="1"/>
  <c r="J56" i="33"/>
  <c r="AC61" i="41"/>
  <c r="AF139" i="55" s="1"/>
  <c r="Y49" i="45"/>
  <c r="AC112" i="39"/>
  <c r="AC124" i="39" s="1"/>
  <c r="AF103" i="55" s="1"/>
  <c r="AC92" i="40"/>
  <c r="AC93" i="40" s="1"/>
  <c r="AC94" i="40" s="1"/>
  <c r="AF126" i="55" s="1"/>
  <c r="K21" i="33"/>
  <c r="G42" i="28"/>
  <c r="G49" i="28"/>
  <c r="J14" i="33"/>
  <c r="K14" i="33" s="1"/>
  <c r="L10" i="55" s="1"/>
  <c r="F61" i="35"/>
  <c r="V49" i="45"/>
  <c r="F12" i="41"/>
  <c r="X36" i="40"/>
  <c r="X37" i="40" s="1"/>
  <c r="X38" i="40" s="1"/>
  <c r="AA113" i="55" s="1"/>
  <c r="AK9" i="39"/>
  <c r="AK10" i="39" s="1"/>
  <c r="AN72" i="55" s="1"/>
  <c r="AK117" i="39"/>
  <c r="AN96" i="55" s="1"/>
  <c r="Y13" i="52"/>
  <c r="AF12" i="41"/>
  <c r="AD9" i="39"/>
  <c r="AD10" i="39" s="1"/>
  <c r="AG72" i="55" s="1"/>
  <c r="D5" i="37"/>
  <c r="D10" i="26" s="1"/>
  <c r="D9" i="49"/>
  <c r="H39" i="52"/>
  <c r="H38" i="52" s="1"/>
  <c r="G112" i="39"/>
  <c r="G113" i="39" s="1"/>
  <c r="G114" i="39" s="1"/>
  <c r="G92" i="40"/>
  <c r="G93" i="40" s="1"/>
  <c r="G94" i="40" s="1"/>
  <c r="J126" i="55" s="1"/>
  <c r="Y92" i="40"/>
  <c r="Y93" i="40" s="1"/>
  <c r="Y94" i="40" s="1"/>
  <c r="AB126" i="55" s="1"/>
  <c r="Z39" i="52"/>
  <c r="Z38" i="52" s="1"/>
  <c r="R126" i="55"/>
  <c r="M126" i="55"/>
  <c r="N126" i="55"/>
  <c r="AJ126" i="55"/>
  <c r="Z126" i="55"/>
  <c r="AE95" i="55"/>
  <c r="Q126" i="55"/>
  <c r="AK126" i="55"/>
  <c r="AN126" i="55"/>
  <c r="P126" i="55"/>
  <c r="AM126" i="55"/>
  <c r="AL126" i="55"/>
  <c r="AA126" i="55"/>
  <c r="AC126" i="55"/>
  <c r="X126" i="55"/>
  <c r="W126" i="55"/>
  <c r="AD126" i="55"/>
  <c r="K126" i="55"/>
  <c r="J51" i="33"/>
  <c r="K51" i="33" s="1"/>
  <c r="J40" i="55"/>
  <c r="L42" i="33"/>
  <c r="M40" i="55" s="1"/>
  <c r="K40" i="55"/>
  <c r="AK28" i="39"/>
  <c r="AJ62" i="30"/>
  <c r="AJ11" i="30" s="1"/>
  <c r="AN49" i="45"/>
  <c r="Q92" i="40"/>
  <c r="Q93" i="40" s="1"/>
  <c r="Q94" i="40" s="1"/>
  <c r="S61" i="35"/>
  <c r="R62" i="30"/>
  <c r="R11" i="30" s="1"/>
  <c r="AK13" i="41"/>
  <c r="AK61" i="35"/>
  <c r="X61" i="35"/>
  <c r="AL13" i="52"/>
  <c r="AL7" i="52" s="1"/>
  <c r="O61" i="35"/>
  <c r="E79" i="35"/>
  <c r="E15" i="35" s="1"/>
  <c r="J128" i="55"/>
  <c r="AD12" i="41"/>
  <c r="D112" i="39"/>
  <c r="D124" i="39" s="1"/>
  <c r="G103" i="55" s="1"/>
  <c r="D92" i="40"/>
  <c r="D93" i="40" s="1"/>
  <c r="D94" i="40" s="1"/>
  <c r="D61" i="41"/>
  <c r="O28" i="39"/>
  <c r="O36" i="40"/>
  <c r="O37" i="40" s="1"/>
  <c r="O38" i="40" s="1"/>
  <c r="R113" i="55" s="1"/>
  <c r="J46" i="33"/>
  <c r="K43" i="55" s="1"/>
  <c r="S118" i="39"/>
  <c r="V97" i="55" s="1"/>
  <c r="O13" i="41"/>
  <c r="R128" i="55" s="1"/>
  <c r="J62" i="33"/>
  <c r="K62" i="33" s="1"/>
  <c r="L52" i="55" s="1"/>
  <c r="I56" i="55"/>
  <c r="I48" i="55" s="1"/>
  <c r="I66" i="33"/>
  <c r="I58" i="33" s="1"/>
  <c r="P112" i="39"/>
  <c r="P124" i="39" s="1"/>
  <c r="S103" i="55" s="1"/>
  <c r="H112" i="39"/>
  <c r="H113" i="39" s="1"/>
  <c r="H114" i="39" s="1"/>
  <c r="O9" i="39"/>
  <c r="O10" i="39" s="1"/>
  <c r="R72" i="55" s="1"/>
  <c r="AI34" i="45"/>
  <c r="K31" i="33"/>
  <c r="L31" i="33" s="1"/>
  <c r="O118" i="39"/>
  <c r="R97" i="55" s="1"/>
  <c r="K59" i="33"/>
  <c r="Q112" i="39"/>
  <c r="Q124" i="39" s="1"/>
  <c r="T103" i="55" s="1"/>
  <c r="Q61" i="41"/>
  <c r="T139" i="55" s="1"/>
  <c r="T12" i="52"/>
  <c r="X117" i="39"/>
  <c r="AA96" i="55" s="1"/>
  <c r="S9" i="39"/>
  <c r="S10" i="39" s="1"/>
  <c r="V72" i="55" s="1"/>
  <c r="Q62" i="30"/>
  <c r="Q11" i="30" s="1"/>
  <c r="AN34" i="45"/>
  <c r="AD7" i="52"/>
  <c r="R8" i="39"/>
  <c r="R117" i="39" s="1"/>
  <c r="Q15" i="32"/>
  <c r="U61" i="41"/>
  <c r="X139" i="55" s="1"/>
  <c r="AC62" i="30"/>
  <c r="AC11" i="30" s="1"/>
  <c r="S39" i="52"/>
  <c r="S38" i="52" s="1"/>
  <c r="R112" i="39"/>
  <c r="R124" i="39" s="1"/>
  <c r="U103" i="55" s="1"/>
  <c r="K64" i="33"/>
  <c r="K54" i="55"/>
  <c r="X9" i="39"/>
  <c r="X10" i="39" s="1"/>
  <c r="AA72" i="55" s="1"/>
  <c r="AT49" i="45"/>
  <c r="J54" i="55"/>
  <c r="AH7" i="52"/>
  <c r="X13" i="41"/>
  <c r="AA128" i="55" s="1"/>
  <c r="J39" i="33"/>
  <c r="K39" i="33" s="1"/>
  <c r="L37" i="55" s="1"/>
  <c r="X28" i="39"/>
  <c r="P92" i="40"/>
  <c r="P93" i="40" s="1"/>
  <c r="P94" i="40" s="1"/>
  <c r="P61" i="41"/>
  <c r="S139" i="55" s="1"/>
  <c r="AT34" i="45"/>
  <c r="R67" i="45"/>
  <c r="V39" i="52"/>
  <c r="V38" i="52" s="1"/>
  <c r="U112" i="39"/>
  <c r="U113" i="39" s="1"/>
  <c r="U114" i="39" s="1"/>
  <c r="L79" i="35"/>
  <c r="L15" i="35" s="1"/>
  <c r="H61" i="41"/>
  <c r="K139" i="55" s="1"/>
  <c r="I39" i="52"/>
  <c r="I38" i="52" s="1"/>
  <c r="V20" i="39"/>
  <c r="V21" i="39" s="1"/>
  <c r="V22" i="39" s="1"/>
  <c r="Z8" i="39"/>
  <c r="Y15" i="32"/>
  <c r="Y16" i="32"/>
  <c r="Z130" i="39" s="1"/>
  <c r="F112" i="39"/>
  <c r="F124" i="39" s="1"/>
  <c r="I103" i="55" s="1"/>
  <c r="F92" i="40"/>
  <c r="F93" i="40" s="1"/>
  <c r="F94" i="40" s="1"/>
  <c r="V28" i="40"/>
  <c r="V29" i="40" s="1"/>
  <c r="V30" i="40" s="1"/>
  <c r="Y111" i="55" s="1"/>
  <c r="W20" i="52"/>
  <c r="G39" i="52"/>
  <c r="G38" i="52" s="1"/>
  <c r="P128" i="55"/>
  <c r="K20" i="55"/>
  <c r="AD128" i="55"/>
  <c r="J19" i="55"/>
  <c r="J63" i="33"/>
  <c r="K128" i="55"/>
  <c r="I7" i="52"/>
  <c r="AB7" i="52"/>
  <c r="X128" i="55"/>
  <c r="B8" i="41"/>
  <c r="V7" i="52"/>
  <c r="R68" i="45"/>
  <c r="N29" i="30"/>
  <c r="AD17" i="45"/>
  <c r="N29" i="35"/>
  <c r="AC28" i="40"/>
  <c r="AC29" i="40" s="1"/>
  <c r="AC30" i="40" s="1"/>
  <c r="AF111" i="55" s="1"/>
  <c r="J27" i="30"/>
  <c r="Z15" i="45"/>
  <c r="J27" i="35"/>
  <c r="AJ20" i="39"/>
  <c r="AJ21" i="39" s="1"/>
  <c r="AJ22" i="39" s="1"/>
  <c r="M24" i="30"/>
  <c r="AC12" i="45"/>
  <c r="M24" i="35"/>
  <c r="F39" i="52"/>
  <c r="F38" i="52" s="1"/>
  <c r="E112" i="39"/>
  <c r="E61" i="41"/>
  <c r="H139" i="55" s="1"/>
  <c r="E92" i="40"/>
  <c r="E93" i="40" s="1"/>
  <c r="E94" i="40" s="1"/>
  <c r="H6" i="30"/>
  <c r="I19" i="30"/>
  <c r="H31" i="32"/>
  <c r="Y7" i="45"/>
  <c r="I19" i="35"/>
  <c r="I18" i="35" s="1"/>
  <c r="I6" i="35" s="1"/>
  <c r="R7" i="52"/>
  <c r="H26" i="41"/>
  <c r="K133" i="55" s="1"/>
  <c r="I23" i="52"/>
  <c r="J44" i="30"/>
  <c r="J8" i="30" s="1"/>
  <c r="Z32" i="45"/>
  <c r="J44" i="35"/>
  <c r="U21" i="30"/>
  <c r="AK9" i="45"/>
  <c r="U21" i="35"/>
  <c r="AB20" i="39"/>
  <c r="AB21" i="39" s="1"/>
  <c r="AB22" i="39" s="1"/>
  <c r="R92" i="40"/>
  <c r="R93" i="40" s="1"/>
  <c r="R94" i="40" s="1"/>
  <c r="C81" i="68"/>
  <c r="D81" i="68" s="1"/>
  <c r="I81" i="68" s="1"/>
  <c r="AE28" i="30"/>
  <c r="AU16" i="45"/>
  <c r="AE28" i="35"/>
  <c r="AJ128" i="55"/>
  <c r="T128" i="55"/>
  <c r="AF19" i="45"/>
  <c r="P31" i="30"/>
  <c r="P31" i="35"/>
  <c r="H7" i="52"/>
  <c r="I170" i="68"/>
  <c r="R30" i="30"/>
  <c r="AH18" i="45"/>
  <c r="R30" i="35"/>
  <c r="H69" i="33"/>
  <c r="I69" i="33" s="1"/>
  <c r="H59" i="55"/>
  <c r="H112" i="55"/>
  <c r="AF128" i="55"/>
  <c r="L61" i="41"/>
  <c r="O139" i="55" s="1"/>
  <c r="L92" i="40"/>
  <c r="L93" i="40" s="1"/>
  <c r="L94" i="40" s="1"/>
  <c r="L112" i="39"/>
  <c r="M39" i="52"/>
  <c r="M38" i="52" s="1"/>
  <c r="Z7" i="52"/>
  <c r="AB128" i="55"/>
  <c r="C43" i="68"/>
  <c r="D43" i="68" s="1"/>
  <c r="G43" i="68" s="1"/>
  <c r="N124" i="39"/>
  <c r="Q103" i="55" s="1"/>
  <c r="N113" i="39"/>
  <c r="N114" i="39" s="1"/>
  <c r="V79" i="35"/>
  <c r="V15" i="35" s="1"/>
  <c r="P35" i="30"/>
  <c r="P35" i="35"/>
  <c r="AF23" i="45"/>
  <c r="AD23" i="30"/>
  <c r="AD23" i="35"/>
  <c r="AT11" i="45"/>
  <c r="O32" i="30"/>
  <c r="O32" i="35"/>
  <c r="AE20" i="45"/>
  <c r="I26" i="50"/>
  <c r="I38" i="50" s="1"/>
  <c r="I20" i="36" s="1"/>
  <c r="J27" i="50"/>
  <c r="V61" i="41"/>
  <c r="Y139" i="55" s="1"/>
  <c r="W39" i="52"/>
  <c r="W38" i="52" s="1"/>
  <c r="V112" i="39"/>
  <c r="V92" i="40"/>
  <c r="V93" i="40" s="1"/>
  <c r="V94" i="40" s="1"/>
  <c r="AC7" i="52"/>
  <c r="L7" i="50"/>
  <c r="M9" i="50"/>
  <c r="F44" i="24"/>
  <c r="K47" i="33"/>
  <c r="L47" i="33" s="1"/>
  <c r="K42" i="55"/>
  <c r="L45" i="33"/>
  <c r="K50" i="55"/>
  <c r="W125" i="68"/>
  <c r="X125" i="68" s="1"/>
  <c r="L51" i="55"/>
  <c r="L61" i="33"/>
  <c r="M38" i="33"/>
  <c r="N38" i="33" s="1"/>
  <c r="O36" i="55" s="1"/>
  <c r="O116" i="68"/>
  <c r="P116" i="68" s="1"/>
  <c r="Q116" i="68" s="1"/>
  <c r="L38" i="55"/>
  <c r="I16" i="33"/>
  <c r="J25" i="33"/>
  <c r="J50" i="55"/>
  <c r="M34" i="33"/>
  <c r="N34" i="33" s="1"/>
  <c r="O34" i="33" s="1"/>
  <c r="P32" i="55" s="1"/>
  <c r="J55" i="55"/>
  <c r="J65" i="33"/>
  <c r="I14" i="55"/>
  <c r="K60" i="33"/>
  <c r="L60" i="33" s="1"/>
  <c r="G41" i="68"/>
  <c r="H41" i="68" s="1"/>
  <c r="I41" i="68" s="1"/>
  <c r="Z129" i="68"/>
  <c r="AA129" i="68" s="1"/>
  <c r="S121" i="68"/>
  <c r="M172" i="55"/>
  <c r="L171" i="55"/>
  <c r="B23" i="37"/>
  <c r="Q21" i="39"/>
  <c r="Q22" i="39" s="1"/>
  <c r="U30" i="24"/>
  <c r="W30" i="24" s="1"/>
  <c r="AC21" i="39"/>
  <c r="AC22" i="39" s="1"/>
  <c r="U15" i="24"/>
  <c r="Y15" i="24" s="1"/>
  <c r="U10" i="24"/>
  <c r="Y10" i="24" s="1"/>
  <c r="W123" i="68"/>
  <c r="X123" i="68" s="1"/>
  <c r="Y123" i="68" s="1"/>
  <c r="Z123" i="68" s="1"/>
  <c r="AA123" i="68" s="1"/>
  <c r="AB123" i="68" s="1"/>
  <c r="AC123" i="68" s="1"/>
  <c r="AD123" i="68" s="1"/>
  <c r="AE123" i="68" s="1"/>
  <c r="AF123" i="68" s="1"/>
  <c r="AG123" i="68" s="1"/>
  <c r="AH123" i="68" s="1"/>
  <c r="U21" i="39"/>
  <c r="U22" i="39" s="1"/>
  <c r="L46" i="55"/>
  <c r="U17" i="24"/>
  <c r="V17" i="24" s="1"/>
  <c r="M21" i="39"/>
  <c r="M22" i="39" s="1"/>
  <c r="U40" i="24"/>
  <c r="V40" i="24" s="1"/>
  <c r="Q115" i="68"/>
  <c r="I80" i="68"/>
  <c r="J80" i="68" s="1"/>
  <c r="U13" i="24"/>
  <c r="V13" i="24" s="1"/>
  <c r="U20" i="24"/>
  <c r="W20" i="24" s="1"/>
  <c r="AC130" i="68"/>
  <c r="AD130" i="68" s="1"/>
  <c r="U28" i="24"/>
  <c r="W28" i="24" s="1"/>
  <c r="U18" i="24"/>
  <c r="W18" i="24" s="1"/>
  <c r="O38" i="55"/>
  <c r="U32" i="24"/>
  <c r="W32" i="24" s="1"/>
  <c r="U16" i="24"/>
  <c r="W16" i="24" s="1"/>
  <c r="U33" i="24"/>
  <c r="W33" i="24" s="1"/>
  <c r="U41" i="24"/>
  <c r="V41" i="24" s="1"/>
  <c r="U14" i="24"/>
  <c r="W14" i="24" s="1"/>
  <c r="U37" i="24"/>
  <c r="W37" i="24" s="1"/>
  <c r="U36" i="24"/>
  <c r="V36" i="24" s="1"/>
  <c r="W21" i="39"/>
  <c r="W22" i="39" s="1"/>
  <c r="U23" i="24"/>
  <c r="W23" i="24" s="1"/>
  <c r="P120" i="39"/>
  <c r="S99" i="55" s="1"/>
  <c r="P29" i="39"/>
  <c r="P30" i="39" s="1"/>
  <c r="S77" i="55" s="1"/>
  <c r="AG120" i="39"/>
  <c r="AJ99" i="55" s="1"/>
  <c r="AG29" i="39"/>
  <c r="AG30" i="39" s="1"/>
  <c r="AJ77" i="55" s="1"/>
  <c r="Y62" i="30"/>
  <c r="Z61" i="35"/>
  <c r="AP49" i="45"/>
  <c r="M21" i="24"/>
  <c r="J124" i="39"/>
  <c r="M103" i="55" s="1"/>
  <c r="J113" i="39"/>
  <c r="J114" i="39" s="1"/>
  <c r="Q28" i="40"/>
  <c r="Q29" i="40" s="1"/>
  <c r="Q30" i="40" s="1"/>
  <c r="M62" i="35"/>
  <c r="M59" i="35" s="1"/>
  <c r="M11" i="35" s="1"/>
  <c r="AC50" i="45"/>
  <c r="S128" i="55"/>
  <c r="AC20" i="52"/>
  <c r="AB20" i="41"/>
  <c r="AE130" i="55" s="1"/>
  <c r="W128" i="55"/>
  <c r="AD113" i="39"/>
  <c r="AD114" i="39" s="1"/>
  <c r="Z128" i="68"/>
  <c r="AK7" i="52"/>
  <c r="H20" i="41"/>
  <c r="K130" i="55" s="1"/>
  <c r="I20" i="52"/>
  <c r="AG96" i="55"/>
  <c r="Q7" i="52"/>
  <c r="U120" i="39"/>
  <c r="X99" i="55" s="1"/>
  <c r="U29" i="39"/>
  <c r="U30" i="39" s="1"/>
  <c r="X77" i="55" s="1"/>
  <c r="B8" i="30"/>
  <c r="C8" i="35"/>
  <c r="AF136" i="68"/>
  <c r="AG136" i="68" s="1"/>
  <c r="AH136" i="68" s="1"/>
  <c r="AE13" i="41"/>
  <c r="AE36" i="40"/>
  <c r="AE37" i="40" s="1"/>
  <c r="AE38" i="40" s="1"/>
  <c r="AH113" i="55" s="1"/>
  <c r="AE28" i="39"/>
  <c r="AF13" i="52"/>
  <c r="Q129" i="55"/>
  <c r="W96" i="55"/>
  <c r="U28" i="40"/>
  <c r="U29" i="40" s="1"/>
  <c r="U30" i="40" s="1"/>
  <c r="Y124" i="39"/>
  <c r="AB103" i="55" s="1"/>
  <c r="Y113" i="39"/>
  <c r="Y114" i="39" s="1"/>
  <c r="M34" i="24"/>
  <c r="E62" i="35"/>
  <c r="E59" i="35" s="1"/>
  <c r="E11" i="35" s="1"/>
  <c r="U50" i="45"/>
  <c r="U5" i="45" s="1"/>
  <c r="L153" i="55"/>
  <c r="K152" i="55"/>
  <c r="M23" i="24"/>
  <c r="Z34" i="45"/>
  <c r="I8" i="30"/>
  <c r="J46" i="35"/>
  <c r="AG62" i="30"/>
  <c r="AG11" i="30" s="1"/>
  <c r="AH61" i="35"/>
  <c r="AX49" i="45"/>
  <c r="R120" i="68"/>
  <c r="S120" i="68" s="1"/>
  <c r="M12" i="24"/>
  <c r="N20" i="52"/>
  <c r="M20" i="41"/>
  <c r="AP34" i="45"/>
  <c r="Z46" i="35"/>
  <c r="L35" i="55"/>
  <c r="AE131" i="68"/>
  <c r="AF131" i="68" s="1"/>
  <c r="AG131" i="68" s="1"/>
  <c r="AH131" i="68" s="1"/>
  <c r="M28" i="40"/>
  <c r="M29" i="40" s="1"/>
  <c r="M30" i="40" s="1"/>
  <c r="S96" i="55"/>
  <c r="AI124" i="39"/>
  <c r="AL103" i="55" s="1"/>
  <c r="AI113" i="39"/>
  <c r="AI114" i="39" s="1"/>
  <c r="O21" i="24"/>
  <c r="P21" i="24" s="1"/>
  <c r="S21" i="24" s="1"/>
  <c r="R96" i="55"/>
  <c r="U7" i="52"/>
  <c r="M38" i="55"/>
  <c r="AQ50" i="45"/>
  <c r="AA62" i="35"/>
  <c r="AA59" i="35" s="1"/>
  <c r="AA11" i="35" s="1"/>
  <c r="T124" i="39"/>
  <c r="W103" i="55" s="1"/>
  <c r="T113" i="39"/>
  <c r="T114" i="39" s="1"/>
  <c r="AB120" i="39"/>
  <c r="AE99" i="55" s="1"/>
  <c r="AB29" i="39"/>
  <c r="AB30" i="39" s="1"/>
  <c r="AE77" i="55" s="1"/>
  <c r="AC62" i="35"/>
  <c r="AC59" i="35" s="1"/>
  <c r="AC11" i="35" s="1"/>
  <c r="AS50" i="45"/>
  <c r="K111" i="55"/>
  <c r="H77" i="68"/>
  <c r="AG20" i="41"/>
  <c r="AJ130" i="55" s="1"/>
  <c r="AH20" i="52"/>
  <c r="C113" i="39"/>
  <c r="AU34" i="45"/>
  <c r="AE46" i="35"/>
  <c r="U34" i="24"/>
  <c r="V34" i="24" s="1"/>
  <c r="K124" i="39"/>
  <c r="N103" i="55" s="1"/>
  <c r="K113" i="39"/>
  <c r="K114" i="39" s="1"/>
  <c r="AM96" i="55"/>
  <c r="U62" i="35"/>
  <c r="U59" i="35" s="1"/>
  <c r="U11" i="35" s="1"/>
  <c r="AK50" i="45"/>
  <c r="G128" i="55"/>
  <c r="J151" i="55"/>
  <c r="D16" i="30"/>
  <c r="H78" i="68"/>
  <c r="I62" i="30"/>
  <c r="I11" i="30" s="1"/>
  <c r="J61" i="35"/>
  <c r="Z49" i="45"/>
  <c r="E163" i="68"/>
  <c r="F159" i="68" s="1"/>
  <c r="K118" i="39"/>
  <c r="N97" i="55" s="1"/>
  <c r="K117" i="39"/>
  <c r="K9" i="39"/>
  <c r="K10" i="39" s="1"/>
  <c r="N72" i="55" s="1"/>
  <c r="I62" i="35"/>
  <c r="Y50" i="45"/>
  <c r="M31" i="24"/>
  <c r="AG134" i="68"/>
  <c r="AH134" i="68" s="1"/>
  <c r="K44" i="55"/>
  <c r="AE132" i="68"/>
  <c r="AF132" i="68" s="1"/>
  <c r="AG132" i="68" s="1"/>
  <c r="AH132" i="68" s="1"/>
  <c r="AE111" i="55"/>
  <c r="Z96" i="55"/>
  <c r="U24" i="24"/>
  <c r="W24" i="24" s="1"/>
  <c r="T62" i="35"/>
  <c r="T59" i="35" s="1"/>
  <c r="T11" i="35" s="1"/>
  <c r="AJ50" i="45"/>
  <c r="H20" i="39"/>
  <c r="X62" i="35"/>
  <c r="AN50" i="45"/>
  <c r="AJ62" i="35"/>
  <c r="AJ59" i="35" s="1"/>
  <c r="AJ11" i="35" s="1"/>
  <c r="AZ50" i="45"/>
  <c r="AG135" i="68"/>
  <c r="AH135" i="68" s="1"/>
  <c r="F7" i="52"/>
  <c r="AD62" i="30"/>
  <c r="AD11" i="30" s="1"/>
  <c r="AE61" i="35"/>
  <c r="AU49" i="45"/>
  <c r="D120" i="39"/>
  <c r="G99" i="55" s="1"/>
  <c r="D29" i="39"/>
  <c r="D30" i="39" s="1"/>
  <c r="G77" i="55" s="1"/>
  <c r="H20" i="52"/>
  <c r="G20" i="41"/>
  <c r="J130" i="55" s="1"/>
  <c r="B15" i="41"/>
  <c r="E7" i="52"/>
  <c r="G62" i="35"/>
  <c r="G59" i="35" s="1"/>
  <c r="G11" i="35" s="1"/>
  <c r="G16" i="35" s="1"/>
  <c r="J8" i="36" s="1"/>
  <c r="W50" i="45"/>
  <c r="W5" i="45" s="1"/>
  <c r="C15" i="52"/>
  <c r="C8" i="52"/>
  <c r="AF133" i="68"/>
  <c r="AG133" i="68" s="1"/>
  <c r="AH133" i="68" s="1"/>
  <c r="M120" i="39"/>
  <c r="P99" i="55" s="1"/>
  <c r="M29" i="39"/>
  <c r="M30" i="39" s="1"/>
  <c r="P77" i="55" s="1"/>
  <c r="M38" i="24"/>
  <c r="N7" i="52"/>
  <c r="AY49" i="45"/>
  <c r="AH62" i="30"/>
  <c r="AH11" i="30" s="1"/>
  <c r="AI61" i="35"/>
  <c r="AJ96" i="55"/>
  <c r="C16" i="30"/>
  <c r="AA49" i="45"/>
  <c r="J62" i="30"/>
  <c r="J11" i="30" s="1"/>
  <c r="K61" i="35"/>
  <c r="AK124" i="39"/>
  <c r="AN103" i="55" s="1"/>
  <c r="AK113" i="39"/>
  <c r="AK114" i="39" s="1"/>
  <c r="O31" i="24"/>
  <c r="P31" i="24" s="1"/>
  <c r="S31" i="24" s="1"/>
  <c r="U122" i="68"/>
  <c r="V122" i="68" s="1"/>
  <c r="W122" i="68" s="1"/>
  <c r="X122" i="68" s="1"/>
  <c r="G4" i="55"/>
  <c r="J18" i="40"/>
  <c r="B17" i="40"/>
  <c r="W120" i="39"/>
  <c r="Z99" i="55" s="1"/>
  <c r="W29" i="39"/>
  <c r="W30" i="39" s="1"/>
  <c r="Z77" i="55" s="1"/>
  <c r="G96" i="55"/>
  <c r="AE128" i="55"/>
  <c r="J39" i="55"/>
  <c r="J41" i="33"/>
  <c r="K41" i="33" s="1"/>
  <c r="L41" i="33" s="1"/>
  <c r="M27" i="24"/>
  <c r="L7" i="55"/>
  <c r="G107" i="68"/>
  <c r="G172" i="68" s="1"/>
  <c r="M24" i="24"/>
  <c r="AA124" i="39"/>
  <c r="AD103" i="55" s="1"/>
  <c r="AA113" i="39"/>
  <c r="AA114" i="39" s="1"/>
  <c r="M41" i="24"/>
  <c r="P20" i="41"/>
  <c r="S130" i="55" s="1"/>
  <c r="Q20" i="52"/>
  <c r="AG28" i="40"/>
  <c r="AG29" i="40" s="1"/>
  <c r="AG30" i="40" s="1"/>
  <c r="U25" i="24"/>
  <c r="V25" i="24" s="1"/>
  <c r="U124" i="68"/>
  <c r="M20" i="24"/>
  <c r="AE12" i="41"/>
  <c r="AF12" i="52"/>
  <c r="M21" i="50"/>
  <c r="L19" i="50"/>
  <c r="M26" i="24"/>
  <c r="U42" i="24"/>
  <c r="W42" i="24" s="1"/>
  <c r="M11" i="24"/>
  <c r="Y120" i="39"/>
  <c r="AB99" i="55" s="1"/>
  <c r="Y29" i="39"/>
  <c r="Y30" i="39" s="1"/>
  <c r="AB77" i="55" s="1"/>
  <c r="G16" i="30"/>
  <c r="G17" i="33"/>
  <c r="I41" i="55"/>
  <c r="I43" i="33"/>
  <c r="W28" i="40"/>
  <c r="W29" i="40" s="1"/>
  <c r="W30" i="40" s="1"/>
  <c r="Q117" i="68"/>
  <c r="L11" i="33"/>
  <c r="M11" i="33" s="1"/>
  <c r="N11" i="33" s="1"/>
  <c r="H120" i="39"/>
  <c r="K99" i="55" s="1"/>
  <c r="H29" i="39"/>
  <c r="H30" i="39" s="1"/>
  <c r="K77" i="55" s="1"/>
  <c r="AI118" i="39"/>
  <c r="AL97" i="55" s="1"/>
  <c r="AI117" i="39"/>
  <c r="AI9" i="39"/>
  <c r="AI10" i="39" s="1"/>
  <c r="AL72" i="55" s="1"/>
  <c r="AG124" i="39"/>
  <c r="AJ103" i="55" s="1"/>
  <c r="AG113" i="39"/>
  <c r="AG114" i="39" s="1"/>
  <c r="W62" i="35"/>
  <c r="W59" i="35" s="1"/>
  <c r="W11" i="35" s="1"/>
  <c r="AM50" i="45"/>
  <c r="K96" i="55"/>
  <c r="AI12" i="41"/>
  <c r="AJ12" i="52"/>
  <c r="K12" i="41"/>
  <c r="L12" i="52"/>
  <c r="AA120" i="39"/>
  <c r="AD99" i="55" s="1"/>
  <c r="AA29" i="39"/>
  <c r="AA30" i="39" s="1"/>
  <c r="AD77" i="55" s="1"/>
  <c r="AC120" i="39"/>
  <c r="AF99" i="55" s="1"/>
  <c r="AC29" i="39"/>
  <c r="AC30" i="39" s="1"/>
  <c r="AF77" i="55" s="1"/>
  <c r="W113" i="39"/>
  <c r="W114" i="39" s="1"/>
  <c r="W124" i="39"/>
  <c r="Z103" i="55" s="1"/>
  <c r="O27" i="24"/>
  <c r="P27" i="24" s="1"/>
  <c r="S27" i="24" s="1"/>
  <c r="F173" i="68"/>
  <c r="G169" i="68" s="1"/>
  <c r="L50" i="33"/>
  <c r="M50" i="33" s="1"/>
  <c r="AK20" i="52"/>
  <c r="AJ20" i="41"/>
  <c r="AM130" i="55" s="1"/>
  <c r="L96" i="55"/>
  <c r="P28" i="40"/>
  <c r="P29" i="40" s="1"/>
  <c r="P30" i="40" s="1"/>
  <c r="AG20" i="39"/>
  <c r="M25" i="24"/>
  <c r="C9" i="39"/>
  <c r="M35" i="24"/>
  <c r="M29" i="24"/>
  <c r="G20" i="39"/>
  <c r="O26" i="24"/>
  <c r="P26" i="24" s="1"/>
  <c r="S26" i="24" s="1"/>
  <c r="AA44" i="33"/>
  <c r="AB23" i="55" s="1"/>
  <c r="O11" i="24"/>
  <c r="P11" i="24" s="1"/>
  <c r="S11" i="24" s="1"/>
  <c r="Q75" i="55"/>
  <c r="Q62" i="35"/>
  <c r="Q59" i="35" s="1"/>
  <c r="Q11" i="35" s="1"/>
  <c r="AG50" i="45"/>
  <c r="I11" i="55"/>
  <c r="J7" i="33"/>
  <c r="X7" i="52"/>
  <c r="M43" i="24"/>
  <c r="M22" i="24"/>
  <c r="M42" i="24"/>
  <c r="K7" i="55"/>
  <c r="O40" i="33"/>
  <c r="P40" i="33" s="1"/>
  <c r="AH117" i="39"/>
  <c r="AH118" i="39"/>
  <c r="AK97" i="55" s="1"/>
  <c r="AH9" i="39"/>
  <c r="AH10" i="39" s="1"/>
  <c r="AK72" i="55" s="1"/>
  <c r="N38" i="55"/>
  <c r="O38" i="24"/>
  <c r="P38" i="24" s="1"/>
  <c r="S38" i="24" s="1"/>
  <c r="M18" i="24"/>
  <c r="V96" i="55"/>
  <c r="O62" i="35"/>
  <c r="AE50" i="45"/>
  <c r="AI13" i="41"/>
  <c r="AI36" i="40"/>
  <c r="AI37" i="40" s="1"/>
  <c r="AI38" i="40" s="1"/>
  <c r="AL113" i="55" s="1"/>
  <c r="AI28" i="39"/>
  <c r="AJ13" i="52"/>
  <c r="K13" i="41"/>
  <c r="K36" i="40"/>
  <c r="K37" i="40" s="1"/>
  <c r="K38" i="40" s="1"/>
  <c r="N113" i="55" s="1"/>
  <c r="K28" i="39"/>
  <c r="L13" i="52"/>
  <c r="AF62" i="35"/>
  <c r="AF59" i="35" s="1"/>
  <c r="AF11" i="35" s="1"/>
  <c r="AV50" i="45"/>
  <c r="L44" i="24"/>
  <c r="M9" i="24"/>
  <c r="AB20" i="52"/>
  <c r="AA20" i="41"/>
  <c r="U20" i="52"/>
  <c r="T20" i="41"/>
  <c r="W130" i="55" s="1"/>
  <c r="AJ120" i="39"/>
  <c r="AM99" i="55" s="1"/>
  <c r="AJ29" i="39"/>
  <c r="AJ30" i="39" s="1"/>
  <c r="AM77" i="55" s="1"/>
  <c r="P96" i="55"/>
  <c r="Y44" i="33"/>
  <c r="Z23" i="55" s="1"/>
  <c r="M13" i="24"/>
  <c r="AD96" i="55"/>
  <c r="O118" i="68"/>
  <c r="P20" i="39"/>
  <c r="S49" i="45"/>
  <c r="B62" i="30"/>
  <c r="B11" i="30" s="1"/>
  <c r="C61" i="35"/>
  <c r="H79" i="68"/>
  <c r="I79" i="68" s="1"/>
  <c r="U35" i="24"/>
  <c r="Y35" i="24" s="1"/>
  <c r="H62" i="35"/>
  <c r="H59" i="35" s="1"/>
  <c r="H11" i="35" s="1"/>
  <c r="X50" i="45"/>
  <c r="U29" i="24"/>
  <c r="Y29" i="24" s="1"/>
  <c r="P62" i="35"/>
  <c r="P59" i="35" s="1"/>
  <c r="P11" i="35" s="1"/>
  <c r="AF50" i="45"/>
  <c r="M37" i="24"/>
  <c r="AG62" i="35"/>
  <c r="AG59" i="35" s="1"/>
  <c r="AG11" i="35" s="1"/>
  <c r="AW50" i="45"/>
  <c r="Y129" i="55"/>
  <c r="G28" i="40"/>
  <c r="G29" i="40" s="1"/>
  <c r="G30" i="40" s="1"/>
  <c r="H44" i="24"/>
  <c r="T96" i="55"/>
  <c r="J11" i="55"/>
  <c r="O113" i="39"/>
  <c r="O114" i="39" s="1"/>
  <c r="O124" i="39"/>
  <c r="R103" i="55" s="1"/>
  <c r="U43" i="24"/>
  <c r="Y43" i="24" s="1"/>
  <c r="U22" i="24"/>
  <c r="V22" i="24" s="1"/>
  <c r="H34" i="55"/>
  <c r="M32" i="55"/>
  <c r="L37" i="33"/>
  <c r="M37" i="33" s="1"/>
  <c r="N37" i="33" s="1"/>
  <c r="G6" i="33"/>
  <c r="J117" i="39"/>
  <c r="J118" i="39"/>
  <c r="M97" i="55" s="1"/>
  <c r="J9" i="39"/>
  <c r="J10" i="39" s="1"/>
  <c r="M72" i="55" s="1"/>
  <c r="AH12" i="41"/>
  <c r="AI12" i="52"/>
  <c r="F71" i="68"/>
  <c r="F162" i="68" s="1"/>
  <c r="J10" i="40"/>
  <c r="B9" i="40"/>
  <c r="AH124" i="39"/>
  <c r="AK103" i="55" s="1"/>
  <c r="AH113" i="39"/>
  <c r="AH114" i="39" s="1"/>
  <c r="M17" i="24"/>
  <c r="F16" i="30"/>
  <c r="O12" i="24"/>
  <c r="P12" i="24" s="1"/>
  <c r="S12" i="24" s="1"/>
  <c r="V50" i="45"/>
  <c r="F62" i="35"/>
  <c r="AI46" i="35"/>
  <c r="AY34" i="45"/>
  <c r="M32" i="24"/>
  <c r="L165" i="55"/>
  <c r="K164" i="55"/>
  <c r="X96" i="55"/>
  <c r="G120" i="39"/>
  <c r="J99" i="55" s="1"/>
  <c r="G29" i="39"/>
  <c r="G30" i="39" s="1"/>
  <c r="J77" i="55" s="1"/>
  <c r="K46" i="35"/>
  <c r="AA34" i="45"/>
  <c r="Q20" i="41"/>
  <c r="T130" i="55" s="1"/>
  <c r="R20" i="52"/>
  <c r="M28" i="24"/>
  <c r="X124" i="39"/>
  <c r="AA103" i="55" s="1"/>
  <c r="X113" i="39"/>
  <c r="X114" i="39" s="1"/>
  <c r="E16" i="30"/>
  <c r="J96" i="55"/>
  <c r="I113" i="68"/>
  <c r="I143" i="68" s="1"/>
  <c r="I182" i="68" s="1"/>
  <c r="AA21" i="39"/>
  <c r="AA22" i="39" s="1"/>
  <c r="L5" i="55"/>
  <c r="L8" i="33"/>
  <c r="M8" i="33" s="1"/>
  <c r="T21" i="39"/>
  <c r="T22" i="39" s="1"/>
  <c r="M33" i="24"/>
  <c r="M19" i="24"/>
  <c r="AM111" i="55"/>
  <c r="E120" i="39"/>
  <c r="H99" i="55" s="1"/>
  <c r="E29" i="39"/>
  <c r="E30" i="39" s="1"/>
  <c r="H77" i="55" s="1"/>
  <c r="K46" i="55"/>
  <c r="M40" i="24"/>
  <c r="E12" i="33"/>
  <c r="D12" i="52"/>
  <c r="C12" i="41"/>
  <c r="M39" i="24"/>
  <c r="K114" i="68"/>
  <c r="M36" i="24"/>
  <c r="Y62" i="35"/>
  <c r="Y59" i="35" s="1"/>
  <c r="Y11" i="35" s="1"/>
  <c r="AO50" i="45"/>
  <c r="X20" i="52"/>
  <c r="W20" i="41"/>
  <c r="Z130" i="55" s="1"/>
  <c r="E20" i="52"/>
  <c r="E19" i="52" s="1"/>
  <c r="D20" i="41"/>
  <c r="G130" i="55" s="1"/>
  <c r="AD20" i="52"/>
  <c r="AC20" i="41"/>
  <c r="AF130" i="55" s="1"/>
  <c r="J12" i="41"/>
  <c r="K12" i="52"/>
  <c r="AH13" i="41"/>
  <c r="AH36" i="40"/>
  <c r="AH37" i="40" s="1"/>
  <c r="AH38" i="40" s="1"/>
  <c r="AK113" i="55" s="1"/>
  <c r="AH28" i="39"/>
  <c r="AI13" i="52"/>
  <c r="G18" i="55"/>
  <c r="D62" i="35"/>
  <c r="D59" i="35" s="1"/>
  <c r="D11" i="35" s="1"/>
  <c r="D16" i="35" s="1"/>
  <c r="T50" i="45"/>
  <c r="T5" i="45" s="1"/>
  <c r="H143" i="68"/>
  <c r="H182" i="68" s="1"/>
  <c r="M15" i="24"/>
  <c r="M16" i="24"/>
  <c r="X127" i="68"/>
  <c r="T120" i="39"/>
  <c r="W99" i="55" s="1"/>
  <c r="T29" i="39"/>
  <c r="T30" i="39" s="1"/>
  <c r="W77" i="55" s="1"/>
  <c r="M36" i="55"/>
  <c r="AA28" i="40"/>
  <c r="AA29" i="40" s="1"/>
  <c r="AA30" i="40" s="1"/>
  <c r="T28" i="40"/>
  <c r="T29" i="40" s="1"/>
  <c r="T30" i="40" s="1"/>
  <c r="O19" i="24"/>
  <c r="P19" i="24" s="1"/>
  <c r="S19" i="24" s="1"/>
  <c r="M10" i="24"/>
  <c r="AM128" i="55"/>
  <c r="AI96" i="55"/>
  <c r="S119" i="68"/>
  <c r="T119" i="68" s="1"/>
  <c r="M14" i="24"/>
  <c r="S120" i="39"/>
  <c r="V99" i="55" s="1"/>
  <c r="S29" i="39"/>
  <c r="S30" i="39" s="1"/>
  <c r="V77" i="55" s="1"/>
  <c r="E13" i="33"/>
  <c r="C13" i="41"/>
  <c r="C36" i="40"/>
  <c r="C28" i="39"/>
  <c r="D13" i="52"/>
  <c r="AB62" i="35"/>
  <c r="AB59" i="35" s="1"/>
  <c r="AB11" i="35" s="1"/>
  <c r="AR50" i="45"/>
  <c r="AB96" i="55"/>
  <c r="Q120" i="39"/>
  <c r="T99" i="55" s="1"/>
  <c r="Q29" i="39"/>
  <c r="Q30" i="39" s="1"/>
  <c r="T77" i="55" s="1"/>
  <c r="U39" i="24"/>
  <c r="V39" i="24" s="1"/>
  <c r="AE117" i="39"/>
  <c r="AE118" i="39"/>
  <c r="AH97" i="55" s="1"/>
  <c r="AE9" i="39"/>
  <c r="AE10" i="39" s="1"/>
  <c r="AH72" i="55" s="1"/>
  <c r="AE113" i="39"/>
  <c r="AE114" i="39" s="1"/>
  <c r="AE124" i="39"/>
  <c r="AH103" i="55" s="1"/>
  <c r="V20" i="52"/>
  <c r="U20" i="41"/>
  <c r="X130" i="55" s="1"/>
  <c r="I22" i="33"/>
  <c r="AJ124" i="39"/>
  <c r="AM103" i="55" s="1"/>
  <c r="AJ113" i="39"/>
  <c r="AJ114" i="39" s="1"/>
  <c r="AF96" i="55"/>
  <c r="M30" i="24"/>
  <c r="Z44" i="33"/>
  <c r="AA23" i="55" s="1"/>
  <c r="X126" i="68"/>
  <c r="Z128" i="55"/>
  <c r="D28" i="40"/>
  <c r="D29" i="40" s="1"/>
  <c r="D30" i="40" s="1"/>
  <c r="AE96" i="55"/>
  <c r="J13" i="41"/>
  <c r="J36" i="40"/>
  <c r="J37" i="40" s="1"/>
  <c r="J38" i="40" s="1"/>
  <c r="M113" i="55" s="1"/>
  <c r="J28" i="39"/>
  <c r="K13" i="52"/>
  <c r="AX34" i="45"/>
  <c r="AH46" i="35"/>
  <c r="G47" i="28"/>
  <c r="G40" i="28"/>
  <c r="J9" i="28"/>
  <c r="J20" i="28" s="1"/>
  <c r="I13" i="28"/>
  <c r="I14" i="28"/>
  <c r="H24" i="37"/>
  <c r="I17" i="28"/>
  <c r="I16" i="28"/>
  <c r="I11" i="28"/>
  <c r="I18" i="28"/>
  <c r="I10" i="28"/>
  <c r="I12" i="28"/>
  <c r="I15" i="28"/>
  <c r="K23" i="36"/>
  <c r="G41" i="28"/>
  <c r="G43" i="28"/>
  <c r="G46" i="28"/>
  <c r="G39" i="28"/>
  <c r="G44" i="28"/>
  <c r="I180" i="55"/>
  <c r="G50" i="28"/>
  <c r="G48" i="28"/>
  <c r="H37" i="28"/>
  <c r="F51" i="28"/>
  <c r="F54" i="28" s="1"/>
  <c r="E9" i="49" s="1"/>
  <c r="G45" i="28"/>
  <c r="H4" i="37"/>
  <c r="L14" i="47"/>
  <c r="K13" i="47"/>
  <c r="I38" i="66" s="1"/>
  <c r="H41" i="66"/>
  <c r="H39" i="66"/>
  <c r="H40" i="66"/>
  <c r="H10" i="62"/>
  <c r="G9" i="26"/>
  <c r="W13" i="24" l="1"/>
  <c r="K45" i="55"/>
  <c r="L49" i="33"/>
  <c r="M45" i="55" s="1"/>
  <c r="X5" i="45"/>
  <c r="V128" i="55"/>
  <c r="J24" i="33"/>
  <c r="K24" i="33" s="1"/>
  <c r="S113" i="39"/>
  <c r="S114" i="39" s="1"/>
  <c r="V95" i="55" s="1"/>
  <c r="I18" i="33"/>
  <c r="J17" i="55" s="1"/>
  <c r="D119" i="39"/>
  <c r="G98" i="55" s="1"/>
  <c r="G7" i="52"/>
  <c r="H32" i="40"/>
  <c r="H33" i="40" s="1"/>
  <c r="H24" i="39"/>
  <c r="H25" i="39" s="1"/>
  <c r="H26" i="39" s="1"/>
  <c r="K76" i="55" s="1"/>
  <c r="H128" i="55"/>
  <c r="K21" i="55"/>
  <c r="P7" i="52"/>
  <c r="M113" i="39"/>
  <c r="M114" i="39" s="1"/>
  <c r="P95" i="55" s="1"/>
  <c r="AI128" i="55"/>
  <c r="G6" i="40"/>
  <c r="J10" i="36" s="1"/>
  <c r="K35" i="33"/>
  <c r="L33" i="55" s="1"/>
  <c r="I9" i="33"/>
  <c r="J9" i="33" s="1"/>
  <c r="K9" i="33" s="1"/>
  <c r="L12" i="55" s="1"/>
  <c r="G126" i="39"/>
  <c r="AN128" i="55"/>
  <c r="AD29" i="39"/>
  <c r="AD30" i="39" s="1"/>
  <c r="AG77" i="55" s="1"/>
  <c r="I29" i="39"/>
  <c r="I30" i="39" s="1"/>
  <c r="L77" i="55" s="1"/>
  <c r="E20" i="41"/>
  <c r="H130" i="55" s="1"/>
  <c r="F20" i="52"/>
  <c r="F19" i="52" s="1"/>
  <c r="F6" i="52" s="1"/>
  <c r="H13" i="36" s="1"/>
  <c r="E20" i="39"/>
  <c r="E21" i="39" s="1"/>
  <c r="E22" i="39" s="1"/>
  <c r="I33" i="33"/>
  <c r="J33" i="55"/>
  <c r="J31" i="55" s="1"/>
  <c r="I28" i="40"/>
  <c r="I29" i="40" s="1"/>
  <c r="I30" i="40" s="1"/>
  <c r="L111" i="55" s="1"/>
  <c r="S13" i="52"/>
  <c r="AL20" i="52"/>
  <c r="T7" i="52"/>
  <c r="Y7" i="52"/>
  <c r="AK20" i="41"/>
  <c r="AN130" i="55" s="1"/>
  <c r="Z113" i="39"/>
  <c r="Z114" i="39" s="1"/>
  <c r="AC95" i="55" s="1"/>
  <c r="AK28" i="40"/>
  <c r="AK29" i="40" s="1"/>
  <c r="AK30" i="40" s="1"/>
  <c r="AN111" i="55" s="1"/>
  <c r="AG7" i="52"/>
  <c r="J20" i="52"/>
  <c r="I20" i="39"/>
  <c r="I21" i="39" s="1"/>
  <c r="I22" i="39" s="1"/>
  <c r="F58" i="55"/>
  <c r="F57" i="55" s="1"/>
  <c r="J43" i="35"/>
  <c r="J8" i="35" s="1"/>
  <c r="J30" i="55"/>
  <c r="R28" i="39"/>
  <c r="R120" i="39" s="1"/>
  <c r="U99" i="55" s="1"/>
  <c r="C14" i="52"/>
  <c r="R36" i="40"/>
  <c r="R37" i="40" s="1"/>
  <c r="R38" i="40" s="1"/>
  <c r="U113" i="55" s="1"/>
  <c r="H126" i="39"/>
  <c r="K22" i="36"/>
  <c r="R13" i="41"/>
  <c r="K20" i="39"/>
  <c r="K21" i="39" s="1"/>
  <c r="K22" i="39" s="1"/>
  <c r="AG128" i="55"/>
  <c r="C126" i="39"/>
  <c r="B130" i="39"/>
  <c r="E129" i="39"/>
  <c r="E126" i="39" s="1"/>
  <c r="AE7" i="52"/>
  <c r="F129" i="39"/>
  <c r="F126" i="39" s="1"/>
  <c r="AC113" i="39"/>
  <c r="AC114" i="39" s="1"/>
  <c r="AF95" i="55" s="1"/>
  <c r="AF28" i="40"/>
  <c r="AF29" i="40" s="1"/>
  <c r="AF30" i="40" s="1"/>
  <c r="AI111" i="55" s="1"/>
  <c r="AF113" i="39"/>
  <c r="AF114" i="39" s="1"/>
  <c r="AI95" i="55" s="1"/>
  <c r="I128" i="55"/>
  <c r="F68" i="33"/>
  <c r="G58" i="55" s="1"/>
  <c r="G57" i="55" s="1"/>
  <c r="L25" i="55"/>
  <c r="E5" i="33"/>
  <c r="M26" i="33"/>
  <c r="M24" i="55"/>
  <c r="N25" i="55"/>
  <c r="AK120" i="39"/>
  <c r="AN99" i="55" s="1"/>
  <c r="V5" i="45"/>
  <c r="I70" i="55" s="1"/>
  <c r="F120" i="39"/>
  <c r="I99" i="55" s="1"/>
  <c r="M25" i="55"/>
  <c r="X120" i="39"/>
  <c r="AA99" i="55" s="1"/>
  <c r="N27" i="33"/>
  <c r="O25" i="55" s="1"/>
  <c r="H19" i="52"/>
  <c r="H6" i="52" s="1"/>
  <c r="J13" i="36" s="1"/>
  <c r="O120" i="39"/>
  <c r="R99" i="55" s="1"/>
  <c r="AF120" i="39"/>
  <c r="AI99" i="55" s="1"/>
  <c r="H16" i="35"/>
  <c r="K8" i="36" s="1"/>
  <c r="F20" i="39"/>
  <c r="F21" i="39" s="1"/>
  <c r="F22" i="39" s="1"/>
  <c r="Y25" i="32"/>
  <c r="Z20" i="39" s="1"/>
  <c r="Z21" i="39" s="1"/>
  <c r="Z22" i="39" s="1"/>
  <c r="F29" i="39"/>
  <c r="F30" i="39" s="1"/>
  <c r="I77" i="55" s="1"/>
  <c r="F20" i="41"/>
  <c r="I130" i="55" s="1"/>
  <c r="R12" i="41"/>
  <c r="U128" i="55" s="1"/>
  <c r="Q25" i="32"/>
  <c r="R20" i="39" s="1"/>
  <c r="R21" i="39" s="1"/>
  <c r="R22" i="39" s="1"/>
  <c r="I59" i="35"/>
  <c r="I11" i="35" s="1"/>
  <c r="I21" i="52"/>
  <c r="I19" i="52" s="1"/>
  <c r="I6" i="52" s="1"/>
  <c r="K13" i="36" s="1"/>
  <c r="H22" i="41"/>
  <c r="K131" i="55" s="1"/>
  <c r="K127" i="55" s="1"/>
  <c r="J30" i="33"/>
  <c r="K28" i="55" s="1"/>
  <c r="H27" i="32"/>
  <c r="I129" i="39" s="1"/>
  <c r="I126" i="39" s="1"/>
  <c r="I41" i="30"/>
  <c r="H7" i="30"/>
  <c r="H16" i="30" s="1"/>
  <c r="I41" i="35"/>
  <c r="I40" i="35" s="1"/>
  <c r="I7" i="35" s="1"/>
  <c r="Y29" i="45"/>
  <c r="Y5" i="45" s="1"/>
  <c r="P113" i="39"/>
  <c r="P114" i="39" s="1"/>
  <c r="S95" i="55" s="1"/>
  <c r="C20" i="39"/>
  <c r="C119" i="39" s="1"/>
  <c r="O59" i="35"/>
  <c r="O11" i="35" s="1"/>
  <c r="F59" i="35"/>
  <c r="F11" i="35" s="1"/>
  <c r="F16" i="35" s="1"/>
  <c r="I8" i="36" s="1"/>
  <c r="H124" i="39"/>
  <c r="K103" i="55" s="1"/>
  <c r="Z20" i="52"/>
  <c r="G124" i="39"/>
  <c r="J103" i="55" s="1"/>
  <c r="Y28" i="40"/>
  <c r="Y29" i="40" s="1"/>
  <c r="Y30" i="40" s="1"/>
  <c r="AB111" i="55" s="1"/>
  <c r="Y20" i="39"/>
  <c r="Y21" i="39" s="1"/>
  <c r="Y22" i="39" s="1"/>
  <c r="AE20" i="52"/>
  <c r="S20" i="39"/>
  <c r="S21" i="39" s="1"/>
  <c r="S22" i="39" s="1"/>
  <c r="V75" i="55" s="1"/>
  <c r="AF20" i="39"/>
  <c r="AF21" i="39" s="1"/>
  <c r="AF22" i="39" s="1"/>
  <c r="AG20" i="52"/>
  <c r="G19" i="33"/>
  <c r="H15" i="55" s="1"/>
  <c r="G15" i="55"/>
  <c r="G13" i="55" s="1"/>
  <c r="G20" i="52"/>
  <c r="G19" i="52" s="1"/>
  <c r="H20" i="33"/>
  <c r="H16" i="55"/>
  <c r="L29" i="55"/>
  <c r="AH34" i="45"/>
  <c r="R34" i="45" s="1"/>
  <c r="E16" i="35"/>
  <c r="H8" i="36" s="1"/>
  <c r="Y28" i="24"/>
  <c r="Q54" i="33"/>
  <c r="R54" i="33" s="1"/>
  <c r="S54" i="33" s="1"/>
  <c r="T54" i="33" s="1"/>
  <c r="K56" i="33"/>
  <c r="M55" i="33"/>
  <c r="AF29" i="39"/>
  <c r="AF30" i="39" s="1"/>
  <c r="AI77" i="55" s="1"/>
  <c r="L57" i="33"/>
  <c r="B8" i="39"/>
  <c r="L47" i="55"/>
  <c r="J48" i="33"/>
  <c r="L51" i="33"/>
  <c r="M51" i="33" s="1"/>
  <c r="N47" i="55" s="1"/>
  <c r="K47" i="55"/>
  <c r="Y13" i="24"/>
  <c r="O29" i="39"/>
  <c r="O30" i="39" s="1"/>
  <c r="R77" i="55" s="1"/>
  <c r="H17" i="33"/>
  <c r="I17" i="33" s="1"/>
  <c r="S62" i="35"/>
  <c r="S59" i="35" s="1"/>
  <c r="S11" i="35" s="1"/>
  <c r="L21" i="33"/>
  <c r="H42" i="28"/>
  <c r="H49" i="28"/>
  <c r="AI50" i="45"/>
  <c r="J16" i="33"/>
  <c r="K16" i="33" s="1"/>
  <c r="AD20" i="41"/>
  <c r="AG130" i="55" s="1"/>
  <c r="AD28" i="40"/>
  <c r="AD29" i="40" s="1"/>
  <c r="AD30" i="40" s="1"/>
  <c r="AG111" i="55" s="1"/>
  <c r="R9" i="39"/>
  <c r="R10" i="39" s="1"/>
  <c r="U72" i="55" s="1"/>
  <c r="R118" i="39"/>
  <c r="U97" i="55" s="1"/>
  <c r="S20" i="41"/>
  <c r="V130" i="55" s="1"/>
  <c r="T20" i="52"/>
  <c r="AK29" i="39"/>
  <c r="AK30" i="39" s="1"/>
  <c r="AN77" i="55" s="1"/>
  <c r="P20" i="52"/>
  <c r="O28" i="40"/>
  <c r="O29" i="40" s="1"/>
  <c r="O30" i="40" s="1"/>
  <c r="R111" i="55" s="1"/>
  <c r="X59" i="35"/>
  <c r="X11" i="35" s="1"/>
  <c r="BA50" i="45"/>
  <c r="O20" i="39"/>
  <c r="O21" i="39" s="1"/>
  <c r="O22" i="39" s="1"/>
  <c r="AK62" i="35"/>
  <c r="AK59" i="35" s="1"/>
  <c r="AK11" i="35" s="1"/>
  <c r="X20" i="41"/>
  <c r="AA130" i="55" s="1"/>
  <c r="X28" i="40"/>
  <c r="X29" i="40" s="1"/>
  <c r="X30" i="40" s="1"/>
  <c r="AA111" i="55" s="1"/>
  <c r="Z13" i="41"/>
  <c r="Y20" i="52"/>
  <c r="U124" i="39"/>
  <c r="X103" i="55" s="1"/>
  <c r="D113" i="39"/>
  <c r="D114" i="39" s="1"/>
  <c r="G95" i="55" s="1"/>
  <c r="Y18" i="24"/>
  <c r="G8" i="36"/>
  <c r="X95" i="55"/>
  <c r="Z95" i="55"/>
  <c r="AD95" i="55"/>
  <c r="N95" i="55"/>
  <c r="Y126" i="55"/>
  <c r="I126" i="55"/>
  <c r="F6" i="40"/>
  <c r="I10" i="36" s="1"/>
  <c r="G139" i="55"/>
  <c r="G127" i="55" s="1"/>
  <c r="D6" i="41"/>
  <c r="G11" i="36" s="1"/>
  <c r="AA95" i="55"/>
  <c r="W95" i="55"/>
  <c r="K95" i="55"/>
  <c r="T126" i="55"/>
  <c r="AJ95" i="55"/>
  <c r="M95" i="55"/>
  <c r="G126" i="55"/>
  <c r="D6" i="40"/>
  <c r="G10" i="36" s="1"/>
  <c r="AK95" i="55"/>
  <c r="U126" i="55"/>
  <c r="S126" i="55"/>
  <c r="AM95" i="55"/>
  <c r="AN95" i="55"/>
  <c r="AL95" i="55"/>
  <c r="Q95" i="55"/>
  <c r="J95" i="55"/>
  <c r="AH95" i="55"/>
  <c r="R95" i="55"/>
  <c r="AG95" i="55"/>
  <c r="O126" i="55"/>
  <c r="AB95" i="55"/>
  <c r="H126" i="55"/>
  <c r="H105" i="55" s="1"/>
  <c r="E6" i="40"/>
  <c r="H10" i="36" s="1"/>
  <c r="L39" i="33"/>
  <c r="M39" i="33" s="1"/>
  <c r="K46" i="33"/>
  <c r="L43" i="55" s="1"/>
  <c r="L14" i="33"/>
  <c r="M10" i="55" s="1"/>
  <c r="K37" i="55"/>
  <c r="L35" i="33"/>
  <c r="M33" i="55" s="1"/>
  <c r="L20" i="55"/>
  <c r="M42" i="33"/>
  <c r="N40" i="55" s="1"/>
  <c r="J127" i="55"/>
  <c r="K10" i="55"/>
  <c r="B15" i="35"/>
  <c r="AT50" i="45"/>
  <c r="AD62" i="35"/>
  <c r="AD59" i="35" s="1"/>
  <c r="AD11" i="35" s="1"/>
  <c r="Y20" i="24"/>
  <c r="R113" i="39"/>
  <c r="R114" i="39" s="1"/>
  <c r="L44" i="55"/>
  <c r="AA12" i="52"/>
  <c r="K52" i="55"/>
  <c r="Z12" i="41"/>
  <c r="L62" i="33"/>
  <c r="M52" i="55" s="1"/>
  <c r="Z118" i="39"/>
  <c r="AC97" i="55" s="1"/>
  <c r="J66" i="33"/>
  <c r="J58" i="33" s="1"/>
  <c r="J56" i="55"/>
  <c r="J48" i="55" s="1"/>
  <c r="L59" i="33"/>
  <c r="M49" i="55" s="1"/>
  <c r="L49" i="55"/>
  <c r="Q113" i="39"/>
  <c r="Q114" i="39" s="1"/>
  <c r="AA13" i="52"/>
  <c r="Z28" i="39"/>
  <c r="Z36" i="40"/>
  <c r="Z37" i="40" s="1"/>
  <c r="Z38" i="40" s="1"/>
  <c r="AC113" i="55" s="1"/>
  <c r="Z9" i="39"/>
  <c r="Z10" i="39" s="1"/>
  <c r="AC72" i="55" s="1"/>
  <c r="Z117" i="39"/>
  <c r="AC96" i="55" s="1"/>
  <c r="AH49" i="45"/>
  <c r="R49" i="45" s="1"/>
  <c r="R61" i="35"/>
  <c r="F113" i="39"/>
  <c r="F114" i="39" s="1"/>
  <c r="S12" i="52"/>
  <c r="X29" i="39"/>
  <c r="X30" i="39" s="1"/>
  <c r="AA77" i="55" s="1"/>
  <c r="L64" i="33"/>
  <c r="M54" i="55" s="1"/>
  <c r="L54" i="55"/>
  <c r="G173" i="68"/>
  <c r="H169" i="68" s="1"/>
  <c r="N32" i="55"/>
  <c r="W39" i="24"/>
  <c r="C28" i="40"/>
  <c r="C29" i="40" s="1"/>
  <c r="K28" i="40"/>
  <c r="K29" i="40" s="1"/>
  <c r="K30" i="40" s="1"/>
  <c r="M49" i="33"/>
  <c r="N49" i="33" s="1"/>
  <c r="O45" i="55" s="1"/>
  <c r="C44" i="68"/>
  <c r="D44" i="68" s="1"/>
  <c r="H44" i="68" s="1"/>
  <c r="I44" i="68" s="1"/>
  <c r="J44" i="68" s="1"/>
  <c r="M128" i="55"/>
  <c r="J170" i="68"/>
  <c r="C82" i="68"/>
  <c r="D82" i="68" s="1"/>
  <c r="J82" i="68" s="1"/>
  <c r="K82" i="68" s="1"/>
  <c r="J28" i="40"/>
  <c r="J29" i="40" s="1"/>
  <c r="J30" i="40" s="1"/>
  <c r="M111" i="55" s="1"/>
  <c r="B92" i="40"/>
  <c r="AK128" i="55"/>
  <c r="N36" i="55"/>
  <c r="Y39" i="24"/>
  <c r="K53" i="55"/>
  <c r="K63" i="33"/>
  <c r="E124" i="39"/>
  <c r="H103" i="55" s="1"/>
  <c r="E113" i="39"/>
  <c r="E114" i="39" s="1"/>
  <c r="B112" i="39"/>
  <c r="Y42" i="24"/>
  <c r="K44" i="30"/>
  <c r="K44" i="35"/>
  <c r="K43" i="35" s="1"/>
  <c r="K8" i="35" s="1"/>
  <c r="AA32" i="45"/>
  <c r="V42" i="24"/>
  <c r="W40" i="24"/>
  <c r="V33" i="24"/>
  <c r="P32" i="30"/>
  <c r="P32" i="35"/>
  <c r="AF20" i="45"/>
  <c r="Y25" i="24"/>
  <c r="J69" i="33"/>
  <c r="K69" i="33" s="1"/>
  <c r="J59" i="55"/>
  <c r="N24" i="30"/>
  <c r="AD12" i="45"/>
  <c r="N24" i="35"/>
  <c r="AF7" i="52"/>
  <c r="M7" i="50"/>
  <c r="N9" i="50"/>
  <c r="Y33" i="24"/>
  <c r="AE23" i="30"/>
  <c r="AU11" i="45"/>
  <c r="AE23" i="35"/>
  <c r="I59" i="55"/>
  <c r="H34" i="40"/>
  <c r="H6" i="40" s="1"/>
  <c r="AE28" i="40"/>
  <c r="AE29" i="40" s="1"/>
  <c r="AE30" i="40" s="1"/>
  <c r="I26" i="41"/>
  <c r="L133" i="55" s="1"/>
  <c r="J23" i="52"/>
  <c r="K32" i="33"/>
  <c r="L30" i="55" s="1"/>
  <c r="Y16" i="24"/>
  <c r="Y41" i="24"/>
  <c r="H160" i="68"/>
  <c r="L124" i="39"/>
  <c r="O103" i="55" s="1"/>
  <c r="L113" i="39"/>
  <c r="L114" i="39" s="1"/>
  <c r="J19" i="30"/>
  <c r="I6" i="30"/>
  <c r="I31" i="32"/>
  <c r="Z7" i="45"/>
  <c r="J19" i="35"/>
  <c r="J18" i="35" s="1"/>
  <c r="J6" i="35" s="1"/>
  <c r="K27" i="30"/>
  <c r="K27" i="35"/>
  <c r="AA15" i="45"/>
  <c r="Y17" i="24"/>
  <c r="Q35" i="30"/>
  <c r="Q35" i="35"/>
  <c r="AG23" i="45"/>
  <c r="K7" i="52"/>
  <c r="S30" i="30"/>
  <c r="S30" i="35"/>
  <c r="AI18" i="45"/>
  <c r="B61" i="41"/>
  <c r="J26" i="50"/>
  <c r="J38" i="50" s="1"/>
  <c r="J20" i="36" s="1"/>
  <c r="K27" i="50"/>
  <c r="AF28" i="30"/>
  <c r="AV16" i="45"/>
  <c r="AF28" i="35"/>
  <c r="Q31" i="30"/>
  <c r="AG19" i="45"/>
  <c r="Q31" i="35"/>
  <c r="O32" i="55"/>
  <c r="Y30" i="24"/>
  <c r="O29" i="30"/>
  <c r="O29" i="35"/>
  <c r="AE17" i="45"/>
  <c r="Y40" i="24"/>
  <c r="L6" i="55"/>
  <c r="C38" i="52"/>
  <c r="W36" i="24"/>
  <c r="V21" i="30"/>
  <c r="AL9" i="45"/>
  <c r="V21" i="35"/>
  <c r="Y36" i="24"/>
  <c r="C39" i="52"/>
  <c r="V124" i="39"/>
  <c r="Y103" i="55" s="1"/>
  <c r="V113" i="39"/>
  <c r="V114" i="39" s="1"/>
  <c r="V14" i="24"/>
  <c r="V43" i="24"/>
  <c r="Y37" i="24"/>
  <c r="V37" i="24"/>
  <c r="V15" i="24"/>
  <c r="Y14" i="24"/>
  <c r="V16" i="24"/>
  <c r="V28" i="24"/>
  <c r="W15" i="24"/>
  <c r="V32" i="24"/>
  <c r="V29" i="24"/>
  <c r="W10" i="24"/>
  <c r="V30" i="24"/>
  <c r="W22" i="24"/>
  <c r="V18" i="24"/>
  <c r="W17" i="24"/>
  <c r="Y32" i="24"/>
  <c r="W25" i="24"/>
  <c r="M44" i="55"/>
  <c r="M47" i="33"/>
  <c r="N47" i="33" s="1"/>
  <c r="O44" i="55" s="1"/>
  <c r="K65" i="33"/>
  <c r="L65" i="33" s="1"/>
  <c r="M42" i="55"/>
  <c r="M45" i="33"/>
  <c r="O38" i="33"/>
  <c r="P36" i="55" s="1"/>
  <c r="Y125" i="68"/>
  <c r="Z125" i="68" s="1"/>
  <c r="M50" i="55"/>
  <c r="T121" i="68"/>
  <c r="U121" i="68" s="1"/>
  <c r="AA128" i="68"/>
  <c r="AB128" i="68" s="1"/>
  <c r="M51" i="55"/>
  <c r="M61" i="33"/>
  <c r="N51" i="55" s="1"/>
  <c r="P34" i="33"/>
  <c r="Q32" i="55" s="1"/>
  <c r="K55" i="55"/>
  <c r="M60" i="33"/>
  <c r="N50" i="55" s="1"/>
  <c r="J14" i="55"/>
  <c r="J33" i="33"/>
  <c r="K31" i="55"/>
  <c r="K66" i="55"/>
  <c r="K195" i="55" s="1"/>
  <c r="K19" i="55"/>
  <c r="L50" i="55"/>
  <c r="K22" i="55"/>
  <c r="K25" i="33"/>
  <c r="AE130" i="68"/>
  <c r="AF130" i="68" s="1"/>
  <c r="AG130" i="68" s="1"/>
  <c r="M171" i="55"/>
  <c r="N172" i="55"/>
  <c r="AB129" i="68"/>
  <c r="AC129" i="68" s="1"/>
  <c r="I78" i="68"/>
  <c r="J78" i="68" s="1"/>
  <c r="E129" i="55"/>
  <c r="K70" i="55"/>
  <c r="K14" i="36"/>
  <c r="N46" i="55"/>
  <c r="N50" i="33"/>
  <c r="O50" i="33" s="1"/>
  <c r="P50" i="33" s="1"/>
  <c r="O7" i="55"/>
  <c r="G70" i="55"/>
  <c r="G14" i="36"/>
  <c r="J81" i="68"/>
  <c r="K81" i="68" s="1"/>
  <c r="Q38" i="55"/>
  <c r="Q40" i="33"/>
  <c r="R40" i="33" s="1"/>
  <c r="H43" i="68"/>
  <c r="G71" i="68"/>
  <c r="G162" i="68" s="1"/>
  <c r="Y122" i="68"/>
  <c r="Z122" i="68" s="1"/>
  <c r="AA122" i="68" s="1"/>
  <c r="AB122" i="68" s="1"/>
  <c r="AC122" i="68" s="1"/>
  <c r="AD122" i="68" s="1"/>
  <c r="AE122" i="68" s="1"/>
  <c r="AF122" i="68" s="1"/>
  <c r="AG122" i="68" s="1"/>
  <c r="AH122" i="68" s="1"/>
  <c r="H75" i="55"/>
  <c r="D7" i="52"/>
  <c r="M5" i="55"/>
  <c r="P44" i="24"/>
  <c r="W29" i="24"/>
  <c r="P21" i="39"/>
  <c r="P22" i="39" s="1"/>
  <c r="K120" i="39"/>
  <c r="N99" i="55" s="1"/>
  <c r="K29" i="39"/>
  <c r="K30" i="39" s="1"/>
  <c r="N77" i="55" s="1"/>
  <c r="AI120" i="39"/>
  <c r="AL99" i="55" s="1"/>
  <c r="AI29" i="39"/>
  <c r="AI30" i="39" s="1"/>
  <c r="AL77" i="55" s="1"/>
  <c r="U38" i="24"/>
  <c r="Y38" i="24" s="1"/>
  <c r="Y22" i="24"/>
  <c r="N128" i="55"/>
  <c r="J41" i="55"/>
  <c r="J34" i="55" s="1"/>
  <c r="J43" i="33"/>
  <c r="I36" i="33"/>
  <c r="Y24" i="24"/>
  <c r="K39" i="55"/>
  <c r="M108" i="55"/>
  <c r="E108" i="55" s="1"/>
  <c r="B18" i="40"/>
  <c r="AA50" i="45"/>
  <c r="K62" i="35"/>
  <c r="K59" i="35" s="1"/>
  <c r="K11" i="35" s="1"/>
  <c r="T120" i="68"/>
  <c r="W34" i="24"/>
  <c r="Y34" i="24"/>
  <c r="AE120" i="39"/>
  <c r="AH99" i="55" s="1"/>
  <c r="AE29" i="39"/>
  <c r="AE30" i="39" s="1"/>
  <c r="AH77" i="55" s="1"/>
  <c r="Z62" i="35"/>
  <c r="Z59" i="35" s="1"/>
  <c r="Z11" i="35" s="1"/>
  <c r="AP50" i="45"/>
  <c r="R115" i="68"/>
  <c r="P75" i="55"/>
  <c r="F8" i="55"/>
  <c r="F12" i="33"/>
  <c r="Y75" i="55"/>
  <c r="N5" i="55"/>
  <c r="AN75" i="55"/>
  <c r="S50" i="45"/>
  <c r="S5" i="45" s="1"/>
  <c r="F14" i="36" s="1"/>
  <c r="C62" i="35"/>
  <c r="C59" i="35" s="1"/>
  <c r="C11" i="35" s="1"/>
  <c r="C16" i="35" s="1"/>
  <c r="AM75" i="55"/>
  <c r="M39" i="55"/>
  <c r="AG21" i="39"/>
  <c r="AG22" i="39" s="1"/>
  <c r="M41" i="33"/>
  <c r="N41" i="33" s="1"/>
  <c r="H6" i="33"/>
  <c r="AD21" i="39"/>
  <c r="AD22" i="39" s="1"/>
  <c r="U119" i="68"/>
  <c r="V119" i="68" s="1"/>
  <c r="W119" i="68" s="1"/>
  <c r="X119" i="68" s="1"/>
  <c r="Y119" i="68" s="1"/>
  <c r="R116" i="68"/>
  <c r="S116" i="68" s="1"/>
  <c r="T116" i="68" s="1"/>
  <c r="P111" i="55"/>
  <c r="Y23" i="24"/>
  <c r="X111" i="55"/>
  <c r="W41" i="24"/>
  <c r="Y126" i="68"/>
  <c r="Z126" i="68" s="1"/>
  <c r="AA126" i="68" s="1"/>
  <c r="AB126" i="68" s="1"/>
  <c r="AC126" i="68" s="1"/>
  <c r="AD111" i="55"/>
  <c r="M96" i="55"/>
  <c r="AD44" i="33"/>
  <c r="AE23" i="55" s="1"/>
  <c r="M46" i="55"/>
  <c r="AJ20" i="52"/>
  <c r="AI20" i="41"/>
  <c r="AL130" i="55" s="1"/>
  <c r="J41" i="68"/>
  <c r="K41" i="68" s="1"/>
  <c r="L41" i="68" s="1"/>
  <c r="AE21" i="39"/>
  <c r="AE22" i="39" s="1"/>
  <c r="J22" i="33"/>
  <c r="U31" i="24"/>
  <c r="Y31" i="24" s="1"/>
  <c r="B93" i="40"/>
  <c r="C94" i="40"/>
  <c r="N96" i="55"/>
  <c r="T75" i="55"/>
  <c r="AH96" i="55"/>
  <c r="C120" i="39"/>
  <c r="C29" i="39"/>
  <c r="Y127" i="68"/>
  <c r="Z127" i="68" s="1"/>
  <c r="AA127" i="68" s="1"/>
  <c r="AB127" i="68" s="1"/>
  <c r="AC127" i="68" s="1"/>
  <c r="AD127" i="68" s="1"/>
  <c r="AH120" i="39"/>
  <c r="AK99" i="55" s="1"/>
  <c r="AH29" i="39"/>
  <c r="AH30" i="39" s="1"/>
  <c r="AK77" i="55" s="1"/>
  <c r="AI7" i="52"/>
  <c r="H4" i="55"/>
  <c r="W43" i="24"/>
  <c r="R117" i="68"/>
  <c r="S117" i="68" s="1"/>
  <c r="T117" i="68" s="1"/>
  <c r="U117" i="68" s="1"/>
  <c r="C10" i="39"/>
  <c r="S111" i="55"/>
  <c r="AI28" i="40"/>
  <c r="AI29" i="40" s="1"/>
  <c r="AI30" i="40" s="1"/>
  <c r="M19" i="50"/>
  <c r="N21" i="50"/>
  <c r="AH128" i="55"/>
  <c r="L21" i="55"/>
  <c r="AY50" i="45"/>
  <c r="AI62" i="35"/>
  <c r="AI59" i="35" s="1"/>
  <c r="AI11" i="35" s="1"/>
  <c r="E6" i="52"/>
  <c r="G13" i="36" s="1"/>
  <c r="V24" i="24"/>
  <c r="AE75" i="55"/>
  <c r="U21" i="24"/>
  <c r="Y21" i="24" s="1"/>
  <c r="I34" i="55"/>
  <c r="V23" i="24"/>
  <c r="H183" i="68"/>
  <c r="I179" i="68" s="1"/>
  <c r="I183" i="68" s="1"/>
  <c r="J179" i="68" s="1"/>
  <c r="K80" i="68"/>
  <c r="G6" i="41"/>
  <c r="J11" i="36" s="1"/>
  <c r="J21" i="39"/>
  <c r="J22" i="39" s="1"/>
  <c r="U12" i="24"/>
  <c r="AI20" i="52"/>
  <c r="AH20" i="41"/>
  <c r="AK130" i="55" s="1"/>
  <c r="N7" i="55"/>
  <c r="J111" i="55"/>
  <c r="J105" i="55" s="1"/>
  <c r="O11" i="33"/>
  <c r="G111" i="55"/>
  <c r="C37" i="40"/>
  <c r="W111" i="55"/>
  <c r="E29" i="33"/>
  <c r="J76" i="33" s="1"/>
  <c r="D20" i="52"/>
  <c r="C20" i="41"/>
  <c r="C6" i="41" s="1"/>
  <c r="M106" i="55"/>
  <c r="B10" i="40"/>
  <c r="AH20" i="39"/>
  <c r="M35" i="55"/>
  <c r="M29" i="55"/>
  <c r="I111" i="55"/>
  <c r="U11" i="24"/>
  <c r="U26" i="24"/>
  <c r="Y26" i="24" s="1"/>
  <c r="L20" i="52"/>
  <c r="K20" i="41"/>
  <c r="N130" i="55" s="1"/>
  <c r="AI20" i="39"/>
  <c r="AL96" i="55"/>
  <c r="P118" i="68"/>
  <c r="Z50" i="45"/>
  <c r="J62" i="35"/>
  <c r="J59" i="35" s="1"/>
  <c r="J11" i="35" s="1"/>
  <c r="AH62" i="35"/>
  <c r="AH59" i="35" s="1"/>
  <c r="AH11" i="35" s="1"/>
  <c r="AX50" i="45"/>
  <c r="K151" i="55"/>
  <c r="B16" i="30"/>
  <c r="T111" i="55"/>
  <c r="G75" i="55"/>
  <c r="W75" i="55"/>
  <c r="AD75" i="55"/>
  <c r="M165" i="55"/>
  <c r="L164" i="55"/>
  <c r="AH28" i="40"/>
  <c r="AH29" i="40" s="1"/>
  <c r="AH30" i="40" s="1"/>
  <c r="J79" i="68"/>
  <c r="R62" i="35"/>
  <c r="AH50" i="45"/>
  <c r="N35" i="55"/>
  <c r="AK96" i="55"/>
  <c r="G21" i="39"/>
  <c r="G22" i="39" s="1"/>
  <c r="G6" i="39" s="1"/>
  <c r="G119" i="39"/>
  <c r="F96" i="55"/>
  <c r="U27" i="24"/>
  <c r="Y27" i="24" s="1"/>
  <c r="AJ7" i="52"/>
  <c r="H18" i="55"/>
  <c r="V124" i="68"/>
  <c r="AE62" i="35"/>
  <c r="AE59" i="35" s="1"/>
  <c r="AE11" i="35" s="1"/>
  <c r="AU50" i="45"/>
  <c r="P130" i="55"/>
  <c r="M153" i="55"/>
  <c r="L152" i="55"/>
  <c r="V20" i="24"/>
  <c r="O44" i="24"/>
  <c r="O37" i="33"/>
  <c r="P37" i="33" s="1"/>
  <c r="N8" i="33"/>
  <c r="O8" i="33" s="1"/>
  <c r="V35" i="24"/>
  <c r="P38" i="55"/>
  <c r="K11" i="55"/>
  <c r="K7" i="33"/>
  <c r="L7" i="33" s="1"/>
  <c r="M7" i="33" s="1"/>
  <c r="AF44" i="33"/>
  <c r="AG23" i="55" s="1"/>
  <c r="J113" i="68"/>
  <c r="F97" i="55"/>
  <c r="AL128" i="55"/>
  <c r="M7" i="55"/>
  <c r="Z111" i="55"/>
  <c r="H70" i="55"/>
  <c r="H14" i="36"/>
  <c r="C114" i="39"/>
  <c r="H107" i="68"/>
  <c r="H172" i="68" s="1"/>
  <c r="I77" i="68"/>
  <c r="Z75" i="55"/>
  <c r="X75" i="55"/>
  <c r="AF75" i="55"/>
  <c r="G35" i="58"/>
  <c r="G36" i="58" s="1"/>
  <c r="G21" i="37" s="1"/>
  <c r="O35" i="55"/>
  <c r="J120" i="39"/>
  <c r="M99" i="55" s="1"/>
  <c r="J29" i="39"/>
  <c r="J30" i="39" s="1"/>
  <c r="M77" i="55" s="1"/>
  <c r="F9" i="55"/>
  <c r="F13" i="33"/>
  <c r="G13" i="33" s="1"/>
  <c r="AE44" i="33"/>
  <c r="AF23" i="55" s="1"/>
  <c r="U19" i="24"/>
  <c r="Y19" i="24" s="1"/>
  <c r="J70" i="55"/>
  <c r="J14" i="36"/>
  <c r="K20" i="52"/>
  <c r="J20" i="41"/>
  <c r="M130" i="55" s="1"/>
  <c r="F128" i="55"/>
  <c r="L114" i="68"/>
  <c r="W35" i="24"/>
  <c r="AD130" i="55"/>
  <c r="L7" i="52"/>
  <c r="AF20" i="52"/>
  <c r="AE20" i="41"/>
  <c r="AH130" i="55" s="1"/>
  <c r="AJ111" i="55"/>
  <c r="L39" i="55"/>
  <c r="J42" i="68"/>
  <c r="H21" i="39"/>
  <c r="H22" i="39" s="1"/>
  <c r="AA75" i="55"/>
  <c r="F163" i="68"/>
  <c r="G159" i="68" s="1"/>
  <c r="F103" i="55"/>
  <c r="U96" i="55"/>
  <c r="Y11" i="30"/>
  <c r="M31" i="33"/>
  <c r="H41" i="28"/>
  <c r="H47" i="28"/>
  <c r="H45" i="28"/>
  <c r="H39" i="28"/>
  <c r="H40" i="28"/>
  <c r="E5" i="37"/>
  <c r="J180" i="55"/>
  <c r="K9" i="28"/>
  <c r="K20" i="28" s="1"/>
  <c r="I24" i="37"/>
  <c r="J16" i="28"/>
  <c r="J10" i="28"/>
  <c r="J11" i="28"/>
  <c r="J14" i="28"/>
  <c r="J17" i="28"/>
  <c r="J12" i="28"/>
  <c r="J13" i="28"/>
  <c r="J18" i="28"/>
  <c r="J15" i="28"/>
  <c r="L23" i="36"/>
  <c r="H50" i="28"/>
  <c r="H48" i="28"/>
  <c r="I37" i="28"/>
  <c r="H44" i="28"/>
  <c r="H46" i="28"/>
  <c r="H43" i="28"/>
  <c r="G51" i="28"/>
  <c r="G54" i="28" s="1"/>
  <c r="F9" i="49" s="1"/>
  <c r="I39" i="66"/>
  <c r="I41" i="66"/>
  <c r="I40" i="66"/>
  <c r="M14" i="47"/>
  <c r="I4" i="37"/>
  <c r="L13" i="47"/>
  <c r="J38" i="66" s="1"/>
  <c r="I10" i="62"/>
  <c r="H9" i="26"/>
  <c r="D116" i="39" l="1"/>
  <c r="Y12" i="24"/>
  <c r="Y11" i="24"/>
  <c r="C45" i="68"/>
  <c r="I160" i="68"/>
  <c r="C13" i="52"/>
  <c r="R29" i="39"/>
  <c r="R30" i="39" s="1"/>
  <c r="U77" i="55" s="1"/>
  <c r="H119" i="39"/>
  <c r="K12" i="55"/>
  <c r="H6" i="39"/>
  <c r="G6" i="52"/>
  <c r="I13" i="36" s="1"/>
  <c r="J18" i="33"/>
  <c r="K17" i="55" s="1"/>
  <c r="H127" i="55"/>
  <c r="I32" i="40"/>
  <c r="I33" i="40" s="1"/>
  <c r="I24" i="39"/>
  <c r="I119" i="39" s="1"/>
  <c r="L98" i="55" s="1"/>
  <c r="K33" i="33"/>
  <c r="L31" i="55"/>
  <c r="L9" i="33"/>
  <c r="M9" i="33" s="1"/>
  <c r="N12" i="55" s="1"/>
  <c r="L22" i="36"/>
  <c r="H35" i="58"/>
  <c r="H36" i="58" s="1"/>
  <c r="H21" i="37" s="1"/>
  <c r="J12" i="55"/>
  <c r="F6" i="41"/>
  <c r="I11" i="36" s="1"/>
  <c r="E6" i="41"/>
  <c r="H11" i="36" s="1"/>
  <c r="E119" i="39"/>
  <c r="H98" i="55" s="1"/>
  <c r="B13" i="41"/>
  <c r="F119" i="39"/>
  <c r="I98" i="55" s="1"/>
  <c r="S7" i="52"/>
  <c r="F67" i="33"/>
  <c r="I127" i="55"/>
  <c r="O27" i="33"/>
  <c r="P25" i="55" s="1"/>
  <c r="G68" i="33"/>
  <c r="H68" i="33" s="1"/>
  <c r="H67" i="33" s="1"/>
  <c r="H6" i="41"/>
  <c r="K11" i="36" s="1"/>
  <c r="N42" i="33"/>
  <c r="O42" i="33" s="1"/>
  <c r="P40" i="55" s="1"/>
  <c r="L46" i="33"/>
  <c r="D46" i="33" s="1"/>
  <c r="N26" i="33"/>
  <c r="N24" i="55"/>
  <c r="I14" i="36"/>
  <c r="C116" i="39"/>
  <c r="B12" i="41"/>
  <c r="R59" i="35"/>
  <c r="R11" i="35" s="1"/>
  <c r="B11" i="35" s="1"/>
  <c r="B28" i="39"/>
  <c r="I16" i="35"/>
  <c r="L8" i="36" s="1"/>
  <c r="L70" i="55"/>
  <c r="L14" i="36"/>
  <c r="I27" i="32"/>
  <c r="J129" i="39" s="1"/>
  <c r="J126" i="39" s="1"/>
  <c r="J41" i="30"/>
  <c r="I7" i="30"/>
  <c r="I16" i="30" s="1"/>
  <c r="J41" i="35"/>
  <c r="J40" i="35" s="1"/>
  <c r="J7" i="35" s="1"/>
  <c r="J16" i="35" s="1"/>
  <c r="Z29" i="45"/>
  <c r="Z5" i="45" s="1"/>
  <c r="M70" i="55" s="1"/>
  <c r="J21" i="52"/>
  <c r="J19" i="52" s="1"/>
  <c r="J6" i="52" s="1"/>
  <c r="L13" i="36" s="1"/>
  <c r="K30" i="33"/>
  <c r="L28" i="55" s="1"/>
  <c r="I22" i="41"/>
  <c r="L131" i="55" s="1"/>
  <c r="L127" i="55" s="1"/>
  <c r="C21" i="39"/>
  <c r="C22" i="39" s="1"/>
  <c r="D6" i="39"/>
  <c r="D133" i="39" s="1"/>
  <c r="G9" i="36" s="1"/>
  <c r="G15" i="33"/>
  <c r="H13" i="55"/>
  <c r="H19" i="33"/>
  <c r="I19" i="33" s="1"/>
  <c r="I20" i="33"/>
  <c r="I16" i="55"/>
  <c r="M57" i="33"/>
  <c r="N57" i="33" s="1"/>
  <c r="M47" i="55"/>
  <c r="N51" i="33"/>
  <c r="O47" i="55" s="1"/>
  <c r="E139" i="55"/>
  <c r="K48" i="33"/>
  <c r="N55" i="33"/>
  <c r="L56" i="33"/>
  <c r="L48" i="33" s="1"/>
  <c r="M37" i="55"/>
  <c r="U54" i="33"/>
  <c r="I18" i="55"/>
  <c r="B9" i="39"/>
  <c r="I39" i="28"/>
  <c r="I49" i="28"/>
  <c r="L14" i="55"/>
  <c r="K14" i="55"/>
  <c r="M21" i="33"/>
  <c r="F5" i="33"/>
  <c r="R28" i="40"/>
  <c r="R29" i="40" s="1"/>
  <c r="R30" i="40" s="1"/>
  <c r="R20" i="41"/>
  <c r="S20" i="52"/>
  <c r="I6" i="33"/>
  <c r="N111" i="55"/>
  <c r="AH111" i="55"/>
  <c r="G71" i="55"/>
  <c r="G105" i="55"/>
  <c r="I105" i="55"/>
  <c r="O95" i="55"/>
  <c r="H95" i="55"/>
  <c r="E6" i="39"/>
  <c r="I95" i="55"/>
  <c r="F6" i="39"/>
  <c r="T95" i="55"/>
  <c r="Y95" i="55"/>
  <c r="U95" i="55"/>
  <c r="M14" i="33"/>
  <c r="N10" i="55" s="1"/>
  <c r="M35" i="33"/>
  <c r="K170" i="68"/>
  <c r="M31" i="55"/>
  <c r="C83" i="68"/>
  <c r="D83" i="68" s="1"/>
  <c r="K83" i="68" s="1"/>
  <c r="L83" i="68" s="1"/>
  <c r="M83" i="68" s="1"/>
  <c r="N45" i="55"/>
  <c r="O49" i="33"/>
  <c r="P49" i="33" s="1"/>
  <c r="Q45" i="55" s="1"/>
  <c r="AC128" i="55"/>
  <c r="E128" i="55" s="1"/>
  <c r="Z28" i="40"/>
  <c r="Z29" i="40" s="1"/>
  <c r="Z30" i="40" s="1"/>
  <c r="Z20" i="41"/>
  <c r="AC130" i="55" s="1"/>
  <c r="AA20" i="52"/>
  <c r="C12" i="52"/>
  <c r="B117" i="39"/>
  <c r="M59" i="33"/>
  <c r="AA7" i="52"/>
  <c r="B118" i="39"/>
  <c r="E97" i="55"/>
  <c r="M62" i="33"/>
  <c r="N52" i="55" s="1"/>
  <c r="K66" i="33"/>
  <c r="K58" i="33" s="1"/>
  <c r="K56" i="55"/>
  <c r="K48" i="55" s="1"/>
  <c r="H173" i="68"/>
  <c r="I169" i="68" s="1"/>
  <c r="Z120" i="39"/>
  <c r="AC99" i="55" s="1"/>
  <c r="Z29" i="39"/>
  <c r="Z30" i="39" s="1"/>
  <c r="AC77" i="55" s="1"/>
  <c r="B36" i="40"/>
  <c r="M64" i="33"/>
  <c r="N54" i="55" s="1"/>
  <c r="N44" i="55"/>
  <c r="W38" i="24"/>
  <c r="AA125" i="68"/>
  <c r="AB125" i="68" s="1"/>
  <c r="AC125" i="68" s="1"/>
  <c r="AD125" i="68" s="1"/>
  <c r="AE125" i="68" s="1"/>
  <c r="AF125" i="68" s="1"/>
  <c r="AG125" i="68" s="1"/>
  <c r="AH125" i="68" s="1"/>
  <c r="W12" i="24"/>
  <c r="H71" i="68"/>
  <c r="H162" i="68" s="1"/>
  <c r="O47" i="33"/>
  <c r="P47" i="33" s="1"/>
  <c r="Q44" i="55" s="1"/>
  <c r="L63" i="33"/>
  <c r="L53" i="55"/>
  <c r="B124" i="39"/>
  <c r="T30" i="30"/>
  <c r="T30" i="35"/>
  <c r="AJ18" i="45"/>
  <c r="Q34" i="33"/>
  <c r="R34" i="33" s="1"/>
  <c r="S32" i="55" s="1"/>
  <c r="W21" i="30"/>
  <c r="AM9" i="45"/>
  <c r="W21" i="35"/>
  <c r="P29" i="30"/>
  <c r="P29" i="35"/>
  <c r="AF17" i="45"/>
  <c r="AG28" i="30"/>
  <c r="AW16" i="45"/>
  <c r="AG28" i="35"/>
  <c r="V19" i="24"/>
  <c r="J26" i="41"/>
  <c r="M133" i="55" s="1"/>
  <c r="K23" i="52"/>
  <c r="L32" i="33"/>
  <c r="L59" i="55"/>
  <c r="R31" i="30"/>
  <c r="R31" i="35"/>
  <c r="AH19" i="45"/>
  <c r="J31" i="32"/>
  <c r="J6" i="30"/>
  <c r="K19" i="30"/>
  <c r="AA7" i="45"/>
  <c r="K19" i="35"/>
  <c r="K18" i="35" s="1"/>
  <c r="K6" i="35" s="1"/>
  <c r="R50" i="45"/>
  <c r="J24" i="39"/>
  <c r="AF23" i="30"/>
  <c r="AF23" i="35"/>
  <c r="AV11" i="45"/>
  <c r="Q32" i="30"/>
  <c r="AG20" i="45"/>
  <c r="Q32" i="35"/>
  <c r="R35" i="30"/>
  <c r="R35" i="35"/>
  <c r="AH23" i="45"/>
  <c r="L69" i="33"/>
  <c r="M59" i="55" s="1"/>
  <c r="W27" i="24"/>
  <c r="E103" i="55"/>
  <c r="B20" i="39"/>
  <c r="N6" i="55"/>
  <c r="M6" i="55"/>
  <c r="N7" i="50"/>
  <c r="O9" i="50"/>
  <c r="K112" i="55"/>
  <c r="K10" i="36"/>
  <c r="B113" i="39"/>
  <c r="W11" i="24"/>
  <c r="M65" i="33"/>
  <c r="N65" i="33" s="1"/>
  <c r="J32" i="40"/>
  <c r="J33" i="40" s="1"/>
  <c r="J34" i="40" s="1"/>
  <c r="J6" i="40" s="1"/>
  <c r="L27" i="50"/>
  <c r="K26" i="50"/>
  <c r="K38" i="50" s="1"/>
  <c r="K20" i="36" s="1"/>
  <c r="O24" i="30"/>
  <c r="AE12" i="45"/>
  <c r="O24" i="35"/>
  <c r="H13" i="33"/>
  <c r="I25" i="39"/>
  <c r="K59" i="55"/>
  <c r="P38" i="33"/>
  <c r="Q36" i="55" s="1"/>
  <c r="L27" i="30"/>
  <c r="AB15" i="45"/>
  <c r="L27" i="35"/>
  <c r="L33" i="33"/>
  <c r="L44" i="30"/>
  <c r="AB32" i="45"/>
  <c r="L44" i="35"/>
  <c r="L43" i="35" s="1"/>
  <c r="L8" i="35" s="1"/>
  <c r="K8" i="30"/>
  <c r="W26" i="24"/>
  <c r="V38" i="24"/>
  <c r="V31" i="24"/>
  <c r="V26" i="24"/>
  <c r="G163" i="68"/>
  <c r="H159" i="68" s="1"/>
  <c r="AH130" i="68"/>
  <c r="L25" i="33"/>
  <c r="M22" i="55" s="1"/>
  <c r="N45" i="33"/>
  <c r="N42" i="55"/>
  <c r="L24" i="33"/>
  <c r="M21" i="55" s="1"/>
  <c r="L55" i="55"/>
  <c r="N61" i="33"/>
  <c r="O61" i="33" s="1"/>
  <c r="P51" i="55" s="1"/>
  <c r="V121" i="68"/>
  <c r="W121" i="68" s="1"/>
  <c r="X121" i="68" s="1"/>
  <c r="Y121" i="68" s="1"/>
  <c r="Z121" i="68" s="1"/>
  <c r="AA121" i="68" s="1"/>
  <c r="N37" i="55"/>
  <c r="L66" i="55"/>
  <c r="L195" i="55" s="1"/>
  <c r="L19" i="55"/>
  <c r="M55" i="55"/>
  <c r="N39" i="33"/>
  <c r="G12" i="33"/>
  <c r="G5" i="33" s="1"/>
  <c r="N60" i="33"/>
  <c r="AC128" i="68"/>
  <c r="AD128" i="68" s="1"/>
  <c r="AE128" i="68" s="1"/>
  <c r="AF128" i="68" s="1"/>
  <c r="L22" i="55"/>
  <c r="L16" i="33"/>
  <c r="AD129" i="68"/>
  <c r="K78" i="68"/>
  <c r="L78" i="68" s="1"/>
  <c r="L151" i="55"/>
  <c r="L81" i="68"/>
  <c r="M81" i="68" s="1"/>
  <c r="N81" i="68" s="1"/>
  <c r="O81" i="68" s="1"/>
  <c r="O172" i="55"/>
  <c r="N171" i="55"/>
  <c r="I43" i="68"/>
  <c r="J43" i="68" s="1"/>
  <c r="N11" i="55"/>
  <c r="N7" i="33"/>
  <c r="Z119" i="68"/>
  <c r="AA119" i="68" s="1"/>
  <c r="AB119" i="68" s="1"/>
  <c r="AC119" i="68" s="1"/>
  <c r="AD119" i="68" s="1"/>
  <c r="AE119" i="68" s="1"/>
  <c r="AF119" i="68" s="1"/>
  <c r="AG119" i="68" s="1"/>
  <c r="AH119" i="68" s="1"/>
  <c r="O39" i="55"/>
  <c r="F8" i="36"/>
  <c r="F99" i="55"/>
  <c r="AH75" i="55"/>
  <c r="F95" i="55"/>
  <c r="B114" i="39"/>
  <c r="J18" i="55"/>
  <c r="J17" i="33"/>
  <c r="K17" i="33" s="1"/>
  <c r="N75" i="55"/>
  <c r="L75" i="55"/>
  <c r="F98" i="55"/>
  <c r="E106" i="55"/>
  <c r="AB75" i="55"/>
  <c r="AI44" i="33"/>
  <c r="AJ23" i="55" s="1"/>
  <c r="M41" i="68"/>
  <c r="N41" i="68" s="1"/>
  <c r="K79" i="68"/>
  <c r="J36" i="33"/>
  <c r="K43" i="33"/>
  <c r="L82" i="68"/>
  <c r="N165" i="55"/>
  <c r="M164" i="55"/>
  <c r="F27" i="55"/>
  <c r="F65" i="55" s="1"/>
  <c r="F194" i="55" s="1"/>
  <c r="E28" i="33"/>
  <c r="E4" i="33" s="1"/>
  <c r="F29" i="33"/>
  <c r="F150" i="68" s="1"/>
  <c r="L151" i="68" s="1"/>
  <c r="I107" i="68"/>
  <c r="I172" i="68" s="1"/>
  <c r="J77" i="68"/>
  <c r="M11" i="55"/>
  <c r="S38" i="55"/>
  <c r="D45" i="68"/>
  <c r="I45" i="68" s="1"/>
  <c r="K22" i="33"/>
  <c r="P46" i="55"/>
  <c r="C46" i="68"/>
  <c r="AJ75" i="55"/>
  <c r="F3" i="55"/>
  <c r="S75" i="55"/>
  <c r="K44" i="68"/>
  <c r="L44" i="68" s="1"/>
  <c r="M44" i="68" s="1"/>
  <c r="L80" i="68"/>
  <c r="F11" i="36"/>
  <c r="L11" i="55"/>
  <c r="V27" i="24"/>
  <c r="M75" i="55"/>
  <c r="W21" i="24"/>
  <c r="F72" i="55"/>
  <c r="B10" i="39"/>
  <c r="K113" i="68"/>
  <c r="Q50" i="33"/>
  <c r="U116" i="68"/>
  <c r="V116" i="68" s="1"/>
  <c r="W116" i="68" s="1"/>
  <c r="X116" i="68" s="1"/>
  <c r="E150" i="68"/>
  <c r="N39" i="55"/>
  <c r="H9" i="55"/>
  <c r="O5" i="55"/>
  <c r="W124" i="68"/>
  <c r="Q46" i="55"/>
  <c r="P7" i="55"/>
  <c r="V21" i="24"/>
  <c r="F116" i="39"/>
  <c r="V117" i="68"/>
  <c r="W117" i="68" s="1"/>
  <c r="X117" i="68" s="1"/>
  <c r="Y117" i="68" s="1"/>
  <c r="Z117" i="68" s="1"/>
  <c r="AA117" i="68" s="1"/>
  <c r="AB117" i="68" s="1"/>
  <c r="AC117" i="68" s="1"/>
  <c r="AD117" i="68" s="1"/>
  <c r="AE117" i="68" s="1"/>
  <c r="AF117" i="68" s="1"/>
  <c r="AG117" i="68" s="1"/>
  <c r="AH117" i="68" s="1"/>
  <c r="AE127" i="68"/>
  <c r="AF127" i="68" s="1"/>
  <c r="AG127" i="68" s="1"/>
  <c r="AH127" i="68" s="1"/>
  <c r="U120" i="68"/>
  <c r="V120" i="68" s="1"/>
  <c r="W120" i="68" s="1"/>
  <c r="X120" i="68" s="1"/>
  <c r="R38" i="55"/>
  <c r="O46" i="55"/>
  <c r="Q118" i="68"/>
  <c r="R118" i="68" s="1"/>
  <c r="S118" i="68" s="1"/>
  <c r="T118" i="68" s="1"/>
  <c r="U118" i="68" s="1"/>
  <c r="V118" i="68" s="1"/>
  <c r="W118" i="68" s="1"/>
  <c r="X118" i="68" s="1"/>
  <c r="Y118" i="68" s="1"/>
  <c r="Z118" i="68" s="1"/>
  <c r="AA118" i="68" s="1"/>
  <c r="C5" i="68"/>
  <c r="N29" i="55"/>
  <c r="K98" i="55"/>
  <c r="H116" i="39"/>
  <c r="O41" i="33"/>
  <c r="E96" i="55"/>
  <c r="AK111" i="55"/>
  <c r="AI75" i="55"/>
  <c r="I75" i="55"/>
  <c r="C30" i="39"/>
  <c r="G8" i="55"/>
  <c r="P5" i="55"/>
  <c r="K41" i="55"/>
  <c r="K34" i="55" s="1"/>
  <c r="Q35" i="55"/>
  <c r="M114" i="68"/>
  <c r="K75" i="55"/>
  <c r="J143" i="68"/>
  <c r="J182" i="68" s="1"/>
  <c r="J183" i="68" s="1"/>
  <c r="K179" i="68" s="1"/>
  <c r="C30" i="40"/>
  <c r="P35" i="55"/>
  <c r="N153" i="55"/>
  <c r="M152" i="55"/>
  <c r="J98" i="55"/>
  <c r="G116" i="39"/>
  <c r="AH21" i="39"/>
  <c r="AH22" i="39" s="1"/>
  <c r="F130" i="55"/>
  <c r="AL111" i="55"/>
  <c r="AD126" i="68"/>
  <c r="AE126" i="68" s="1"/>
  <c r="K42" i="68"/>
  <c r="AG75" i="55"/>
  <c r="D5" i="62"/>
  <c r="D20" i="66"/>
  <c r="P11" i="33"/>
  <c r="R75" i="55"/>
  <c r="S115" i="68"/>
  <c r="Q37" i="33"/>
  <c r="U75" i="55"/>
  <c r="C38" i="40"/>
  <c r="B37" i="40"/>
  <c r="F126" i="55"/>
  <c r="E126" i="55" s="1"/>
  <c r="B94" i="40"/>
  <c r="G9" i="55"/>
  <c r="AJ44" i="33"/>
  <c r="AK23" i="55" s="1"/>
  <c r="P8" i="33"/>
  <c r="W19" i="24"/>
  <c r="AK44" i="33"/>
  <c r="AL23" i="55" s="1"/>
  <c r="S40" i="33"/>
  <c r="J75" i="55"/>
  <c r="N31" i="33"/>
  <c r="AI21" i="39"/>
  <c r="AI22" i="39" s="1"/>
  <c r="D19" i="52"/>
  <c r="D6" i="52" s="1"/>
  <c r="N19" i="50"/>
  <c r="O21" i="50"/>
  <c r="W31" i="24"/>
  <c r="I4" i="55"/>
  <c r="F26" i="36" a="1"/>
  <c r="U9" i="24"/>
  <c r="S44" i="24"/>
  <c r="AC75" i="55"/>
  <c r="H51" i="28"/>
  <c r="H54" i="28" s="1"/>
  <c r="G9" i="49" s="1"/>
  <c r="I41" i="28"/>
  <c r="F5" i="37"/>
  <c r="J37" i="28"/>
  <c r="I50" i="28"/>
  <c r="I48" i="28"/>
  <c r="I40" i="28"/>
  <c r="K180" i="55"/>
  <c r="I46" i="28"/>
  <c r="I47" i="28"/>
  <c r="I43" i="28"/>
  <c r="I45" i="28"/>
  <c r="E10" i="26"/>
  <c r="I44" i="28"/>
  <c r="I42" i="28"/>
  <c r="L9" i="28"/>
  <c r="L20" i="28" s="1"/>
  <c r="K10" i="28"/>
  <c r="J24" i="37"/>
  <c r="K15" i="28"/>
  <c r="K12" i="28"/>
  <c r="K18" i="28"/>
  <c r="K16" i="28"/>
  <c r="K13" i="28"/>
  <c r="K17" i="28"/>
  <c r="K11" i="28"/>
  <c r="K14" i="28"/>
  <c r="M23" i="36"/>
  <c r="J40" i="66"/>
  <c r="J41" i="66"/>
  <c r="J39" i="66"/>
  <c r="J10" i="62"/>
  <c r="I9" i="26"/>
  <c r="N14" i="47"/>
  <c r="M13" i="47"/>
  <c r="K38" i="66" s="1"/>
  <c r="J4" i="37"/>
  <c r="Y9" i="24" l="1"/>
  <c r="W9" i="24"/>
  <c r="J6" i="33"/>
  <c r="H71" i="55"/>
  <c r="K18" i="33"/>
  <c r="L17" i="55" s="1"/>
  <c r="J160" i="68"/>
  <c r="M12" i="55"/>
  <c r="E116" i="39"/>
  <c r="N9" i="33"/>
  <c r="O9" i="33" s="1"/>
  <c r="P9" i="33" s="1"/>
  <c r="Q12" i="55" s="1"/>
  <c r="M22" i="36"/>
  <c r="C7" i="52"/>
  <c r="Q49" i="33"/>
  <c r="R49" i="33" s="1"/>
  <c r="S45" i="55" s="1"/>
  <c r="M43" i="55"/>
  <c r="E43" i="55" s="1"/>
  <c r="P27" i="33"/>
  <c r="Q27" i="33" s="1"/>
  <c r="R25" i="55" s="1"/>
  <c r="M20" i="55"/>
  <c r="M19" i="55" s="1"/>
  <c r="C84" i="68"/>
  <c r="D84" i="68" s="1"/>
  <c r="L84" i="68" s="1"/>
  <c r="M84" i="68" s="1"/>
  <c r="G67" i="33"/>
  <c r="I68" i="33"/>
  <c r="J68" i="33" s="1"/>
  <c r="J67" i="33" s="1"/>
  <c r="P42" i="33"/>
  <c r="Q40" i="55" s="1"/>
  <c r="H58" i="55"/>
  <c r="H57" i="55" s="1"/>
  <c r="I58" i="55"/>
  <c r="I57" i="55" s="1"/>
  <c r="I6" i="41"/>
  <c r="L11" i="36" s="1"/>
  <c r="O40" i="55"/>
  <c r="N62" i="33"/>
  <c r="O52" i="55" s="1"/>
  <c r="O24" i="55"/>
  <c r="O26" i="33"/>
  <c r="J7" i="30"/>
  <c r="J16" i="30" s="1"/>
  <c r="J27" i="32"/>
  <c r="K129" i="39" s="1"/>
  <c r="K126" i="39" s="1"/>
  <c r="K41" i="30"/>
  <c r="K41" i="35"/>
  <c r="K40" i="35" s="1"/>
  <c r="K7" i="35" s="1"/>
  <c r="K16" i="35" s="1"/>
  <c r="N8" i="36" s="1"/>
  <c r="AA29" i="45"/>
  <c r="AA5" i="45" s="1"/>
  <c r="K21" i="52"/>
  <c r="K19" i="52" s="1"/>
  <c r="K6" i="52" s="1"/>
  <c r="M13" i="36" s="1"/>
  <c r="L30" i="33"/>
  <c r="M28" i="55" s="1"/>
  <c r="J22" i="41"/>
  <c r="M131" i="55" s="1"/>
  <c r="M127" i="55" s="1"/>
  <c r="O51" i="33"/>
  <c r="P47" i="55" s="1"/>
  <c r="I15" i="33"/>
  <c r="H15" i="33"/>
  <c r="I15" i="55"/>
  <c r="I13" i="55" s="1"/>
  <c r="J19" i="33"/>
  <c r="J15" i="55"/>
  <c r="J20" i="33"/>
  <c r="J16" i="55"/>
  <c r="L170" i="68"/>
  <c r="O57" i="33"/>
  <c r="P57" i="33" s="1"/>
  <c r="B20" i="41"/>
  <c r="M56" i="33"/>
  <c r="M48" i="33" s="1"/>
  <c r="U130" i="55"/>
  <c r="E130" i="55" s="1"/>
  <c r="V54" i="33"/>
  <c r="O55" i="33"/>
  <c r="I116" i="39"/>
  <c r="J4" i="55"/>
  <c r="E95" i="55"/>
  <c r="N14" i="33"/>
  <c r="O10" i="55" s="1"/>
  <c r="N21" i="33"/>
  <c r="O21" i="33" s="1"/>
  <c r="P21" i="33" s="1"/>
  <c r="J46" i="28"/>
  <c r="J49" i="28"/>
  <c r="C20" i="52"/>
  <c r="C6" i="40"/>
  <c r="C6" i="39"/>
  <c r="C133" i="39" s="1"/>
  <c r="B28" i="40"/>
  <c r="I13" i="33"/>
  <c r="J9" i="55" s="1"/>
  <c r="B29" i="40"/>
  <c r="AC111" i="55"/>
  <c r="B120" i="39"/>
  <c r="U111" i="55"/>
  <c r="E99" i="55"/>
  <c r="M8" i="36"/>
  <c r="K160" i="68"/>
  <c r="N83" i="68"/>
  <c r="O83" i="68" s="1"/>
  <c r="P45" i="55"/>
  <c r="N33" i="55"/>
  <c r="N35" i="33"/>
  <c r="N49" i="55"/>
  <c r="N59" i="33"/>
  <c r="I173" i="68"/>
  <c r="J169" i="68" s="1"/>
  <c r="B29" i="39"/>
  <c r="L56" i="55"/>
  <c r="L48" i="55" s="1"/>
  <c r="L66" i="33"/>
  <c r="N64" i="33"/>
  <c r="O54" i="55" s="1"/>
  <c r="Q38" i="33"/>
  <c r="R38" i="33" s="1"/>
  <c r="S36" i="55" s="1"/>
  <c r="I9" i="55"/>
  <c r="P44" i="55"/>
  <c r="Q47" i="33"/>
  <c r="R47" i="33" s="1"/>
  <c r="S44" i="55" s="1"/>
  <c r="O51" i="55"/>
  <c r="C6" i="68"/>
  <c r="D6" i="68" s="1"/>
  <c r="F6" i="68" s="1"/>
  <c r="R32" i="55"/>
  <c r="H163" i="68"/>
  <c r="I159" i="68" s="1"/>
  <c r="N55" i="55"/>
  <c r="S34" i="33"/>
  <c r="T34" i="33" s="1"/>
  <c r="U32" i="55" s="1"/>
  <c r="F133" i="39"/>
  <c r="I9" i="36" s="1"/>
  <c r="M14" i="36"/>
  <c r="G133" i="39"/>
  <c r="J9" i="36" s="1"/>
  <c r="P61" i="33"/>
  <c r="Q61" i="33" s="1"/>
  <c r="R51" i="55" s="1"/>
  <c r="E133" i="39"/>
  <c r="H9" i="36" s="1"/>
  <c r="AB121" i="68"/>
  <c r="AC121" i="68" s="1"/>
  <c r="AD121" i="68" s="1"/>
  <c r="M63" i="33"/>
  <c r="N63" i="33" s="1"/>
  <c r="O53" i="55" s="1"/>
  <c r="M53" i="55"/>
  <c r="H12" i="33"/>
  <c r="H5" i="33" s="1"/>
  <c r="M69" i="33"/>
  <c r="N69" i="33" s="1"/>
  <c r="O59" i="55" s="1"/>
  <c r="AH28" i="30"/>
  <c r="AX16" i="45"/>
  <c r="AH28" i="35"/>
  <c r="AG23" i="30"/>
  <c r="AW11" i="45"/>
  <c r="AG23" i="35"/>
  <c r="L43" i="33"/>
  <c r="X21" i="30"/>
  <c r="X21" i="35"/>
  <c r="AN9" i="45"/>
  <c r="K105" i="55"/>
  <c r="M44" i="30"/>
  <c r="M44" i="35"/>
  <c r="M43" i="35" s="1"/>
  <c r="M8" i="35" s="1"/>
  <c r="AC32" i="45"/>
  <c r="L8" i="30"/>
  <c r="I26" i="39"/>
  <c r="I6" i="39" s="1"/>
  <c r="M27" i="50"/>
  <c r="L26" i="50"/>
  <c r="L38" i="50" s="1"/>
  <c r="L20" i="36" s="1"/>
  <c r="K26" i="41"/>
  <c r="L23" i="52"/>
  <c r="AC15" i="45"/>
  <c r="M27" i="30"/>
  <c r="M27" i="35"/>
  <c r="P24" i="30"/>
  <c r="AF12" i="45"/>
  <c r="P24" i="35"/>
  <c r="I34" i="40"/>
  <c r="I6" i="40" s="1"/>
  <c r="M112" i="55"/>
  <c r="M105" i="55" s="1"/>
  <c r="M10" i="36"/>
  <c r="R32" i="30"/>
  <c r="AH20" i="45"/>
  <c r="R32" i="35"/>
  <c r="Q29" i="30"/>
  <c r="AG17" i="45"/>
  <c r="Q29" i="35"/>
  <c r="J25" i="39"/>
  <c r="J26" i="39" s="1"/>
  <c r="J6" i="39" s="1"/>
  <c r="J119" i="39"/>
  <c r="M32" i="33"/>
  <c r="N30" i="55" s="1"/>
  <c r="M30" i="55"/>
  <c r="V44" i="24"/>
  <c r="H133" i="39"/>
  <c r="K9" i="36" s="1"/>
  <c r="K6" i="30"/>
  <c r="L19" i="30"/>
  <c r="K31" i="32"/>
  <c r="AB7" i="45"/>
  <c r="L19" i="35"/>
  <c r="L18" i="35" s="1"/>
  <c r="L6" i="35" s="1"/>
  <c r="O7" i="50"/>
  <c r="P9" i="50"/>
  <c r="S35" i="30"/>
  <c r="S35" i="35"/>
  <c r="AI23" i="45"/>
  <c r="S31" i="30"/>
  <c r="AI19" i="45"/>
  <c r="S31" i="35"/>
  <c r="U30" i="30"/>
  <c r="AK18" i="45"/>
  <c r="U30" i="35"/>
  <c r="W44" i="24"/>
  <c r="O55" i="55"/>
  <c r="K76" i="33"/>
  <c r="AG128" i="68"/>
  <c r="AH128" i="68" s="1"/>
  <c r="O65" i="33"/>
  <c r="P65" i="33" s="1"/>
  <c r="Q55" i="55" s="1"/>
  <c r="O45" i="33"/>
  <c r="P45" i="33" s="1"/>
  <c r="Q42" i="55" s="1"/>
  <c r="O42" i="55"/>
  <c r="M33" i="33"/>
  <c r="M24" i="33"/>
  <c r="N21" i="55" s="1"/>
  <c r="L22" i="33"/>
  <c r="J35" i="58" s="1"/>
  <c r="J36" i="58" s="1"/>
  <c r="J21" i="37" s="1"/>
  <c r="M25" i="33"/>
  <c r="O20" i="55"/>
  <c r="C86" i="68"/>
  <c r="D86" i="68" s="1"/>
  <c r="N86" i="68" s="1"/>
  <c r="O86" i="68" s="1"/>
  <c r="N170" i="68"/>
  <c r="F5" i="62"/>
  <c r="AE129" i="68"/>
  <c r="AF129" i="68" s="1"/>
  <c r="AG129" i="68" s="1"/>
  <c r="AH129" i="68" s="1"/>
  <c r="O50" i="55"/>
  <c r="N20" i="55"/>
  <c r="M170" i="68"/>
  <c r="C85" i="68"/>
  <c r="D85" i="68" s="1"/>
  <c r="M85" i="68" s="1"/>
  <c r="N85" i="68" s="1"/>
  <c r="O85" i="68" s="1"/>
  <c r="O37" i="55"/>
  <c r="K43" i="68"/>
  <c r="L43" i="68" s="1"/>
  <c r="M14" i="55"/>
  <c r="M16" i="33"/>
  <c r="O60" i="33"/>
  <c r="O39" i="33"/>
  <c r="H8" i="55"/>
  <c r="H3" i="55" s="1"/>
  <c r="J71" i="55"/>
  <c r="M78" i="68"/>
  <c r="N78" i="68" s="1"/>
  <c r="O78" i="68" s="1"/>
  <c r="P172" i="55"/>
  <c r="O171" i="55"/>
  <c r="M151" i="55"/>
  <c r="T115" i="68"/>
  <c r="U115" i="68" s="1"/>
  <c r="Y120" i="68"/>
  <c r="Z120" i="68" s="1"/>
  <c r="AA120" i="68" s="1"/>
  <c r="AB120" i="68" s="1"/>
  <c r="AC120" i="68" s="1"/>
  <c r="AD120" i="68" s="1"/>
  <c r="AE120" i="68" s="1"/>
  <c r="AF120" i="68" s="1"/>
  <c r="AG120" i="68" s="1"/>
  <c r="AH120" i="68" s="1"/>
  <c r="AF126" i="68"/>
  <c r="AG126" i="68" s="1"/>
  <c r="AH126" i="68" s="1"/>
  <c r="AB118" i="68"/>
  <c r="AC118" i="68" s="1"/>
  <c r="AD118" i="68" s="1"/>
  <c r="AE118" i="68" s="1"/>
  <c r="AF118" i="68" s="1"/>
  <c r="AG118" i="68" s="1"/>
  <c r="AH118" i="68" s="1"/>
  <c r="X124" i="68"/>
  <c r="Y124" i="68" s="1"/>
  <c r="G5" i="37"/>
  <c r="G10" i="26" s="1"/>
  <c r="Y116" i="68"/>
  <c r="Z116" i="68" s="1"/>
  <c r="AA116" i="68" s="1"/>
  <c r="AB116" i="68" s="1"/>
  <c r="AC116" i="68" s="1"/>
  <c r="AD116" i="68" s="1"/>
  <c r="AE116" i="68" s="1"/>
  <c r="AF116" i="68" s="1"/>
  <c r="AG116" i="68" s="1"/>
  <c r="AH116" i="68" s="1"/>
  <c r="L18" i="55"/>
  <c r="L17" i="33"/>
  <c r="M17" i="33" s="1"/>
  <c r="AL75" i="55"/>
  <c r="E72" i="55"/>
  <c r="M80" i="68"/>
  <c r="J45" i="68"/>
  <c r="I71" i="68"/>
  <c r="I162" i="68" s="1"/>
  <c r="F26" i="55"/>
  <c r="F64" i="55" s="1"/>
  <c r="O11" i="55"/>
  <c r="AH26" i="36"/>
  <c r="AH12" i="36" s="1"/>
  <c r="AH182" i="55" s="1"/>
  <c r="AG26" i="36"/>
  <c r="AG12" i="36" s="1"/>
  <c r="AG182" i="55" s="1"/>
  <c r="Y26" i="36"/>
  <c r="Y12" i="36" s="1"/>
  <c r="Y182" i="55" s="1"/>
  <c r="Q26" i="36"/>
  <c r="Q12" i="36" s="1"/>
  <c r="Q182" i="55" s="1"/>
  <c r="I26" i="36"/>
  <c r="I12" i="36" s="1"/>
  <c r="I182" i="55" s="1"/>
  <c r="AN26" i="36"/>
  <c r="AN12" i="36" s="1"/>
  <c r="AN182" i="55" s="1"/>
  <c r="AF26" i="36"/>
  <c r="AF12" i="36" s="1"/>
  <c r="AF182" i="55" s="1"/>
  <c r="X26" i="36"/>
  <c r="X12" i="36" s="1"/>
  <c r="X182" i="55" s="1"/>
  <c r="P26" i="36"/>
  <c r="P12" i="36" s="1"/>
  <c r="P182" i="55" s="1"/>
  <c r="H26" i="36"/>
  <c r="H12" i="36" s="1"/>
  <c r="H182" i="55" s="1"/>
  <c r="H185" i="55" s="1"/>
  <c r="AM26" i="36"/>
  <c r="AM12" i="36" s="1"/>
  <c r="AM182" i="55" s="1"/>
  <c r="AE26" i="36"/>
  <c r="AE12" i="36" s="1"/>
  <c r="AE182" i="55" s="1"/>
  <c r="W26" i="36"/>
  <c r="W12" i="36" s="1"/>
  <c r="W182" i="55" s="1"/>
  <c r="O26" i="36"/>
  <c r="O12" i="36" s="1"/>
  <c r="O182" i="55" s="1"/>
  <c r="G26" i="36"/>
  <c r="G12" i="36" s="1"/>
  <c r="AL26" i="36"/>
  <c r="AL12" i="36" s="1"/>
  <c r="AL182" i="55" s="1"/>
  <c r="AD26" i="36"/>
  <c r="AD12" i="36" s="1"/>
  <c r="AD182" i="55" s="1"/>
  <c r="V26" i="36"/>
  <c r="V12" i="36" s="1"/>
  <c r="V182" i="55" s="1"/>
  <c r="N26" i="36"/>
  <c r="N12" i="36" s="1"/>
  <c r="N182" i="55" s="1"/>
  <c r="F26" i="36"/>
  <c r="F12" i="36" s="1"/>
  <c r="AB26" i="36"/>
  <c r="AB12" i="36" s="1"/>
  <c r="AB182" i="55" s="1"/>
  <c r="L26" i="36"/>
  <c r="L12" i="36" s="1"/>
  <c r="L182" i="55" s="1"/>
  <c r="AA26" i="36"/>
  <c r="AA12" i="36" s="1"/>
  <c r="AA182" i="55" s="1"/>
  <c r="K26" i="36"/>
  <c r="K12" i="36" s="1"/>
  <c r="K182" i="55" s="1"/>
  <c r="Z26" i="36"/>
  <c r="Z12" i="36" s="1"/>
  <c r="Z182" i="55" s="1"/>
  <c r="J26" i="36"/>
  <c r="J12" i="36" s="1"/>
  <c r="J182" i="55" s="1"/>
  <c r="AK26" i="36"/>
  <c r="AK12" i="36" s="1"/>
  <c r="AK182" i="55" s="1"/>
  <c r="T26" i="36"/>
  <c r="T12" i="36" s="1"/>
  <c r="T182" i="55" s="1"/>
  <c r="AI26" i="36"/>
  <c r="AI12" i="36" s="1"/>
  <c r="AI182" i="55" s="1"/>
  <c r="R26" i="36"/>
  <c r="R12" i="36" s="1"/>
  <c r="R182" i="55" s="1"/>
  <c r="AC26" i="36"/>
  <c r="AC12" i="36" s="1"/>
  <c r="AC182" i="55" s="1"/>
  <c r="M26" i="36"/>
  <c r="M12" i="36" s="1"/>
  <c r="M182" i="55" s="1"/>
  <c r="U26" i="36"/>
  <c r="U12" i="36" s="1"/>
  <c r="U182" i="55" s="1"/>
  <c r="AJ26" i="36"/>
  <c r="AJ12" i="36" s="1"/>
  <c r="AJ182" i="55" s="1"/>
  <c r="S26" i="36"/>
  <c r="S12" i="36" s="1"/>
  <c r="S182" i="55" s="1"/>
  <c r="H26" i="37"/>
  <c r="P41" i="33"/>
  <c r="Q41" i="33" s="1"/>
  <c r="N114" i="68"/>
  <c r="G3" i="55"/>
  <c r="Q8" i="33"/>
  <c r="R8" i="33" s="1"/>
  <c r="O7" i="33"/>
  <c r="P7" i="33" s="1"/>
  <c r="Q7" i="55"/>
  <c r="Q11" i="33"/>
  <c r="O19" i="50"/>
  <c r="P21" i="50"/>
  <c r="R35" i="55"/>
  <c r="D5" i="68"/>
  <c r="E5" i="68" s="1"/>
  <c r="L42" i="68"/>
  <c r="L41" i="55"/>
  <c r="L34" i="55" s="1"/>
  <c r="K36" i="33"/>
  <c r="F70" i="55"/>
  <c r="F127" i="55"/>
  <c r="L187" i="68"/>
  <c r="L188" i="68"/>
  <c r="O29" i="55"/>
  <c r="O31" i="33"/>
  <c r="P31" i="33" s="1"/>
  <c r="F111" i="55"/>
  <c r="B30" i="40"/>
  <c r="O41" i="68"/>
  <c r="R46" i="55"/>
  <c r="R50" i="33"/>
  <c r="I35" i="58"/>
  <c r="I36" i="58" s="1"/>
  <c r="I21" i="37" s="1"/>
  <c r="G27" i="55"/>
  <c r="G26" i="55" s="1"/>
  <c r="F28" i="33"/>
  <c r="N44" i="68"/>
  <c r="P81" i="68"/>
  <c r="N152" i="55"/>
  <c r="O153" i="55"/>
  <c r="T38" i="55"/>
  <c r="Q5" i="55"/>
  <c r="C22" i="26"/>
  <c r="AK75" i="55"/>
  <c r="T40" i="33"/>
  <c r="E20" i="66"/>
  <c r="E5" i="62"/>
  <c r="D88" i="33"/>
  <c r="I71" i="55"/>
  <c r="P39" i="55"/>
  <c r="K143" i="68"/>
  <c r="K182" i="68" s="1"/>
  <c r="K183" i="68" s="1"/>
  <c r="L179" i="68" s="1"/>
  <c r="D46" i="68"/>
  <c r="J46" i="68" s="1"/>
  <c r="G29" i="33"/>
  <c r="H29" i="33" s="1"/>
  <c r="N164" i="55"/>
  <c r="O165" i="55"/>
  <c r="K18" i="55"/>
  <c r="E23" i="55"/>
  <c r="D44" i="33"/>
  <c r="K71" i="55"/>
  <c r="K4" i="55"/>
  <c r="K6" i="33"/>
  <c r="F75" i="55"/>
  <c r="B22" i="39"/>
  <c r="J107" i="68"/>
  <c r="J172" i="68" s="1"/>
  <c r="K77" i="68"/>
  <c r="M82" i="68"/>
  <c r="F77" i="55"/>
  <c r="E77" i="55" s="1"/>
  <c r="B30" i="39"/>
  <c r="U44" i="24"/>
  <c r="F113" i="55"/>
  <c r="E113" i="55" s="1"/>
  <c r="B38" i="40"/>
  <c r="K151" i="68"/>
  <c r="L79" i="68"/>
  <c r="L113" i="68"/>
  <c r="B21" i="39"/>
  <c r="D16" i="62"/>
  <c r="R37" i="33"/>
  <c r="J44" i="28"/>
  <c r="J43" i="28"/>
  <c r="J45" i="28"/>
  <c r="J40" i="28"/>
  <c r="J47" i="28"/>
  <c r="J42" i="28"/>
  <c r="J41" i="28"/>
  <c r="J39" i="28"/>
  <c r="I51" i="28"/>
  <c r="I54" i="28" s="1"/>
  <c r="L10" i="28"/>
  <c r="L13" i="28"/>
  <c r="K24" i="37"/>
  <c r="L14" i="28"/>
  <c r="L18" i="28"/>
  <c r="M9" i="28"/>
  <c r="M20" i="28" s="1"/>
  <c r="L17" i="28"/>
  <c r="L11" i="28"/>
  <c r="L16" i="28"/>
  <c r="L15" i="28"/>
  <c r="L12" i="28"/>
  <c r="N23" i="36"/>
  <c r="L180" i="55"/>
  <c r="J50" i="28"/>
  <c r="J48" i="28"/>
  <c r="K37" i="28"/>
  <c r="F10" i="26"/>
  <c r="K10" i="62"/>
  <c r="J9" i="26"/>
  <c r="K40" i="66"/>
  <c r="K41" i="66"/>
  <c r="K39" i="66"/>
  <c r="N13" i="47"/>
  <c r="L38" i="66" s="1"/>
  <c r="O14" i="47"/>
  <c r="K4" i="37"/>
  <c r="L18" i="33" l="1"/>
  <c r="M17" i="55" s="1"/>
  <c r="C12" i="36"/>
  <c r="C47" i="68"/>
  <c r="D47" i="68" s="1"/>
  <c r="O12" i="55"/>
  <c r="R45" i="55"/>
  <c r="S49" i="33"/>
  <c r="T45" i="55" s="1"/>
  <c r="R27" i="33"/>
  <c r="S27" i="33" s="1"/>
  <c r="T27" i="33" s="1"/>
  <c r="U25" i="55" s="1"/>
  <c r="Q25" i="55"/>
  <c r="N22" i="36"/>
  <c r="M66" i="55"/>
  <c r="M195" i="55" s="1"/>
  <c r="O62" i="33"/>
  <c r="P52" i="55" s="1"/>
  <c r="N84" i="68"/>
  <c r="O84" i="68" s="1"/>
  <c r="P84" i="68" s="1"/>
  <c r="K58" i="55"/>
  <c r="K57" i="55" s="1"/>
  <c r="J58" i="55"/>
  <c r="J57" i="55" s="1"/>
  <c r="I67" i="33"/>
  <c r="K68" i="33"/>
  <c r="L58" i="55" s="1"/>
  <c r="Q42" i="33"/>
  <c r="R42" i="33" s="1"/>
  <c r="S40" i="55" s="1"/>
  <c r="J6" i="41"/>
  <c r="M11" i="36" s="1"/>
  <c r="K24" i="39"/>
  <c r="K25" i="39" s="1"/>
  <c r="K26" i="39" s="1"/>
  <c r="K6" i="39" s="1"/>
  <c r="P24" i="55"/>
  <c r="P26" i="33"/>
  <c r="J15" i="33"/>
  <c r="P51" i="33"/>
  <c r="M18" i="33"/>
  <c r="N17" i="55" s="1"/>
  <c r="K7" i="30"/>
  <c r="K16" i="30" s="1"/>
  <c r="K27" i="32"/>
  <c r="L129" i="39" s="1"/>
  <c r="L126" i="39" s="1"/>
  <c r="AB29" i="45"/>
  <c r="AB5" i="45" s="1"/>
  <c r="L41" i="35"/>
  <c r="L40" i="35" s="1"/>
  <c r="L7" i="35" s="1"/>
  <c r="L16" i="35" s="1"/>
  <c r="O8" i="36" s="1"/>
  <c r="L41" i="30"/>
  <c r="L21" i="52"/>
  <c r="L19" i="52" s="1"/>
  <c r="L6" i="52" s="1"/>
  <c r="N13" i="36" s="1"/>
  <c r="M30" i="33"/>
  <c r="N28" i="55" s="1"/>
  <c r="K22" i="41"/>
  <c r="N131" i="55" s="1"/>
  <c r="K32" i="40"/>
  <c r="K33" i="40" s="1"/>
  <c r="K34" i="40" s="1"/>
  <c r="K6" i="40" s="1"/>
  <c r="N10" i="36" s="1"/>
  <c r="L24" i="39"/>
  <c r="J13" i="55"/>
  <c r="K15" i="55"/>
  <c r="K19" i="33"/>
  <c r="K16" i="55"/>
  <c r="K20" i="33"/>
  <c r="N56" i="33"/>
  <c r="O56" i="33" s="1"/>
  <c r="O14" i="33"/>
  <c r="Q57" i="33"/>
  <c r="R57" i="33" s="1"/>
  <c r="W54" i="33"/>
  <c r="P55" i="33"/>
  <c r="Q55" i="33" s="1"/>
  <c r="K44" i="28"/>
  <c r="K49" i="28"/>
  <c r="J13" i="33"/>
  <c r="K13" i="33" s="1"/>
  <c r="Q21" i="33"/>
  <c r="F4" i="33"/>
  <c r="D22" i="26" s="1"/>
  <c r="H5" i="37"/>
  <c r="H10" i="26" s="1"/>
  <c r="H9" i="49"/>
  <c r="N31" i="55"/>
  <c r="L160" i="68"/>
  <c r="O33" i="55"/>
  <c r="O35" i="33"/>
  <c r="J173" i="68"/>
  <c r="K169" i="68" s="1"/>
  <c r="P12" i="55"/>
  <c r="Q9" i="33"/>
  <c r="C48" i="68"/>
  <c r="D48" i="68" s="1"/>
  <c r="L48" i="68" s="1"/>
  <c r="O64" i="33"/>
  <c r="P64" i="33" s="1"/>
  <c r="Q64" i="33" s="1"/>
  <c r="R54" i="55" s="1"/>
  <c r="O49" i="55"/>
  <c r="O59" i="33"/>
  <c r="S38" i="33"/>
  <c r="T36" i="55" s="1"/>
  <c r="R36" i="55"/>
  <c r="M56" i="55"/>
  <c r="M48" i="55" s="1"/>
  <c r="M66" i="33"/>
  <c r="L58" i="33"/>
  <c r="M43" i="33"/>
  <c r="N41" i="55" s="1"/>
  <c r="N34" i="55" s="1"/>
  <c r="L36" i="33"/>
  <c r="I8" i="55"/>
  <c r="I3" i="55" s="1"/>
  <c r="S47" i="33"/>
  <c r="T47" i="33" s="1"/>
  <c r="U44" i="55" s="1"/>
  <c r="R44" i="55"/>
  <c r="I12" i="33"/>
  <c r="T32" i="55"/>
  <c r="U34" i="33"/>
  <c r="V34" i="33" s="1"/>
  <c r="W32" i="55" s="1"/>
  <c r="M41" i="55"/>
  <c r="M34" i="55" s="1"/>
  <c r="R61" i="33"/>
  <c r="S51" i="55" s="1"/>
  <c r="Q51" i="55"/>
  <c r="N59" i="55"/>
  <c r="I163" i="68"/>
  <c r="J159" i="68" s="1"/>
  <c r="H7" i="36"/>
  <c r="AE121" i="68"/>
  <c r="AF121" i="68" s="1"/>
  <c r="AG121" i="68" s="1"/>
  <c r="AH121" i="68" s="1"/>
  <c r="O63" i="33"/>
  <c r="P53" i="55" s="1"/>
  <c r="F88" i="33"/>
  <c r="G5" i="62"/>
  <c r="G20" i="66"/>
  <c r="O69" i="33"/>
  <c r="P59" i="55" s="1"/>
  <c r="I26" i="37"/>
  <c r="N53" i="55"/>
  <c r="L76" i="33"/>
  <c r="M76" i="55"/>
  <c r="AH23" i="30"/>
  <c r="AH23" i="35"/>
  <c r="AX11" i="45"/>
  <c r="N27" i="30"/>
  <c r="N27" i="35"/>
  <c r="AD15" i="45"/>
  <c r="P6" i="55"/>
  <c r="O6" i="55"/>
  <c r="N70" i="55"/>
  <c r="N14" i="36"/>
  <c r="P7" i="50"/>
  <c r="Q9" i="50"/>
  <c r="L32" i="40"/>
  <c r="N27" i="50"/>
  <c r="M26" i="50"/>
  <c r="M38" i="50" s="1"/>
  <c r="M20" i="36" s="1"/>
  <c r="Q24" i="30"/>
  <c r="AG12" i="45"/>
  <c r="Q24" i="35"/>
  <c r="AI28" i="30"/>
  <c r="AY16" i="45"/>
  <c r="AI28" i="35"/>
  <c r="T31" i="30"/>
  <c r="T31" i="35"/>
  <c r="AJ19" i="45"/>
  <c r="N133" i="55"/>
  <c r="X44" i="24"/>
  <c r="V30" i="30"/>
  <c r="AL18" i="45"/>
  <c r="V30" i="35"/>
  <c r="R29" i="30"/>
  <c r="AH17" i="45"/>
  <c r="R29" i="35"/>
  <c r="N24" i="33"/>
  <c r="O21" i="55" s="1"/>
  <c r="S32" i="30"/>
  <c r="AI20" i="45"/>
  <c r="S32" i="35"/>
  <c r="T35" i="30"/>
  <c r="AJ23" i="45"/>
  <c r="T35" i="35"/>
  <c r="M22" i="33"/>
  <c r="K35" i="58" s="1"/>
  <c r="K36" i="58" s="1"/>
  <c r="K21" i="37" s="1"/>
  <c r="J185" i="55"/>
  <c r="L112" i="55"/>
  <c r="L10" i="36"/>
  <c r="Y21" i="30"/>
  <c r="AO9" i="45"/>
  <c r="Y21" i="35"/>
  <c r="L26" i="41"/>
  <c r="O133" i="55" s="1"/>
  <c r="M23" i="52"/>
  <c r="N32" i="33"/>
  <c r="L76" i="55"/>
  <c r="I133" i="39"/>
  <c r="L9" i="36" s="1"/>
  <c r="L31" i="32"/>
  <c r="M19" i="30"/>
  <c r="L6" i="30"/>
  <c r="M19" i="35"/>
  <c r="M18" i="35" s="1"/>
  <c r="M6" i="35" s="1"/>
  <c r="AC7" i="45"/>
  <c r="N44" i="30"/>
  <c r="AD32" i="45"/>
  <c r="N44" i="35"/>
  <c r="N43" i="35" s="1"/>
  <c r="N8" i="35" s="1"/>
  <c r="M8" i="30"/>
  <c r="M98" i="55"/>
  <c r="J116" i="39"/>
  <c r="Q20" i="55"/>
  <c r="Q66" i="55" s="1"/>
  <c r="Q195" i="55" s="1"/>
  <c r="C88" i="68"/>
  <c r="D88" i="68" s="1"/>
  <c r="P88" i="68" s="1"/>
  <c r="N33" i="33"/>
  <c r="K47" i="68"/>
  <c r="L47" i="68" s="1"/>
  <c r="P85" i="68"/>
  <c r="Q85" i="68" s="1"/>
  <c r="P55" i="55"/>
  <c r="Q65" i="33"/>
  <c r="R65" i="33" s="1"/>
  <c r="P42" i="55"/>
  <c r="Q45" i="33"/>
  <c r="N22" i="55"/>
  <c r="N25" i="33"/>
  <c r="V115" i="68"/>
  <c r="W115" i="68" s="1"/>
  <c r="X115" i="68" s="1"/>
  <c r="Y115" i="68" s="1"/>
  <c r="Z115" i="68" s="1"/>
  <c r="AA115" i="68" s="1"/>
  <c r="AB115" i="68" s="1"/>
  <c r="AC115" i="68" s="1"/>
  <c r="AD115" i="68" s="1"/>
  <c r="AE115" i="68" s="1"/>
  <c r="AF115" i="68" s="1"/>
  <c r="AG115" i="68" s="1"/>
  <c r="AH115" i="68" s="1"/>
  <c r="N17" i="33"/>
  <c r="O17" i="33" s="1"/>
  <c r="P17" i="33" s="1"/>
  <c r="Q17" i="33" s="1"/>
  <c r="F20" i="66"/>
  <c r="P60" i="33"/>
  <c r="P50" i="55"/>
  <c r="R20" i="55"/>
  <c r="M43" i="68"/>
  <c r="N43" i="68" s="1"/>
  <c r="L189" i="68"/>
  <c r="N14" i="55"/>
  <c r="P20" i="55"/>
  <c r="O170" i="68"/>
  <c r="C87" i="68"/>
  <c r="N16" i="33"/>
  <c r="P37" i="55"/>
  <c r="P39" i="33"/>
  <c r="N66" i="55"/>
  <c r="N195" i="55" s="1"/>
  <c r="N19" i="55"/>
  <c r="E88" i="33"/>
  <c r="O66" i="55"/>
  <c r="O195" i="55" s="1"/>
  <c r="O19" i="55"/>
  <c r="P170" i="68"/>
  <c r="G65" i="55"/>
  <c r="G194" i="55" s="1"/>
  <c r="P171" i="55"/>
  <c r="Q172" i="55"/>
  <c r="Z124" i="68"/>
  <c r="AA124" i="68" s="1"/>
  <c r="AB124" i="68" s="1"/>
  <c r="AC124" i="68" s="1"/>
  <c r="AD124" i="68" s="1"/>
  <c r="AE124" i="68" s="1"/>
  <c r="E75" i="55"/>
  <c r="K185" i="55"/>
  <c r="K45" i="68"/>
  <c r="L45" i="68" s="1"/>
  <c r="I7" i="36"/>
  <c r="F15" i="37" s="1"/>
  <c r="I185" i="55"/>
  <c r="G6" i="68"/>
  <c r="K46" i="68"/>
  <c r="K187" i="68"/>
  <c r="K188" i="68"/>
  <c r="P86" i="68"/>
  <c r="N82" i="68"/>
  <c r="O82" i="68" s="1"/>
  <c r="K107" i="68"/>
  <c r="K172" i="68" s="1"/>
  <c r="L77" i="68"/>
  <c r="L107" i="68" s="1"/>
  <c r="L172" i="68" s="1"/>
  <c r="R41" i="33"/>
  <c r="S41" i="33" s="1"/>
  <c r="T41" i="33" s="1"/>
  <c r="U41" i="33" s="1"/>
  <c r="U38" i="55"/>
  <c r="E111" i="55"/>
  <c r="F105" i="55"/>
  <c r="Q81" i="68"/>
  <c r="R81" i="68" s="1"/>
  <c r="S81" i="68" s="1"/>
  <c r="T81" i="68" s="1"/>
  <c r="U81" i="68" s="1"/>
  <c r="E35" i="68"/>
  <c r="E152" i="68" s="1"/>
  <c r="F5" i="68"/>
  <c r="F35" i="68" s="1"/>
  <c r="F152" i="68" s="1"/>
  <c r="D6" i="64" s="1"/>
  <c r="P19" i="50"/>
  <c r="Q21" i="50"/>
  <c r="G182" i="55"/>
  <c r="G185" i="55" s="1"/>
  <c r="G7" i="36"/>
  <c r="D15" i="37" s="1"/>
  <c r="O164" i="55"/>
  <c r="P165" i="55"/>
  <c r="O152" i="55"/>
  <c r="P153" i="55"/>
  <c r="F13" i="36"/>
  <c r="O44" i="68"/>
  <c r="G64" i="55"/>
  <c r="U40" i="33"/>
  <c r="V40" i="33" s="1"/>
  <c r="N80" i="68"/>
  <c r="N151" i="55"/>
  <c r="P29" i="55"/>
  <c r="M42" i="68"/>
  <c r="P83" i="68"/>
  <c r="K7" i="36"/>
  <c r="H15" i="37" s="1"/>
  <c r="S35" i="55"/>
  <c r="H27" i="55"/>
  <c r="G28" i="33"/>
  <c r="G4" i="33" s="1"/>
  <c r="G150" i="68"/>
  <c r="C7" i="68"/>
  <c r="S46" i="55"/>
  <c r="S50" i="33"/>
  <c r="T50" i="33" s="1"/>
  <c r="U50" i="33" s="1"/>
  <c r="Q31" i="33"/>
  <c r="R31" i="33" s="1"/>
  <c r="F182" i="55"/>
  <c r="B19" i="53"/>
  <c r="S37" i="33"/>
  <c r="L4" i="55"/>
  <c r="L6" i="33"/>
  <c r="R39" i="55"/>
  <c r="Q29" i="55"/>
  <c r="R7" i="55"/>
  <c r="R11" i="33"/>
  <c r="P11" i="55"/>
  <c r="R5" i="55"/>
  <c r="S8" i="33"/>
  <c r="T8" i="33" s="1"/>
  <c r="Q39" i="55"/>
  <c r="F71" i="55"/>
  <c r="I27" i="55"/>
  <c r="H28" i="33"/>
  <c r="H4" i="33" s="1"/>
  <c r="C8" i="68"/>
  <c r="M76" i="33"/>
  <c r="K26" i="37" s="1"/>
  <c r="H150" i="68"/>
  <c r="N151" i="68" s="1"/>
  <c r="Q11" i="55"/>
  <c r="C27" i="26"/>
  <c r="C21" i="26"/>
  <c r="I29" i="33"/>
  <c r="Q7" i="33"/>
  <c r="O114" i="68"/>
  <c r="P114" i="68" s="1"/>
  <c r="Q114" i="68" s="1"/>
  <c r="R114" i="68" s="1"/>
  <c r="P78" i="68"/>
  <c r="Q78" i="68" s="1"/>
  <c r="R78" i="68" s="1"/>
  <c r="S78" i="68" s="1"/>
  <c r="T78" i="68" s="1"/>
  <c r="U78" i="68" s="1"/>
  <c r="V78" i="68" s="1"/>
  <c r="W78" i="68" s="1"/>
  <c r="X78" i="68" s="1"/>
  <c r="Y78" i="68" s="1"/>
  <c r="Z78" i="68" s="1"/>
  <c r="AA78" i="68" s="1"/>
  <c r="AB78" i="68" s="1"/>
  <c r="AC78" i="68" s="1"/>
  <c r="AD78" i="68" s="1"/>
  <c r="AE78" i="68" s="1"/>
  <c r="AF78" i="68" s="1"/>
  <c r="AG78" i="68" s="1"/>
  <c r="AH78" i="68" s="1"/>
  <c r="L143" i="68"/>
  <c r="L182" i="68" s="1"/>
  <c r="L183" i="68" s="1"/>
  <c r="M179" i="68" s="1"/>
  <c r="M113" i="68"/>
  <c r="N18" i="55"/>
  <c r="E16" i="62"/>
  <c r="D89" i="33"/>
  <c r="F10" i="36"/>
  <c r="S5" i="55"/>
  <c r="J71" i="68"/>
  <c r="J162" i="68" s="1"/>
  <c r="M18" i="55"/>
  <c r="M79" i="68"/>
  <c r="P41" i="68"/>
  <c r="J7" i="36"/>
  <c r="G15" i="37" s="1"/>
  <c r="J51" i="28"/>
  <c r="J54" i="28" s="1"/>
  <c r="K40" i="28"/>
  <c r="K50" i="28"/>
  <c r="K48" i="28"/>
  <c r="L37" i="28"/>
  <c r="K41" i="28"/>
  <c r="K47" i="28"/>
  <c r="K45" i="28"/>
  <c r="M180" i="55"/>
  <c r="M13" i="28"/>
  <c r="L24" i="37"/>
  <c r="M17" i="28"/>
  <c r="N9" i="28"/>
  <c r="N20" i="28" s="1"/>
  <c r="M10" i="28"/>
  <c r="M15" i="28"/>
  <c r="M14" i="28"/>
  <c r="M11" i="28"/>
  <c r="M12" i="28"/>
  <c r="M16" i="28"/>
  <c r="M18" i="28"/>
  <c r="O23" i="36"/>
  <c r="K39" i="28"/>
  <c r="K43" i="28"/>
  <c r="K42" i="28"/>
  <c r="K46" i="28"/>
  <c r="K9" i="26"/>
  <c r="L10" i="62"/>
  <c r="O13" i="47"/>
  <c r="M38" i="66" s="1"/>
  <c r="L4" i="37"/>
  <c r="P14" i="47"/>
  <c r="L40" i="66"/>
  <c r="L41" i="66"/>
  <c r="L39" i="66"/>
  <c r="N76" i="33" l="1"/>
  <c r="S25" i="55"/>
  <c r="F21" i="66"/>
  <c r="E15" i="37"/>
  <c r="T49" i="33"/>
  <c r="P62" i="33"/>
  <c r="Q52" i="55" s="1"/>
  <c r="U27" i="33"/>
  <c r="V27" i="33" s="1"/>
  <c r="W25" i="55" s="1"/>
  <c r="T25" i="55"/>
  <c r="S42" i="33"/>
  <c r="T42" i="33" s="1"/>
  <c r="U40" i="55" s="1"/>
  <c r="L68" i="33"/>
  <c r="L67" i="33" s="1"/>
  <c r="O31" i="55"/>
  <c r="K67" i="33"/>
  <c r="K119" i="39"/>
  <c r="K116" i="39" s="1"/>
  <c r="R40" i="55"/>
  <c r="N112" i="55"/>
  <c r="N105" i="55" s="1"/>
  <c r="K9" i="55"/>
  <c r="K6" i="41"/>
  <c r="N11" i="36" s="1"/>
  <c r="O22" i="36"/>
  <c r="Q26" i="33"/>
  <c r="Q24" i="55"/>
  <c r="T38" i="33"/>
  <c r="U38" i="33" s="1"/>
  <c r="V38" i="33" s="1"/>
  <c r="W36" i="55" s="1"/>
  <c r="L25" i="39"/>
  <c r="L26" i="39" s="1"/>
  <c r="L6" i="39" s="1"/>
  <c r="Q51" i="33"/>
  <c r="Q47" i="55"/>
  <c r="L119" i="39"/>
  <c r="O98" i="55" s="1"/>
  <c r="N18" i="33"/>
  <c r="O17" i="55" s="1"/>
  <c r="N127" i="55"/>
  <c r="O70" i="55"/>
  <c r="O14" i="36"/>
  <c r="L27" i="32"/>
  <c r="M129" i="39" s="1"/>
  <c r="M126" i="39" s="1"/>
  <c r="M41" i="35"/>
  <c r="M40" i="35" s="1"/>
  <c r="M7" i="35" s="1"/>
  <c r="M16" i="35" s="1"/>
  <c r="P8" i="36" s="1"/>
  <c r="M41" i="30"/>
  <c r="AC29" i="45"/>
  <c r="AC5" i="45" s="1"/>
  <c r="L7" i="30"/>
  <c r="L16" i="30" s="1"/>
  <c r="M21" i="52"/>
  <c r="M19" i="52" s="1"/>
  <c r="M6" i="52" s="1"/>
  <c r="O13" i="36" s="1"/>
  <c r="L22" i="41"/>
  <c r="O131" i="55" s="1"/>
  <c r="O127" i="55" s="1"/>
  <c r="N30" i="33"/>
  <c r="O28" i="55" s="1"/>
  <c r="M160" i="68"/>
  <c r="N48" i="33"/>
  <c r="S57" i="33"/>
  <c r="T57" i="33" s="1"/>
  <c r="K13" i="55"/>
  <c r="L15" i="55"/>
  <c r="L19" i="33"/>
  <c r="L20" i="33"/>
  <c r="L16" i="55"/>
  <c r="K15" i="33"/>
  <c r="P10" i="55"/>
  <c r="P14" i="33"/>
  <c r="P56" i="33"/>
  <c r="Q56" i="33" s="1"/>
  <c r="O48" i="33"/>
  <c r="X54" i="33"/>
  <c r="Y54" i="33" s="1"/>
  <c r="R55" i="33"/>
  <c r="S55" i="33" s="1"/>
  <c r="L44" i="28"/>
  <c r="L49" i="28"/>
  <c r="R21" i="33"/>
  <c r="D21" i="26"/>
  <c r="D27" i="26"/>
  <c r="L13" i="33"/>
  <c r="M13" i="33" s="1"/>
  <c r="N9" i="55" s="1"/>
  <c r="M6" i="33"/>
  <c r="I5" i="33"/>
  <c r="I5" i="37"/>
  <c r="I10" i="26" s="1"/>
  <c r="I9" i="49"/>
  <c r="K173" i="68"/>
  <c r="L169" i="68" s="1"/>
  <c r="L173" i="68" s="1"/>
  <c r="M169" i="68" s="1"/>
  <c r="T40" i="55"/>
  <c r="R64" i="33"/>
  <c r="S64" i="33" s="1"/>
  <c r="T54" i="55" s="1"/>
  <c r="P35" i="33"/>
  <c r="Q35" i="33" s="1"/>
  <c r="R33" i="55" s="1"/>
  <c r="P33" i="55"/>
  <c r="R12" i="55"/>
  <c r="R9" i="33"/>
  <c r="P54" i="55"/>
  <c r="Q54" i="55"/>
  <c r="W34" i="33"/>
  <c r="X34" i="33" s="1"/>
  <c r="J8" i="55"/>
  <c r="J3" i="55" s="1"/>
  <c r="M58" i="33"/>
  <c r="P49" i="55"/>
  <c r="P59" i="33"/>
  <c r="C49" i="68"/>
  <c r="D49" i="68" s="1"/>
  <c r="M49" i="68" s="1"/>
  <c r="N43" i="33"/>
  <c r="O41" i="55" s="1"/>
  <c r="O34" i="55" s="1"/>
  <c r="M36" i="33"/>
  <c r="V32" i="55"/>
  <c r="N66" i="33"/>
  <c r="O66" i="33" s="1"/>
  <c r="O58" i="33" s="1"/>
  <c r="N56" i="55"/>
  <c r="N48" i="55" s="1"/>
  <c r="T44" i="55"/>
  <c r="J163" i="68"/>
  <c r="K159" i="68" s="1"/>
  <c r="U47" i="33"/>
  <c r="V47" i="33" s="1"/>
  <c r="W44" i="55" s="1"/>
  <c r="S61" i="33"/>
  <c r="T51" i="55" s="1"/>
  <c r="N22" i="33"/>
  <c r="L35" i="58" s="1"/>
  <c r="L36" i="58" s="1"/>
  <c r="L21" i="37" s="1"/>
  <c r="J12" i="33"/>
  <c r="O18" i="55"/>
  <c r="P63" i="33"/>
  <c r="Q53" i="55" s="1"/>
  <c r="P69" i="33"/>
  <c r="Q69" i="33" s="1"/>
  <c r="R69" i="33" s="1"/>
  <c r="R55" i="55"/>
  <c r="S65" i="33"/>
  <c r="T65" i="33" s="1"/>
  <c r="O24" i="33"/>
  <c r="P21" i="55" s="1"/>
  <c r="L7" i="36"/>
  <c r="I15" i="37" s="1"/>
  <c r="O32" i="33"/>
  <c r="O30" i="55"/>
  <c r="L105" i="55"/>
  <c r="R24" i="30"/>
  <c r="AH12" i="45"/>
  <c r="R24" i="35"/>
  <c r="M71" i="55"/>
  <c r="M185" i="55" s="1"/>
  <c r="O27" i="50"/>
  <c r="N26" i="50"/>
  <c r="N38" i="50" s="1"/>
  <c r="N20" i="36" s="1"/>
  <c r="C89" i="68"/>
  <c r="D89" i="68" s="1"/>
  <c r="Q89" i="68" s="1"/>
  <c r="M31" i="32"/>
  <c r="N19" i="30"/>
  <c r="M6" i="30"/>
  <c r="AD7" i="45"/>
  <c r="N19" i="35"/>
  <c r="N18" i="35" s="1"/>
  <c r="N6" i="35" s="1"/>
  <c r="L71" i="55"/>
  <c r="U31" i="30"/>
  <c r="AK19" i="45"/>
  <c r="U31" i="35"/>
  <c r="AJ28" i="30"/>
  <c r="AJ28" i="35"/>
  <c r="AZ16" i="45"/>
  <c r="AE15" i="45"/>
  <c r="O27" i="30"/>
  <c r="O27" i="35"/>
  <c r="AI23" i="30"/>
  <c r="AI23" i="35"/>
  <c r="AY11" i="45"/>
  <c r="M26" i="41"/>
  <c r="P133" i="55" s="1"/>
  <c r="N23" i="52"/>
  <c r="Q7" i="50"/>
  <c r="R9" i="50"/>
  <c r="S29" i="30"/>
  <c r="S29" i="35"/>
  <c r="AI17" i="45"/>
  <c r="J133" i="39"/>
  <c r="M9" i="36" s="1"/>
  <c r="M7" i="36" s="1"/>
  <c r="S20" i="55"/>
  <c r="S66" i="55" s="1"/>
  <c r="S195" i="55" s="1"/>
  <c r="T32" i="30"/>
  <c r="AJ20" i="45"/>
  <c r="T32" i="35"/>
  <c r="L33" i="40"/>
  <c r="N76" i="55"/>
  <c r="W30" i="30"/>
  <c r="AM18" i="45"/>
  <c r="W30" i="35"/>
  <c r="Q6" i="55"/>
  <c r="O44" i="30"/>
  <c r="AE32" i="45"/>
  <c r="O44" i="35"/>
  <c r="O43" i="35" s="1"/>
  <c r="O8" i="35" s="1"/>
  <c r="N8" i="30"/>
  <c r="K189" i="68"/>
  <c r="U35" i="30"/>
  <c r="AK23" i="45"/>
  <c r="U35" i="35"/>
  <c r="Q170" i="68"/>
  <c r="Z21" i="30"/>
  <c r="AP9" i="45"/>
  <c r="Z21" i="35"/>
  <c r="G21" i="66"/>
  <c r="Q19" i="55"/>
  <c r="R42" i="55"/>
  <c r="R45" i="33"/>
  <c r="O33" i="33"/>
  <c r="R85" i="68"/>
  <c r="S85" i="68" s="1"/>
  <c r="P18" i="55"/>
  <c r="O22" i="55"/>
  <c r="O25" i="33"/>
  <c r="Q50" i="55"/>
  <c r="S55" i="55"/>
  <c r="O14" i="55"/>
  <c r="O16" i="33"/>
  <c r="R66" i="55"/>
  <c r="R195" i="55" s="1"/>
  <c r="R19" i="55"/>
  <c r="D87" i="68"/>
  <c r="O87" i="68" s="1"/>
  <c r="P66" i="55"/>
  <c r="P195" i="55" s="1"/>
  <c r="P19" i="55"/>
  <c r="Q60" i="33"/>
  <c r="R60" i="33" s="1"/>
  <c r="R17" i="33"/>
  <c r="S17" i="33" s="1"/>
  <c r="M77" i="68"/>
  <c r="M107" i="68" s="1"/>
  <c r="M172" i="68" s="1"/>
  <c r="Q37" i="55"/>
  <c r="Q39" i="33"/>
  <c r="R39" i="33" s="1"/>
  <c r="H26" i="55"/>
  <c r="H64" i="55" s="1"/>
  <c r="H187" i="55" s="1"/>
  <c r="E25" i="37" s="1"/>
  <c r="H65" i="55"/>
  <c r="H194" i="55" s="1"/>
  <c r="I26" i="55"/>
  <c r="I64" i="55" s="1"/>
  <c r="I187" i="55" s="1"/>
  <c r="I196" i="55" s="1"/>
  <c r="I65" i="55"/>
  <c r="I194" i="55" s="1"/>
  <c r="F185" i="55"/>
  <c r="F187" i="55" s="1"/>
  <c r="C25" i="37" s="1"/>
  <c r="O151" i="55"/>
  <c r="M45" i="68"/>
  <c r="N45" i="68" s="1"/>
  <c r="O45" i="68" s="1"/>
  <c r="P45" i="68" s="1"/>
  <c r="S114" i="68"/>
  <c r="T114" i="68" s="1"/>
  <c r="U114" i="68" s="1"/>
  <c r="V114" i="68" s="1"/>
  <c r="W114" i="68" s="1"/>
  <c r="X114" i="68" s="1"/>
  <c r="Y114" i="68" s="1"/>
  <c r="Z114" i="68" s="1"/>
  <c r="AA114" i="68" s="1"/>
  <c r="AB114" i="68" s="1"/>
  <c r="AC114" i="68" s="1"/>
  <c r="AD114" i="68" s="1"/>
  <c r="AE114" i="68" s="1"/>
  <c r="AF114" i="68" s="1"/>
  <c r="AG114" i="68" s="1"/>
  <c r="AH114" i="68" s="1"/>
  <c r="H6" i="68"/>
  <c r="R172" i="55"/>
  <c r="Q171" i="55"/>
  <c r="K71" i="68"/>
  <c r="K162" i="68" s="1"/>
  <c r="AF124" i="68"/>
  <c r="AG124" i="68" s="1"/>
  <c r="AH124" i="68" s="1"/>
  <c r="E182" i="55"/>
  <c r="V39" i="55"/>
  <c r="S29" i="55"/>
  <c r="S31" i="33"/>
  <c r="T31" i="33" s="1"/>
  <c r="U5" i="55"/>
  <c r="U8" i="33"/>
  <c r="V8" i="33" s="1"/>
  <c r="Q88" i="68"/>
  <c r="R88" i="68" s="1"/>
  <c r="V46" i="55"/>
  <c r="J27" i="55"/>
  <c r="I28" i="33"/>
  <c r="L26" i="37"/>
  <c r="I150" i="68"/>
  <c r="O151" i="68" s="1"/>
  <c r="C9" i="68"/>
  <c r="M143" i="68"/>
  <c r="M182" i="68" s="1"/>
  <c r="M183" i="68" s="1"/>
  <c r="N179" i="68" s="1"/>
  <c r="N113" i="68"/>
  <c r="D7" i="68"/>
  <c r="G7" i="68" s="1"/>
  <c r="R18" i="55"/>
  <c r="M58" i="55"/>
  <c r="M57" i="55" s="1"/>
  <c r="R11" i="55"/>
  <c r="G16" i="62"/>
  <c r="F89" i="33"/>
  <c r="F22" i="26"/>
  <c r="T35" i="55"/>
  <c r="T37" i="33"/>
  <c r="U37" i="33" s="1"/>
  <c r="T46" i="55"/>
  <c r="V50" i="33"/>
  <c r="W50" i="33" s="1"/>
  <c r="M151" i="68"/>
  <c r="Q83" i="68"/>
  <c r="T39" i="55"/>
  <c r="U46" i="55"/>
  <c r="J29" i="33"/>
  <c r="I21" i="66"/>
  <c r="R21" i="50"/>
  <c r="Q19" i="50"/>
  <c r="U45" i="55"/>
  <c r="M4" i="55"/>
  <c r="F16" i="62"/>
  <c r="E89" i="33"/>
  <c r="N42" i="68"/>
  <c r="O80" i="68"/>
  <c r="P80" i="68" s="1"/>
  <c r="Q80" i="68" s="1"/>
  <c r="R80" i="68" s="1"/>
  <c r="S80" i="68" s="1"/>
  <c r="T80" i="68" s="1"/>
  <c r="U80" i="68" s="1"/>
  <c r="V80" i="68" s="1"/>
  <c r="W80" i="68" s="1"/>
  <c r="X80" i="68" s="1"/>
  <c r="Y80" i="68" s="1"/>
  <c r="Z80" i="68" s="1"/>
  <c r="V38" i="55"/>
  <c r="P164" i="55"/>
  <c r="Q165" i="55"/>
  <c r="E21" i="66"/>
  <c r="C6" i="64"/>
  <c r="E153" i="68"/>
  <c r="F149" i="68" s="1"/>
  <c r="F153" i="68" s="1"/>
  <c r="G149" i="68" s="1"/>
  <c r="S39" i="55"/>
  <c r="V41" i="33"/>
  <c r="W41" i="33" s="1"/>
  <c r="L46" i="68"/>
  <c r="L71" i="68" s="1"/>
  <c r="L162" i="68" s="1"/>
  <c r="R7" i="33"/>
  <c r="Q18" i="55"/>
  <c r="W38" i="55"/>
  <c r="U39" i="55"/>
  <c r="F9" i="36"/>
  <c r="F7" i="36" s="1"/>
  <c r="C15" i="37" s="1"/>
  <c r="G187" i="55"/>
  <c r="G196" i="55" s="1"/>
  <c r="G198" i="55" s="1"/>
  <c r="O43" i="68"/>
  <c r="H21" i="66"/>
  <c r="Q41" i="68"/>
  <c r="L57" i="55"/>
  <c r="N188" i="68"/>
  <c r="N187" i="68"/>
  <c r="S7" i="55"/>
  <c r="S11" i="33"/>
  <c r="R29" i="55"/>
  <c r="U49" i="33"/>
  <c r="L9" i="55"/>
  <c r="P82" i="68"/>
  <c r="Q82" i="68" s="1"/>
  <c r="R82" i="68" s="1"/>
  <c r="Q84" i="68"/>
  <c r="P44" i="68"/>
  <c r="P152" i="55"/>
  <c r="Q153" i="55"/>
  <c r="V81" i="68"/>
  <c r="W81" i="68" s="1"/>
  <c r="X81" i="68" s="1"/>
  <c r="Y81" i="68" s="1"/>
  <c r="Z81" i="68" s="1"/>
  <c r="AA81" i="68" s="1"/>
  <c r="AB81" i="68" s="1"/>
  <c r="W40" i="33"/>
  <c r="X40" i="33" s="1"/>
  <c r="Q86" i="68"/>
  <c r="N79" i="68"/>
  <c r="M47" i="68"/>
  <c r="D8" i="68"/>
  <c r="H8" i="68" s="1"/>
  <c r="T5" i="55"/>
  <c r="M48" i="68"/>
  <c r="J26" i="37"/>
  <c r="G5" i="68"/>
  <c r="L40" i="28"/>
  <c r="K51" i="28"/>
  <c r="K54" i="28" s="1"/>
  <c r="L42" i="28"/>
  <c r="M37" i="28"/>
  <c r="L50" i="28"/>
  <c r="L48" i="28"/>
  <c r="N180" i="55"/>
  <c r="L41" i="28"/>
  <c r="L39" i="28"/>
  <c r="L43" i="28"/>
  <c r="L46" i="28"/>
  <c r="L45" i="28"/>
  <c r="N13" i="28"/>
  <c r="M24" i="37"/>
  <c r="N11" i="28"/>
  <c r="O9" i="28"/>
  <c r="O20" i="28" s="1"/>
  <c r="N16" i="28"/>
  <c r="N17" i="28"/>
  <c r="N18" i="28"/>
  <c r="N14" i="28"/>
  <c r="N12" i="28"/>
  <c r="N15" i="28"/>
  <c r="N10" i="28"/>
  <c r="P23" i="36"/>
  <c r="L47" i="28"/>
  <c r="P13" i="47"/>
  <c r="N38" i="66" s="1"/>
  <c r="M4" i="37"/>
  <c r="Q14" i="47"/>
  <c r="L9" i="26"/>
  <c r="M10" i="62"/>
  <c r="M41" i="66"/>
  <c r="M39" i="66"/>
  <c r="M40" i="66"/>
  <c r="U42" i="33" l="1"/>
  <c r="V42" i="33" s="1"/>
  <c r="W42" i="33" s="1"/>
  <c r="N4" i="55"/>
  <c r="K21" i="66"/>
  <c r="J15" i="37"/>
  <c r="Q62" i="33"/>
  <c r="R52" i="55" s="1"/>
  <c r="V25" i="55"/>
  <c r="W27" i="33"/>
  <c r="X27" i="33" s="1"/>
  <c r="Y25" i="55" s="1"/>
  <c r="N98" i="55"/>
  <c r="N71" i="55" s="1"/>
  <c r="N185" i="55" s="1"/>
  <c r="P22" i="36"/>
  <c r="M68" i="33"/>
  <c r="N58" i="55" s="1"/>
  <c r="L116" i="39"/>
  <c r="M32" i="40"/>
  <c r="M33" i="40" s="1"/>
  <c r="M34" i="40" s="1"/>
  <c r="M6" i="40" s="1"/>
  <c r="P10" i="36" s="1"/>
  <c r="U36" i="55"/>
  <c r="O76" i="55"/>
  <c r="O71" i="55" s="1"/>
  <c r="L6" i="41"/>
  <c r="O11" i="36" s="1"/>
  <c r="V44" i="55"/>
  <c r="V36" i="55"/>
  <c r="W38" i="33"/>
  <c r="X38" i="33" s="1"/>
  <c r="Y38" i="33" s="1"/>
  <c r="Z38" i="33" s="1"/>
  <c r="AA36" i="55" s="1"/>
  <c r="V40" i="55"/>
  <c r="H20" i="66"/>
  <c r="G88" i="33"/>
  <c r="Q48" i="33"/>
  <c r="R24" i="55"/>
  <c r="R26" i="33"/>
  <c r="R47" i="55"/>
  <c r="R51" i="33"/>
  <c r="U57" i="33"/>
  <c r="V57" i="33" s="1"/>
  <c r="O18" i="33"/>
  <c r="P17" i="55" s="1"/>
  <c r="P70" i="55"/>
  <c r="P14" i="36"/>
  <c r="AD29" i="45"/>
  <c r="AD5" i="45" s="1"/>
  <c r="N41" i="35"/>
  <c r="N40" i="35" s="1"/>
  <c r="N7" i="35" s="1"/>
  <c r="N16" i="35" s="1"/>
  <c r="Q8" i="36" s="1"/>
  <c r="M7" i="30"/>
  <c r="M16" i="30" s="1"/>
  <c r="M27" i="32"/>
  <c r="N129" i="39" s="1"/>
  <c r="N126" i="39" s="1"/>
  <c r="N41" i="30"/>
  <c r="N21" i="52"/>
  <c r="N19" i="52" s="1"/>
  <c r="N6" i="52" s="1"/>
  <c r="O30" i="33"/>
  <c r="P28" i="55" s="1"/>
  <c r="M22" i="41"/>
  <c r="P131" i="55" s="1"/>
  <c r="P127" i="55" s="1"/>
  <c r="M24" i="39"/>
  <c r="L13" i="55"/>
  <c r="M19" i="33"/>
  <c r="N15" i="55" s="1"/>
  <c r="M15" i="55"/>
  <c r="M20" i="33"/>
  <c r="M16" i="55"/>
  <c r="L15" i="33"/>
  <c r="P33" i="33"/>
  <c r="R56" i="33"/>
  <c r="Q14" i="33"/>
  <c r="R14" i="33" s="1"/>
  <c r="Q10" i="55"/>
  <c r="P48" i="33"/>
  <c r="X32" i="55"/>
  <c r="T55" i="33"/>
  <c r="U55" i="33" s="1"/>
  <c r="Z54" i="33"/>
  <c r="AA54" i="33" s="1"/>
  <c r="T64" i="33"/>
  <c r="U64" i="33" s="1"/>
  <c r="V54" i="55" s="1"/>
  <c r="M9" i="55"/>
  <c r="S54" i="55"/>
  <c r="S21" i="33"/>
  <c r="M39" i="28"/>
  <c r="M49" i="28"/>
  <c r="P112" i="55"/>
  <c r="P105" i="55" s="1"/>
  <c r="H5" i="62"/>
  <c r="N13" i="33"/>
  <c r="O13" i="33" s="1"/>
  <c r="P13" i="33" s="1"/>
  <c r="K8" i="55"/>
  <c r="K3" i="55" s="1"/>
  <c r="J5" i="33"/>
  <c r="I4" i="33"/>
  <c r="G22" i="26" s="1"/>
  <c r="N6" i="33"/>
  <c r="O4" i="55" s="1"/>
  <c r="J5" i="37"/>
  <c r="J10" i="26" s="1"/>
  <c r="J9" i="49"/>
  <c r="R31" i="55"/>
  <c r="P31" i="55"/>
  <c r="Q33" i="55"/>
  <c r="Q31" i="55" s="1"/>
  <c r="R35" i="33"/>
  <c r="N36" i="33"/>
  <c r="O43" i="33"/>
  <c r="P41" i="55" s="1"/>
  <c r="P34" i="55" s="1"/>
  <c r="N160" i="68"/>
  <c r="C50" i="68"/>
  <c r="D50" i="68" s="1"/>
  <c r="N50" i="68" s="1"/>
  <c r="S12" i="55"/>
  <c r="S9" i="33"/>
  <c r="K163" i="68"/>
  <c r="L159" i="68" s="1"/>
  <c r="L163" i="68" s="1"/>
  <c r="M159" i="68" s="1"/>
  <c r="W47" i="33"/>
  <c r="X44" i="55" s="1"/>
  <c r="Q49" i="55"/>
  <c r="Q59" i="33"/>
  <c r="R59" i="33" s="1"/>
  <c r="S49" i="55" s="1"/>
  <c r="P56" i="55"/>
  <c r="P48" i="55" s="1"/>
  <c r="O56" i="55"/>
  <c r="O48" i="55" s="1"/>
  <c r="N58" i="33"/>
  <c r="P66" i="33"/>
  <c r="L133" i="39"/>
  <c r="O9" i="36" s="1"/>
  <c r="T61" i="33"/>
  <c r="U61" i="33" s="1"/>
  <c r="V51" i="55" s="1"/>
  <c r="T20" i="55"/>
  <c r="T66" i="55" s="1"/>
  <c r="T195" i="55" s="1"/>
  <c r="K12" i="33"/>
  <c r="L12" i="33" s="1"/>
  <c r="P24" i="33"/>
  <c r="Q21" i="55" s="1"/>
  <c r="Q59" i="55"/>
  <c r="Q63" i="33"/>
  <c r="R63" i="33" s="1"/>
  <c r="T55" i="55"/>
  <c r="M173" i="68"/>
  <c r="N169" i="68" s="1"/>
  <c r="N77" i="68"/>
  <c r="O77" i="68" s="1"/>
  <c r="J21" i="66"/>
  <c r="S18" i="55"/>
  <c r="S59" i="55"/>
  <c r="V35" i="30"/>
  <c r="AL23" i="45"/>
  <c r="V35" i="35"/>
  <c r="T17" i="33"/>
  <c r="U17" i="33" s="1"/>
  <c r="V18" i="55" s="1"/>
  <c r="C90" i="68"/>
  <c r="D90" i="68" s="1"/>
  <c r="R90" i="68" s="1"/>
  <c r="AA21" i="30"/>
  <c r="AQ9" i="45"/>
  <c r="AA21" i="35"/>
  <c r="P32" i="33"/>
  <c r="Q30" i="55" s="1"/>
  <c r="P30" i="55"/>
  <c r="V31" i="30"/>
  <c r="AL19" i="45"/>
  <c r="V31" i="35"/>
  <c r="P27" i="30"/>
  <c r="P27" i="35"/>
  <c r="AF15" i="45"/>
  <c r="S24" i="30"/>
  <c r="AI12" i="45"/>
  <c r="S24" i="35"/>
  <c r="U32" i="30"/>
  <c r="U32" i="35"/>
  <c r="AK20" i="45"/>
  <c r="N26" i="41"/>
  <c r="Q133" i="55" s="1"/>
  <c r="O23" i="52"/>
  <c r="T29" i="30"/>
  <c r="T29" i="35"/>
  <c r="AJ17" i="45"/>
  <c r="X30" i="30"/>
  <c r="AN18" i="45"/>
  <c r="X30" i="35"/>
  <c r="AJ23" i="30"/>
  <c r="AJ23" i="35"/>
  <c r="AZ11" i="45"/>
  <c r="P27" i="50"/>
  <c r="O26" i="50"/>
  <c r="O38" i="50" s="1"/>
  <c r="O20" i="36" s="1"/>
  <c r="S9" i="50"/>
  <c r="R7" i="50"/>
  <c r="L34" i="40"/>
  <c r="L6" i="40" s="1"/>
  <c r="AK28" i="35"/>
  <c r="BA16" i="45"/>
  <c r="R16" i="45" s="1"/>
  <c r="N6" i="30"/>
  <c r="O19" i="30"/>
  <c r="N31" i="32"/>
  <c r="O19" i="35"/>
  <c r="O18" i="35" s="1"/>
  <c r="O6" i="35" s="1"/>
  <c r="AE7" i="45"/>
  <c r="P44" i="30"/>
  <c r="AF32" i="45"/>
  <c r="P44" i="35"/>
  <c r="P43" i="35" s="1"/>
  <c r="P8" i="35" s="1"/>
  <c r="O8" i="30"/>
  <c r="R170" i="68"/>
  <c r="S19" i="55"/>
  <c r="L185" i="55"/>
  <c r="T85" i="68"/>
  <c r="U85" i="68" s="1"/>
  <c r="Q33" i="33"/>
  <c r="K133" i="39"/>
  <c r="R59" i="55"/>
  <c r="S69" i="33"/>
  <c r="T59" i="55" s="1"/>
  <c r="P151" i="55"/>
  <c r="P22" i="55"/>
  <c r="O22" i="33"/>
  <c r="M35" i="58" s="1"/>
  <c r="M36" i="58" s="1"/>
  <c r="M21" i="37" s="1"/>
  <c r="P25" i="33"/>
  <c r="Q25" i="33" s="1"/>
  <c r="M46" i="68"/>
  <c r="N46" i="68" s="1"/>
  <c r="S45" i="33"/>
  <c r="S42" i="55"/>
  <c r="S50" i="55"/>
  <c r="P87" i="68"/>
  <c r="Q87" i="68" s="1"/>
  <c r="R87" i="68" s="1"/>
  <c r="T11" i="33"/>
  <c r="U11" i="33" s="1"/>
  <c r="U55" i="55"/>
  <c r="U65" i="33"/>
  <c r="S37" i="55"/>
  <c r="N189" i="68"/>
  <c r="S60" i="33"/>
  <c r="T60" i="33" s="1"/>
  <c r="F25" i="37"/>
  <c r="P14" i="55"/>
  <c r="R50" i="55"/>
  <c r="R37" i="55"/>
  <c r="P16" i="33"/>
  <c r="S39" i="33"/>
  <c r="J26" i="55"/>
  <c r="J64" i="55" s="1"/>
  <c r="J187" i="55" s="1"/>
  <c r="J196" i="55" s="1"/>
  <c r="J65" i="55"/>
  <c r="J194" i="55" s="1"/>
  <c r="H196" i="55"/>
  <c r="H198" i="55" s="1"/>
  <c r="F196" i="55"/>
  <c r="F198" i="55" s="1"/>
  <c r="I198" i="55"/>
  <c r="S172" i="55"/>
  <c r="R171" i="55"/>
  <c r="I6" i="68"/>
  <c r="J6" i="68" s="1"/>
  <c r="X46" i="55"/>
  <c r="X39" i="55"/>
  <c r="N48" i="68"/>
  <c r="O48" i="68" s="1"/>
  <c r="P48" i="68" s="1"/>
  <c r="T18" i="55"/>
  <c r="X38" i="55"/>
  <c r="AC81" i="68"/>
  <c r="AD81" i="68" s="1"/>
  <c r="AE81" i="68" s="1"/>
  <c r="AF81" i="68" s="1"/>
  <c r="AG81" i="68" s="1"/>
  <c r="AH81" i="68" s="1"/>
  <c r="R84" i="68"/>
  <c r="S84" i="68" s="1"/>
  <c r="S82" i="68"/>
  <c r="T82" i="68" s="1"/>
  <c r="U82" i="68" s="1"/>
  <c r="V82" i="68" s="1"/>
  <c r="W82" i="68" s="1"/>
  <c r="X82" i="68" s="1"/>
  <c r="Y82" i="68" s="1"/>
  <c r="Z82" i="68" s="1"/>
  <c r="AA82" i="68" s="1"/>
  <c r="AB82" i="68" s="1"/>
  <c r="AC82" i="68" s="1"/>
  <c r="T7" i="55"/>
  <c r="V35" i="55"/>
  <c r="V37" i="33"/>
  <c r="X50" i="33"/>
  <c r="S88" i="68"/>
  <c r="W5" i="55"/>
  <c r="U29" i="55"/>
  <c r="R89" i="68"/>
  <c r="Y32" i="55"/>
  <c r="Y40" i="33"/>
  <c r="Z40" i="33" s="1"/>
  <c r="E22" i="26"/>
  <c r="N49" i="68"/>
  <c r="Y38" i="55"/>
  <c r="R86" i="68"/>
  <c r="Q44" i="68"/>
  <c r="V45" i="55"/>
  <c r="X40" i="55"/>
  <c r="N47" i="68"/>
  <c r="S11" i="55"/>
  <c r="S7" i="33"/>
  <c r="T7" i="33" s="1"/>
  <c r="K27" i="55"/>
  <c r="J28" i="33"/>
  <c r="C10" i="68"/>
  <c r="J150" i="68"/>
  <c r="O76" i="33"/>
  <c r="K29" i="33"/>
  <c r="L29" i="33" s="1"/>
  <c r="D9" i="68"/>
  <c r="I9" i="68" s="1"/>
  <c r="O79" i="68"/>
  <c r="P79" i="68" s="1"/>
  <c r="Q79" i="68" s="1"/>
  <c r="R79" i="68" s="1"/>
  <c r="S79" i="68" s="1"/>
  <c r="T79" i="68" s="1"/>
  <c r="U79" i="68" s="1"/>
  <c r="V79" i="68" s="1"/>
  <c r="W79" i="68" s="1"/>
  <c r="X79" i="68" s="1"/>
  <c r="Y79" i="68" s="1"/>
  <c r="Z79" i="68" s="1"/>
  <c r="AA79" i="68" s="1"/>
  <c r="AB79" i="68" s="1"/>
  <c r="AC79" i="68" s="1"/>
  <c r="AD79" i="68" s="1"/>
  <c r="AE79" i="68" s="1"/>
  <c r="AF79" i="68" s="1"/>
  <c r="AG79" i="68" s="1"/>
  <c r="AH79" i="68" s="1"/>
  <c r="G35" i="68"/>
  <c r="G152" i="68" s="1"/>
  <c r="G153" i="68" s="1"/>
  <c r="H149" i="68" s="1"/>
  <c r="H5" i="68"/>
  <c r="V49" i="33"/>
  <c r="U35" i="55"/>
  <c r="O188" i="68"/>
  <c r="O187" i="68"/>
  <c r="I8" i="68"/>
  <c r="J8" i="68" s="1"/>
  <c r="R41" i="68"/>
  <c r="AA80" i="68"/>
  <c r="AB80" i="68" s="1"/>
  <c r="AC80" i="68" s="1"/>
  <c r="AD80" i="68" s="1"/>
  <c r="AE80" i="68" s="1"/>
  <c r="O42" i="68"/>
  <c r="S21" i="50"/>
  <c r="R19" i="50"/>
  <c r="M187" i="68"/>
  <c r="M188" i="68"/>
  <c r="W8" i="33"/>
  <c r="T29" i="55"/>
  <c r="Q152" i="55"/>
  <c r="R153" i="55"/>
  <c r="W40" i="55"/>
  <c r="Y34" i="33"/>
  <c r="P43" i="68"/>
  <c r="X41" i="33"/>
  <c r="V5" i="55"/>
  <c r="U31" i="33"/>
  <c r="V31" i="33" s="1"/>
  <c r="D25" i="37"/>
  <c r="W39" i="55"/>
  <c r="Q164" i="55"/>
  <c r="R165" i="55"/>
  <c r="X42" i="33"/>
  <c r="Y42" i="33" s="1"/>
  <c r="R83" i="68"/>
  <c r="S83" i="68" s="1"/>
  <c r="T83" i="68" s="1"/>
  <c r="U83" i="68" s="1"/>
  <c r="V83" i="68" s="1"/>
  <c r="W83" i="68" s="1"/>
  <c r="X83" i="68" s="1"/>
  <c r="Y83" i="68" s="1"/>
  <c r="Z83" i="68" s="1"/>
  <c r="AA83" i="68" s="1"/>
  <c r="AB83" i="68" s="1"/>
  <c r="AC83" i="68" s="1"/>
  <c r="AD83" i="68" s="1"/>
  <c r="AE83" i="68" s="1"/>
  <c r="W46" i="55"/>
  <c r="N143" i="68"/>
  <c r="N182" i="68" s="1"/>
  <c r="N183" i="68" s="1"/>
  <c r="O179" i="68" s="1"/>
  <c r="O113" i="68"/>
  <c r="Q45" i="68"/>
  <c r="R45" i="68" s="1"/>
  <c r="S45" i="68" s="1"/>
  <c r="T45" i="68" s="1"/>
  <c r="H16" i="62"/>
  <c r="G89" i="33"/>
  <c r="F27" i="26"/>
  <c r="F21" i="26"/>
  <c r="H7" i="68"/>
  <c r="I7" i="68" s="1"/>
  <c r="L51" i="28"/>
  <c r="L54" i="28" s="1"/>
  <c r="K9" i="49" s="1"/>
  <c r="N37" i="28"/>
  <c r="M50" i="28"/>
  <c r="M48" i="28"/>
  <c r="M43" i="28"/>
  <c r="M46" i="28"/>
  <c r="M44" i="28"/>
  <c r="M40" i="28"/>
  <c r="M42" i="28"/>
  <c r="M47" i="28"/>
  <c r="M45" i="28"/>
  <c r="M41" i="28"/>
  <c r="N24" i="37"/>
  <c r="O11" i="28"/>
  <c r="P9" i="28"/>
  <c r="P20" i="28" s="1"/>
  <c r="O15" i="28"/>
  <c r="O13" i="28"/>
  <c r="O16" i="28"/>
  <c r="O10" i="28"/>
  <c r="O12" i="28"/>
  <c r="O17" i="28"/>
  <c r="O14" i="28"/>
  <c r="O18" i="28"/>
  <c r="Q23" i="36"/>
  <c r="O180" i="55"/>
  <c r="N4" i="37"/>
  <c r="Q13" i="47"/>
  <c r="O38" i="66" s="1"/>
  <c r="R14" i="47"/>
  <c r="N10" i="62"/>
  <c r="M9" i="26"/>
  <c r="N41" i="66"/>
  <c r="N39" i="66"/>
  <c r="N40" i="66"/>
  <c r="R62" i="33" l="1"/>
  <c r="S62" i="33" s="1"/>
  <c r="T52" i="55" s="1"/>
  <c r="Y36" i="55"/>
  <c r="X36" i="55"/>
  <c r="X25" i="55"/>
  <c r="Y27" i="33"/>
  <c r="Z27" i="33" s="1"/>
  <c r="AA25" i="55" s="1"/>
  <c r="M67" i="33"/>
  <c r="Q22" i="36"/>
  <c r="N68" i="33"/>
  <c r="N67" i="33" s="1"/>
  <c r="N24" i="39"/>
  <c r="N25" i="39" s="1"/>
  <c r="Z36" i="55"/>
  <c r="AA38" i="33"/>
  <c r="AB38" i="33" s="1"/>
  <c r="AC36" i="55" s="1"/>
  <c r="N32" i="40"/>
  <c r="N33" i="40" s="1"/>
  <c r="N34" i="40" s="1"/>
  <c r="N6" i="40" s="1"/>
  <c r="Q10" i="36" s="1"/>
  <c r="R48" i="33"/>
  <c r="W57" i="33"/>
  <c r="X57" i="33" s="1"/>
  <c r="M6" i="41"/>
  <c r="P11" i="36" s="1"/>
  <c r="S24" i="55"/>
  <c r="S26" i="33"/>
  <c r="S47" i="55"/>
  <c r="S51" i="33"/>
  <c r="P18" i="33"/>
  <c r="Q70" i="55"/>
  <c r="Q14" i="36"/>
  <c r="AE29" i="45"/>
  <c r="AE5" i="45" s="1"/>
  <c r="O41" i="35"/>
  <c r="O40" i="35" s="1"/>
  <c r="O7" i="35" s="1"/>
  <c r="O16" i="35" s="1"/>
  <c r="R8" i="36" s="1"/>
  <c r="N7" i="30"/>
  <c r="N16" i="30" s="1"/>
  <c r="N27" i="32"/>
  <c r="O129" i="39" s="1"/>
  <c r="O126" i="39" s="1"/>
  <c r="O41" i="30"/>
  <c r="M119" i="39"/>
  <c r="M25" i="39"/>
  <c r="M26" i="39" s="1"/>
  <c r="M6" i="39" s="1"/>
  <c r="O21" i="52"/>
  <c r="O19" i="52" s="1"/>
  <c r="O6" i="52" s="1"/>
  <c r="Q13" i="36" s="1"/>
  <c r="N22" i="41"/>
  <c r="Q131" i="55" s="1"/>
  <c r="Q127" i="55" s="1"/>
  <c r="P30" i="33"/>
  <c r="Q28" i="55" s="1"/>
  <c r="U54" i="55"/>
  <c r="S56" i="33"/>
  <c r="M13" i="55"/>
  <c r="N19" i="33"/>
  <c r="O19" i="33" s="1"/>
  <c r="N16" i="55"/>
  <c r="N13" i="55" s="1"/>
  <c r="M15" i="33"/>
  <c r="N20" i="33"/>
  <c r="K65" i="55"/>
  <c r="K194" i="55" s="1"/>
  <c r="U20" i="55"/>
  <c r="U66" i="55" s="1"/>
  <c r="U195" i="55" s="1"/>
  <c r="S14" i="33"/>
  <c r="T14" i="33" s="1"/>
  <c r="S10" i="55"/>
  <c r="O9" i="55"/>
  <c r="V55" i="33"/>
  <c r="W55" i="33" s="1"/>
  <c r="R10" i="55"/>
  <c r="AB54" i="33"/>
  <c r="AC54" i="33" s="1"/>
  <c r="N43" i="28"/>
  <c r="N49" i="28"/>
  <c r="X47" i="33"/>
  <c r="Y44" i="55" s="1"/>
  <c r="T21" i="33"/>
  <c r="J4" i="33"/>
  <c r="H22" i="26" s="1"/>
  <c r="M12" i="33"/>
  <c r="L5" i="33"/>
  <c r="K20" i="66" s="1"/>
  <c r="K5" i="33"/>
  <c r="I88" i="33" s="1"/>
  <c r="I5" i="62"/>
  <c r="Q13" i="33"/>
  <c r="R13" i="33" s="1"/>
  <c r="O6" i="33"/>
  <c r="O160" i="68"/>
  <c r="P43" i="33"/>
  <c r="Q43" i="33" s="1"/>
  <c r="R41" i="55" s="1"/>
  <c r="R34" i="55" s="1"/>
  <c r="C51" i="68"/>
  <c r="D51" i="68" s="1"/>
  <c r="O51" i="68" s="1"/>
  <c r="Q24" i="33"/>
  <c r="Q22" i="33" s="1"/>
  <c r="O35" i="58" s="1"/>
  <c r="O36" i="58" s="1"/>
  <c r="O21" i="37" s="1"/>
  <c r="O36" i="33"/>
  <c r="S35" i="33"/>
  <c r="S33" i="55"/>
  <c r="I20" i="66"/>
  <c r="H88" i="33"/>
  <c r="N107" i="68"/>
  <c r="N172" i="68" s="1"/>
  <c r="N173" i="68" s="1"/>
  <c r="O169" i="68" s="1"/>
  <c r="T62" i="33"/>
  <c r="U52" i="55" s="1"/>
  <c r="T9" i="33"/>
  <c r="T12" i="55"/>
  <c r="L8" i="55"/>
  <c r="L3" i="55" s="1"/>
  <c r="S52" i="55"/>
  <c r="U51" i="55"/>
  <c r="R49" i="55"/>
  <c r="S59" i="33"/>
  <c r="Q56" i="55"/>
  <c r="Q48" i="55" s="1"/>
  <c r="P58" i="33"/>
  <c r="Q66" i="33"/>
  <c r="C91" i="68"/>
  <c r="D91" i="68" s="1"/>
  <c r="S91" i="68" s="1"/>
  <c r="V61" i="33"/>
  <c r="W61" i="33" s="1"/>
  <c r="X51" i="55" s="1"/>
  <c r="S170" i="68"/>
  <c r="T19" i="55"/>
  <c r="V17" i="33"/>
  <c r="W17" i="33" s="1"/>
  <c r="X17" i="33" s="1"/>
  <c r="Y18" i="55" s="1"/>
  <c r="L150" i="68"/>
  <c r="R151" i="68" s="1"/>
  <c r="R187" i="68" s="1"/>
  <c r="R53" i="55"/>
  <c r="M8" i="55"/>
  <c r="M3" i="55" s="1"/>
  <c r="V64" i="33"/>
  <c r="U18" i="55"/>
  <c r="M71" i="68"/>
  <c r="M162" i="68" s="1"/>
  <c r="M163" i="68" s="1"/>
  <c r="N159" i="68" s="1"/>
  <c r="R6" i="55"/>
  <c r="S53" i="55"/>
  <c r="S63" i="33"/>
  <c r="T53" i="55" s="1"/>
  <c r="N71" i="68"/>
  <c r="N162" i="68" s="1"/>
  <c r="U7" i="55"/>
  <c r="AK23" i="35"/>
  <c r="BA11" i="45"/>
  <c r="R11" i="45" s="1"/>
  <c r="W35" i="30"/>
  <c r="AM23" i="45"/>
  <c r="W35" i="35"/>
  <c r="AB21" i="30"/>
  <c r="AR9" i="45"/>
  <c r="AB21" i="35"/>
  <c r="Q44" i="30"/>
  <c r="AG32" i="45"/>
  <c r="Q44" i="35"/>
  <c r="Q43" i="35" s="1"/>
  <c r="Q8" i="35" s="1"/>
  <c r="P8" i="30"/>
  <c r="U29" i="30"/>
  <c r="AK17" i="45"/>
  <c r="U29" i="35"/>
  <c r="R33" i="33"/>
  <c r="AL20" i="45"/>
  <c r="V32" i="30"/>
  <c r="V32" i="35"/>
  <c r="S6" i="55"/>
  <c r="Q27" i="50"/>
  <c r="P26" i="50"/>
  <c r="P38" i="50" s="1"/>
  <c r="P20" i="36" s="1"/>
  <c r="W31" i="30"/>
  <c r="AM19" i="45"/>
  <c r="W31" i="35"/>
  <c r="Y30" i="30"/>
  <c r="AO18" i="45"/>
  <c r="Y30" i="35"/>
  <c r="O112" i="55"/>
  <c r="O105" i="55" s="1"/>
  <c r="O185" i="55" s="1"/>
  <c r="T69" i="33"/>
  <c r="O26" i="41"/>
  <c r="R133" i="55" s="1"/>
  <c r="P23" i="52"/>
  <c r="Q32" i="33"/>
  <c r="R30" i="55" s="1"/>
  <c r="P13" i="36"/>
  <c r="Q27" i="30"/>
  <c r="Q27" i="35"/>
  <c r="AG15" i="45"/>
  <c r="N9" i="36"/>
  <c r="O6" i="30"/>
  <c r="P19" i="30"/>
  <c r="O31" i="32"/>
  <c r="AF7" i="45"/>
  <c r="P19" i="35"/>
  <c r="P18" i="35" s="1"/>
  <c r="P6" i="35" s="1"/>
  <c r="T9" i="50"/>
  <c r="S7" i="50"/>
  <c r="T24" i="30"/>
  <c r="AJ12" i="45"/>
  <c r="T24" i="35"/>
  <c r="R22" i="55"/>
  <c r="T42" i="55"/>
  <c r="T45" i="33"/>
  <c r="U42" i="55" s="1"/>
  <c r="M189" i="68"/>
  <c r="S87" i="68"/>
  <c r="T87" i="68" s="1"/>
  <c r="U60" i="33"/>
  <c r="V60" i="33" s="1"/>
  <c r="W60" i="33" s="1"/>
  <c r="X50" i="55" s="1"/>
  <c r="Q22" i="55"/>
  <c r="P22" i="33"/>
  <c r="N35" i="58" s="1"/>
  <c r="N36" i="58" s="1"/>
  <c r="N21" i="37" s="1"/>
  <c r="R25" i="33"/>
  <c r="S25" i="33" s="1"/>
  <c r="V11" i="33"/>
  <c r="W11" i="33" s="1"/>
  <c r="X11" i="33" s="1"/>
  <c r="V7" i="55"/>
  <c r="C12" i="68"/>
  <c r="D12" i="68" s="1"/>
  <c r="L12" i="68" s="1"/>
  <c r="AF80" i="68"/>
  <c r="AG80" i="68" s="1"/>
  <c r="AH80" i="68" s="1"/>
  <c r="Y41" i="33"/>
  <c r="Z41" i="33" s="1"/>
  <c r="AA39" i="55" s="1"/>
  <c r="Q14" i="55"/>
  <c r="Q16" i="33"/>
  <c r="T50" i="55"/>
  <c r="V55" i="55"/>
  <c r="V65" i="33"/>
  <c r="W65" i="33" s="1"/>
  <c r="T37" i="55"/>
  <c r="O189" i="68"/>
  <c r="T39" i="33"/>
  <c r="U39" i="33" s="1"/>
  <c r="V37" i="55" s="1"/>
  <c r="U50" i="55"/>
  <c r="G25" i="37"/>
  <c r="K6" i="68"/>
  <c r="Q151" i="55"/>
  <c r="S89" i="68"/>
  <c r="T89" i="68" s="1"/>
  <c r="U89" i="68" s="1"/>
  <c r="T172" i="55"/>
  <c r="S171" i="55"/>
  <c r="Z40" i="55"/>
  <c r="W29" i="55"/>
  <c r="J9" i="68"/>
  <c r="K9" i="68" s="1"/>
  <c r="U11" i="55"/>
  <c r="U7" i="33"/>
  <c r="V7" i="33" s="1"/>
  <c r="W45" i="55"/>
  <c r="W49" i="33"/>
  <c r="E27" i="26"/>
  <c r="E21" i="26"/>
  <c r="U45" i="68"/>
  <c r="V45" i="68" s="1"/>
  <c r="AD82" i="68"/>
  <c r="AE82" i="68" s="1"/>
  <c r="AF82" i="68" s="1"/>
  <c r="T84" i="68"/>
  <c r="U84" i="68" s="1"/>
  <c r="V84" i="68" s="1"/>
  <c r="W84" i="68" s="1"/>
  <c r="X84" i="68" s="1"/>
  <c r="Y84" i="68" s="1"/>
  <c r="Z84" i="68" s="1"/>
  <c r="AA84" i="68" s="1"/>
  <c r="AB84" i="68" s="1"/>
  <c r="AC84" i="68" s="1"/>
  <c r="AD84" i="68" s="1"/>
  <c r="AE84" i="68" s="1"/>
  <c r="AF84" i="68" s="1"/>
  <c r="AG84" i="68" s="1"/>
  <c r="AH84" i="68" s="1"/>
  <c r="O143" i="68"/>
  <c r="O182" i="68" s="1"/>
  <c r="O183" i="68" s="1"/>
  <c r="P179" i="68" s="1"/>
  <c r="P113" i="68"/>
  <c r="AF83" i="68"/>
  <c r="AG83" i="68" s="1"/>
  <c r="AH83" i="68" s="1"/>
  <c r="M26" i="37"/>
  <c r="Z38" i="55"/>
  <c r="Y50" i="33"/>
  <c r="Z50" i="33" s="1"/>
  <c r="AA38" i="55"/>
  <c r="Y40" i="55"/>
  <c r="Z32" i="55"/>
  <c r="P42" i="68"/>
  <c r="P151" i="68"/>
  <c r="T11" i="55"/>
  <c r="R44" i="68"/>
  <c r="S44" i="68" s="1"/>
  <c r="T44" i="68" s="1"/>
  <c r="U44" i="68" s="1"/>
  <c r="V44" i="68" s="1"/>
  <c r="W44" i="68" s="1"/>
  <c r="X44" i="68" s="1"/>
  <c r="Y44" i="68" s="1"/>
  <c r="Z44" i="68" s="1"/>
  <c r="O49" i="68"/>
  <c r="P9" i="55"/>
  <c r="G27" i="26"/>
  <c r="G21" i="26"/>
  <c r="V29" i="55"/>
  <c r="M27" i="55"/>
  <c r="M26" i="55" s="1"/>
  <c r="L28" i="33"/>
  <c r="Y39" i="55"/>
  <c r="Z42" i="33"/>
  <c r="AA42" i="33" s="1"/>
  <c r="R152" i="55"/>
  <c r="S153" i="55"/>
  <c r="X5" i="55"/>
  <c r="H35" i="68"/>
  <c r="H152" i="68" s="1"/>
  <c r="F6" i="64" s="1"/>
  <c r="E6" i="64"/>
  <c r="D10" i="68"/>
  <c r="J10" i="68" s="1"/>
  <c r="S86" i="68"/>
  <c r="Q48" i="68"/>
  <c r="D21" i="66"/>
  <c r="M29" i="33"/>
  <c r="N29" i="33" s="1"/>
  <c r="Z34" i="33"/>
  <c r="W31" i="33"/>
  <c r="AA40" i="33"/>
  <c r="N57" i="55"/>
  <c r="C92" i="68"/>
  <c r="X8" i="33"/>
  <c r="Y8" i="33" s="1"/>
  <c r="V85" i="68"/>
  <c r="W85" i="68" s="1"/>
  <c r="X85" i="68" s="1"/>
  <c r="I16" i="62"/>
  <c r="H89" i="33"/>
  <c r="O50" i="68"/>
  <c r="Y46" i="55"/>
  <c r="R164" i="55"/>
  <c r="S165" i="55"/>
  <c r="L27" i="55"/>
  <c r="K28" i="33"/>
  <c r="C11" i="68"/>
  <c r="K150" i="68"/>
  <c r="Q151" i="68" s="1"/>
  <c r="P76" i="33"/>
  <c r="N26" i="37" s="1"/>
  <c r="K26" i="55"/>
  <c r="K64" i="55" s="1"/>
  <c r="K187" i="55" s="1"/>
  <c r="O46" i="68"/>
  <c r="S90" i="68"/>
  <c r="W35" i="55"/>
  <c r="W37" i="33"/>
  <c r="I5" i="68"/>
  <c r="J5" i="68" s="1"/>
  <c r="T88" i="68"/>
  <c r="U88" i="68" s="1"/>
  <c r="J7" i="68"/>
  <c r="Q76" i="33"/>
  <c r="O26" i="37" s="1"/>
  <c r="Q43" i="68"/>
  <c r="R43" i="68" s="1"/>
  <c r="S43" i="68" s="1"/>
  <c r="T43" i="68" s="1"/>
  <c r="U43" i="68" s="1"/>
  <c r="V43" i="68" s="1"/>
  <c r="T21" i="50"/>
  <c r="S19" i="50"/>
  <c r="O107" i="68"/>
  <c r="O172" i="68" s="1"/>
  <c r="P77" i="68"/>
  <c r="S41" i="68"/>
  <c r="K8" i="68"/>
  <c r="L8" i="68" s="1"/>
  <c r="O47" i="68"/>
  <c r="P47" i="68" s="1"/>
  <c r="N44" i="28"/>
  <c r="K5" i="37"/>
  <c r="N39" i="28"/>
  <c r="N45" i="28"/>
  <c r="P180" i="55"/>
  <c r="O37" i="28"/>
  <c r="N48" i="28"/>
  <c r="N50" i="28"/>
  <c r="P14" i="28"/>
  <c r="P18" i="28"/>
  <c r="Q9" i="28"/>
  <c r="Q20" i="28" s="1"/>
  <c r="O24" i="37"/>
  <c r="P11" i="28"/>
  <c r="P12" i="28"/>
  <c r="P10" i="28"/>
  <c r="P13" i="28"/>
  <c r="P17" i="28"/>
  <c r="P15" i="28"/>
  <c r="P16" i="28"/>
  <c r="R23" i="36"/>
  <c r="M51" i="28"/>
  <c r="M54" i="28" s="1"/>
  <c r="L9" i="49" s="1"/>
  <c r="N40" i="28"/>
  <c r="N41" i="28"/>
  <c r="N42" i="28"/>
  <c r="N46" i="28"/>
  <c r="N47" i="28"/>
  <c r="O41" i="66"/>
  <c r="O39" i="66"/>
  <c r="O40" i="66"/>
  <c r="O10" i="62"/>
  <c r="N9" i="26"/>
  <c r="O4" i="37"/>
  <c r="S14" i="47"/>
  <c r="R13" i="47"/>
  <c r="P38" i="66" s="1"/>
  <c r="M5" i="33" l="1"/>
  <c r="R76" i="33"/>
  <c r="Z25" i="55"/>
  <c r="AA27" i="33"/>
  <c r="O68" i="33"/>
  <c r="P68" i="33" s="1"/>
  <c r="Q68" i="33" s="1"/>
  <c r="O58" i="55"/>
  <c r="O57" i="55" s="1"/>
  <c r="N119" i="39"/>
  <c r="Q98" i="55" s="1"/>
  <c r="AC38" i="33"/>
  <c r="AD38" i="33" s="1"/>
  <c r="AE36" i="55" s="1"/>
  <c r="R22" i="36"/>
  <c r="AB36" i="55"/>
  <c r="T170" i="68"/>
  <c r="Q112" i="55"/>
  <c r="Q105" i="55" s="1"/>
  <c r="U19" i="55"/>
  <c r="V20" i="55"/>
  <c r="V66" i="55" s="1"/>
  <c r="V195" i="55" s="1"/>
  <c r="Y57" i="33"/>
  <c r="Z57" i="33" s="1"/>
  <c r="AA57" i="33" s="1"/>
  <c r="O32" i="40"/>
  <c r="O33" i="40" s="1"/>
  <c r="O34" i="40" s="1"/>
  <c r="O6" i="40" s="1"/>
  <c r="R10" i="36" s="1"/>
  <c r="S48" i="33"/>
  <c r="N6" i="41"/>
  <c r="Q11" i="36" s="1"/>
  <c r="T24" i="55"/>
  <c r="T26" i="33"/>
  <c r="T47" i="55"/>
  <c r="T51" i="33"/>
  <c r="R24" i="33"/>
  <c r="S21" i="55" s="1"/>
  <c r="W51" i="55"/>
  <c r="P76" i="55"/>
  <c r="T56" i="33"/>
  <c r="Q18" i="33"/>
  <c r="C53" i="68" s="1"/>
  <c r="D53" i="68" s="1"/>
  <c r="Q53" i="68" s="1"/>
  <c r="Q17" i="55"/>
  <c r="Y47" i="33"/>
  <c r="Z44" i="55" s="1"/>
  <c r="R70" i="55"/>
  <c r="R14" i="36"/>
  <c r="O7" i="30"/>
  <c r="O27" i="32"/>
  <c r="P129" i="39" s="1"/>
  <c r="P126" i="39" s="1"/>
  <c r="P41" i="30"/>
  <c r="AF29" i="45"/>
  <c r="AF5" i="45" s="1"/>
  <c r="P41" i="35"/>
  <c r="P40" i="35" s="1"/>
  <c r="P7" i="35" s="1"/>
  <c r="P16" i="35" s="1"/>
  <c r="S8" i="36" s="1"/>
  <c r="P21" i="52"/>
  <c r="P19" i="52" s="1"/>
  <c r="P6" i="52" s="1"/>
  <c r="R13" i="36" s="1"/>
  <c r="O22" i="41"/>
  <c r="R131" i="55" s="1"/>
  <c r="R127" i="55" s="1"/>
  <c r="Q30" i="33"/>
  <c r="R28" i="55" s="1"/>
  <c r="O16" i="30"/>
  <c r="P98" i="55"/>
  <c r="M116" i="39"/>
  <c r="M133" i="39" s="1"/>
  <c r="O24" i="39"/>
  <c r="P19" i="33"/>
  <c r="Q15" i="55" s="1"/>
  <c r="P15" i="55"/>
  <c r="O15" i="55"/>
  <c r="O16" i="55"/>
  <c r="N15" i="33"/>
  <c r="O20" i="33"/>
  <c r="P36" i="33"/>
  <c r="U14" i="33"/>
  <c r="U10" i="55"/>
  <c r="T10" i="55"/>
  <c r="J20" i="66"/>
  <c r="AD54" i="33"/>
  <c r="AE54" i="33" s="1"/>
  <c r="AF54" i="33" s="1"/>
  <c r="Q41" i="55"/>
  <c r="Q34" i="55" s="1"/>
  <c r="X61" i="33"/>
  <c r="Y61" i="33" s="1"/>
  <c r="R43" i="33"/>
  <c r="S43" i="33" s="1"/>
  <c r="S36" i="33" s="1"/>
  <c r="Q36" i="33"/>
  <c r="P160" i="68"/>
  <c r="X55" i="33"/>
  <c r="C52" i="68"/>
  <c r="D52" i="68" s="1"/>
  <c r="P52" i="68" s="1"/>
  <c r="R21" i="55"/>
  <c r="O44" i="28"/>
  <c r="O49" i="28"/>
  <c r="U21" i="33"/>
  <c r="N12" i="33"/>
  <c r="N5" i="33" s="1"/>
  <c r="N8" i="55"/>
  <c r="N3" i="55" s="1"/>
  <c r="J5" i="62"/>
  <c r="K4" i="33"/>
  <c r="L4" i="33"/>
  <c r="J22" i="26" s="1"/>
  <c r="J21" i="26" s="1"/>
  <c r="P4" i="55"/>
  <c r="P6" i="33"/>
  <c r="S13" i="33"/>
  <c r="T13" i="33" s="1"/>
  <c r="S31" i="55"/>
  <c r="U62" i="33"/>
  <c r="V62" i="33" s="1"/>
  <c r="W62" i="33" s="1"/>
  <c r="X52" i="55" s="1"/>
  <c r="T35" i="33"/>
  <c r="U35" i="33" s="1"/>
  <c r="V33" i="55" s="1"/>
  <c r="T33" i="55"/>
  <c r="O173" i="68"/>
  <c r="P169" i="68" s="1"/>
  <c r="U12" i="55"/>
  <c r="U9" i="33"/>
  <c r="T49" i="55"/>
  <c r="T59" i="33"/>
  <c r="U49" i="55" s="1"/>
  <c r="K5" i="62"/>
  <c r="J88" i="33"/>
  <c r="R66" i="33"/>
  <c r="R56" i="55"/>
  <c r="R48" i="55" s="1"/>
  <c r="Q58" i="33"/>
  <c r="X18" i="55"/>
  <c r="T63" i="33"/>
  <c r="U63" i="33" s="1"/>
  <c r="Y17" i="33"/>
  <c r="Z18" i="55" s="1"/>
  <c r="W18" i="55"/>
  <c r="R188" i="68"/>
  <c r="R189" i="68" s="1"/>
  <c r="M64" i="55"/>
  <c r="M187" i="55" s="1"/>
  <c r="M196" i="55" s="1"/>
  <c r="W54" i="55"/>
  <c r="W64" i="33"/>
  <c r="Z39" i="55"/>
  <c r="U45" i="33"/>
  <c r="V42" i="55" s="1"/>
  <c r="N163" i="68"/>
  <c r="O159" i="68" s="1"/>
  <c r="V50" i="55"/>
  <c r="P6" i="30"/>
  <c r="Q19" i="30"/>
  <c r="P31" i="32"/>
  <c r="Q19" i="35"/>
  <c r="Q18" i="35" s="1"/>
  <c r="Q6" i="35" s="1"/>
  <c r="AG7" i="45"/>
  <c r="U6" i="55"/>
  <c r="T6" i="55"/>
  <c r="X35" i="30"/>
  <c r="AN23" i="45"/>
  <c r="X35" i="35"/>
  <c r="AC21" i="30"/>
  <c r="AS9" i="45"/>
  <c r="AC21" i="35"/>
  <c r="O10" i="36"/>
  <c r="U24" i="30"/>
  <c r="AK12" i="45"/>
  <c r="U24" i="35"/>
  <c r="U9" i="50"/>
  <c r="T7" i="50"/>
  <c r="N26" i="39"/>
  <c r="N6" i="39" s="1"/>
  <c r="N7" i="36"/>
  <c r="K15" i="37" s="1"/>
  <c r="W7" i="55"/>
  <c r="W45" i="68"/>
  <c r="X45" i="68" s="1"/>
  <c r="Y45" i="68" s="1"/>
  <c r="R27" i="30"/>
  <c r="AH15" i="45"/>
  <c r="R27" i="35"/>
  <c r="Q26" i="50"/>
  <c r="Q38" i="50" s="1"/>
  <c r="Q20" i="36" s="1"/>
  <c r="R27" i="50"/>
  <c r="V29" i="30"/>
  <c r="AL17" i="45"/>
  <c r="V29" i="35"/>
  <c r="S33" i="33"/>
  <c r="R44" i="30"/>
  <c r="R44" i="35"/>
  <c r="R43" i="35" s="1"/>
  <c r="R8" i="35" s="1"/>
  <c r="AH32" i="45"/>
  <c r="Q8" i="30"/>
  <c r="U69" i="33"/>
  <c r="V69" i="33" s="1"/>
  <c r="U59" i="55"/>
  <c r="X31" i="30"/>
  <c r="AN19" i="45"/>
  <c r="X31" i="35"/>
  <c r="M150" i="68"/>
  <c r="S151" i="68" s="1"/>
  <c r="S188" i="68" s="1"/>
  <c r="Q23" i="52"/>
  <c r="P26" i="41"/>
  <c r="S133" i="55" s="1"/>
  <c r="R32" i="33"/>
  <c r="Z30" i="30"/>
  <c r="AP18" i="45"/>
  <c r="Z30" i="35"/>
  <c r="W32" i="30"/>
  <c r="W32" i="35"/>
  <c r="AM20" i="45"/>
  <c r="T22" i="55"/>
  <c r="T25" i="33"/>
  <c r="P26" i="37"/>
  <c r="C13" i="68"/>
  <c r="D13" i="68" s="1"/>
  <c r="M13" i="68" s="1"/>
  <c r="S22" i="55"/>
  <c r="X55" i="55"/>
  <c r="X65" i="33"/>
  <c r="Y65" i="33" s="1"/>
  <c r="W50" i="55"/>
  <c r="X60" i="33"/>
  <c r="Y60" i="33" s="1"/>
  <c r="W55" i="55"/>
  <c r="R14" i="55"/>
  <c r="V39" i="33"/>
  <c r="U37" i="55"/>
  <c r="R16" i="33"/>
  <c r="AA41" i="33"/>
  <c r="AB39" i="55" s="1"/>
  <c r="L26" i="55"/>
  <c r="L64" i="55" s="1"/>
  <c r="L187" i="55" s="1"/>
  <c r="L196" i="55" s="1"/>
  <c r="L65" i="55"/>
  <c r="L194" i="55" s="1"/>
  <c r="M65" i="55"/>
  <c r="M194" i="55" s="1"/>
  <c r="J198" i="55"/>
  <c r="K196" i="55"/>
  <c r="K198" i="55" s="1"/>
  <c r="Y85" i="68"/>
  <c r="Z85" i="68" s="1"/>
  <c r="AA85" i="68" s="1"/>
  <c r="AB85" i="68" s="1"/>
  <c r="AC85" i="68" s="1"/>
  <c r="AD85" i="68" s="1"/>
  <c r="AE85" i="68" s="1"/>
  <c r="AF85" i="68" s="1"/>
  <c r="AG85" i="68" s="1"/>
  <c r="AH85" i="68" s="1"/>
  <c r="L6" i="68"/>
  <c r="W43" i="68"/>
  <c r="X43" i="68" s="1"/>
  <c r="Y43" i="68" s="1"/>
  <c r="Z43" i="68" s="1"/>
  <c r="AA43" i="68" s="1"/>
  <c r="AB43" i="68" s="1"/>
  <c r="AC43" i="68" s="1"/>
  <c r="AD43" i="68" s="1"/>
  <c r="AE43" i="68" s="1"/>
  <c r="AF43" i="68" s="1"/>
  <c r="AG43" i="68" s="1"/>
  <c r="AH43" i="68" s="1"/>
  <c r="AG82" i="68"/>
  <c r="AH82" i="68" s="1"/>
  <c r="V89" i="68"/>
  <c r="W89" i="68" s="1"/>
  <c r="L9" i="68"/>
  <c r="M9" i="68" s="1"/>
  <c r="J35" i="68"/>
  <c r="J152" i="68" s="1"/>
  <c r="H6" i="64" s="1"/>
  <c r="U172" i="55"/>
  <c r="T171" i="55"/>
  <c r="K10" i="26"/>
  <c r="R9" i="55"/>
  <c r="T91" i="68"/>
  <c r="M12" i="68"/>
  <c r="N12" i="68" s="1"/>
  <c r="D92" i="68"/>
  <c r="T92" i="68" s="1"/>
  <c r="AA32" i="55"/>
  <c r="AA34" i="33"/>
  <c r="AB34" i="33" s="1"/>
  <c r="Z5" i="55"/>
  <c r="AA40" i="55"/>
  <c r="Q47" i="68"/>
  <c r="R47" i="68" s="1"/>
  <c r="S47" i="68" s="1"/>
  <c r="T47" i="68" s="1"/>
  <c r="U47" i="68" s="1"/>
  <c r="V47" i="68" s="1"/>
  <c r="P187" i="68"/>
  <c r="P188" i="68"/>
  <c r="W11" i="55"/>
  <c r="P107" i="68"/>
  <c r="P172" i="68" s="1"/>
  <c r="Q77" i="68"/>
  <c r="X37" i="33"/>
  <c r="Y37" i="33" s="1"/>
  <c r="Z37" i="33" s="1"/>
  <c r="J16" i="62"/>
  <c r="I89" i="33"/>
  <c r="T165" i="55"/>
  <c r="S164" i="55"/>
  <c r="AB38" i="55"/>
  <c r="AA46" i="55"/>
  <c r="V11" i="55"/>
  <c r="AB40" i="33"/>
  <c r="AC40" i="33" s="1"/>
  <c r="AD40" i="33" s="1"/>
  <c r="R48" i="68"/>
  <c r="S48" i="68" s="1"/>
  <c r="T48" i="68" s="1"/>
  <c r="U48" i="68" s="1"/>
  <c r="H153" i="68"/>
  <c r="I149" i="68" s="1"/>
  <c r="O27" i="55"/>
  <c r="O26" i="55" s="1"/>
  <c r="N28" i="33"/>
  <c r="L5" i="62"/>
  <c r="L20" i="66"/>
  <c r="K88" i="33"/>
  <c r="I35" i="68"/>
  <c r="I152" i="68" s="1"/>
  <c r="G6" i="64" s="1"/>
  <c r="K5" i="68"/>
  <c r="L5" i="68" s="1"/>
  <c r="M5" i="68" s="1"/>
  <c r="H25" i="37"/>
  <c r="AB40" i="55"/>
  <c r="X7" i="55"/>
  <c r="K7" i="68"/>
  <c r="L7" i="68" s="1"/>
  <c r="M7" i="68" s="1"/>
  <c r="X35" i="55"/>
  <c r="H27" i="26"/>
  <c r="H21" i="26"/>
  <c r="N27" i="55"/>
  <c r="M28" i="33"/>
  <c r="Y7" i="55"/>
  <c r="O29" i="33"/>
  <c r="P29" i="33" s="1"/>
  <c r="AA44" i="68"/>
  <c r="AB44" i="68" s="1"/>
  <c r="AC44" i="68" s="1"/>
  <c r="AD44" i="68" s="1"/>
  <c r="O71" i="68"/>
  <c r="O162" i="68" s="1"/>
  <c r="X45" i="55"/>
  <c r="X49" i="33"/>
  <c r="Y49" i="33" s="1"/>
  <c r="Z49" i="33" s="1"/>
  <c r="Y11" i="33"/>
  <c r="Z11" i="33" s="1"/>
  <c r="W7" i="33"/>
  <c r="X7" i="33" s="1"/>
  <c r="U21" i="50"/>
  <c r="T19" i="50"/>
  <c r="O67" i="33"/>
  <c r="K10" i="68"/>
  <c r="K16" i="62"/>
  <c r="J89" i="33"/>
  <c r="Q42" i="68"/>
  <c r="P143" i="68"/>
  <c r="P182" i="68" s="1"/>
  <c r="P183" i="68" s="1"/>
  <c r="Q179" i="68" s="1"/>
  <c r="Q113" i="68"/>
  <c r="M8" i="68"/>
  <c r="N8" i="68" s="1"/>
  <c r="O8" i="68" s="1"/>
  <c r="P51" i="68"/>
  <c r="Y5" i="55"/>
  <c r="Z8" i="33"/>
  <c r="AB42" i="33"/>
  <c r="AC42" i="33" s="1"/>
  <c r="Z46" i="55"/>
  <c r="AA50" i="33"/>
  <c r="AB50" i="33" s="1"/>
  <c r="U87" i="68"/>
  <c r="P49" i="68"/>
  <c r="V88" i="68"/>
  <c r="Q9" i="55"/>
  <c r="T90" i="68"/>
  <c r="Q187" i="68"/>
  <c r="Q188" i="68"/>
  <c r="P50" i="68"/>
  <c r="X29" i="55"/>
  <c r="T86" i="68"/>
  <c r="U86" i="68" s="1"/>
  <c r="T153" i="55"/>
  <c r="S152" i="55"/>
  <c r="X31" i="33"/>
  <c r="T41" i="68"/>
  <c r="D11" i="68"/>
  <c r="K11" i="68" s="1"/>
  <c r="P46" i="68"/>
  <c r="Q46" i="68" s="1"/>
  <c r="R46" i="68" s="1"/>
  <c r="S46" i="68" s="1"/>
  <c r="T46" i="68" s="1"/>
  <c r="U46" i="68" s="1"/>
  <c r="V46" i="68" s="1"/>
  <c r="W46" i="68" s="1"/>
  <c r="X46" i="68" s="1"/>
  <c r="Y46" i="68" s="1"/>
  <c r="Z46" i="68" s="1"/>
  <c r="AA46" i="68" s="1"/>
  <c r="AB46" i="68" s="1"/>
  <c r="AC46" i="68" s="1"/>
  <c r="AD46" i="68" s="1"/>
  <c r="AE46" i="68" s="1"/>
  <c r="AF46" i="68" s="1"/>
  <c r="AG46" i="68" s="1"/>
  <c r="AH46" i="68" s="1"/>
  <c r="R151" i="55"/>
  <c r="O43" i="28"/>
  <c r="O40" i="28"/>
  <c r="O41" i="28"/>
  <c r="O39" i="28"/>
  <c r="O47" i="28"/>
  <c r="N51" i="28"/>
  <c r="N54" i="28" s="1"/>
  <c r="O46" i="28"/>
  <c r="O45" i="28"/>
  <c r="Q180" i="55"/>
  <c r="Q14" i="28"/>
  <c r="R9" i="28"/>
  <c r="R20" i="28" s="1"/>
  <c r="Q17" i="28"/>
  <c r="P24" i="37"/>
  <c r="Q13" i="28"/>
  <c r="Q16" i="28"/>
  <c r="Q12" i="28"/>
  <c r="Q15" i="28"/>
  <c r="Q11" i="28"/>
  <c r="Q18" i="28"/>
  <c r="Q10" i="28"/>
  <c r="S23" i="36"/>
  <c r="O50" i="28"/>
  <c r="O48" i="28"/>
  <c r="P37" i="28"/>
  <c r="L5" i="37"/>
  <c r="O42" i="28"/>
  <c r="P4" i="37"/>
  <c r="T14" i="47"/>
  <c r="S13" i="47"/>
  <c r="Q38" i="66" s="1"/>
  <c r="P10" i="62"/>
  <c r="O9" i="26"/>
  <c r="P41" i="66"/>
  <c r="P39" i="66"/>
  <c r="P40" i="66"/>
  <c r="N116" i="39" l="1"/>
  <c r="P58" i="55"/>
  <c r="P57" i="55" s="1"/>
  <c r="AB25" i="55"/>
  <c r="AB27" i="33"/>
  <c r="P71" i="55"/>
  <c r="P185" i="55" s="1"/>
  <c r="AE38" i="33"/>
  <c r="AF38" i="33" s="1"/>
  <c r="AG36" i="55" s="1"/>
  <c r="AD36" i="55"/>
  <c r="C93" i="68"/>
  <c r="D93" i="68" s="1"/>
  <c r="U93" i="68" s="1"/>
  <c r="U170" i="68"/>
  <c r="V19" i="55"/>
  <c r="W20" i="55"/>
  <c r="R112" i="55"/>
  <c r="R105" i="55" s="1"/>
  <c r="R22" i="33"/>
  <c r="P35" i="58" s="1"/>
  <c r="P36" i="58" s="1"/>
  <c r="P21" i="37" s="1"/>
  <c r="P32" i="40"/>
  <c r="P33" i="40" s="1"/>
  <c r="P34" i="40" s="1"/>
  <c r="P6" i="40" s="1"/>
  <c r="Z47" i="33"/>
  <c r="AA44" i="55" s="1"/>
  <c r="AB57" i="33"/>
  <c r="AC57" i="33" s="1"/>
  <c r="Y51" i="55"/>
  <c r="S22" i="36"/>
  <c r="Q160" i="68"/>
  <c r="O6" i="41"/>
  <c r="R11" i="36" s="1"/>
  <c r="S24" i="33"/>
  <c r="T21" i="55" s="1"/>
  <c r="U24" i="55"/>
  <c r="U26" i="33"/>
  <c r="U51" i="33"/>
  <c r="U47" i="55"/>
  <c r="R18" i="33"/>
  <c r="C54" i="68" s="1"/>
  <c r="D54" i="68" s="1"/>
  <c r="R54" i="68" s="1"/>
  <c r="R17" i="55"/>
  <c r="U56" i="33"/>
  <c r="T48" i="33"/>
  <c r="S14" i="36"/>
  <c r="S70" i="55"/>
  <c r="P27" i="32"/>
  <c r="Q129" i="39" s="1"/>
  <c r="Q126" i="39" s="1"/>
  <c r="P7" i="30"/>
  <c r="P16" i="30" s="1"/>
  <c r="Q41" i="30"/>
  <c r="Q41" i="35"/>
  <c r="Q40" i="35" s="1"/>
  <c r="Q7" i="35" s="1"/>
  <c r="Q16" i="35" s="1"/>
  <c r="T8" i="36" s="1"/>
  <c r="AG29" i="45"/>
  <c r="AG5" i="45" s="1"/>
  <c r="Q21" i="52"/>
  <c r="Q19" i="52" s="1"/>
  <c r="Q6" i="52" s="1"/>
  <c r="S13" i="36" s="1"/>
  <c r="P22" i="41"/>
  <c r="S131" i="55" s="1"/>
  <c r="S127" i="55" s="1"/>
  <c r="R30" i="33"/>
  <c r="S28" i="55" s="1"/>
  <c r="O25" i="39"/>
  <c r="O26" i="39" s="1"/>
  <c r="O119" i="39"/>
  <c r="P24" i="39"/>
  <c r="T41" i="55"/>
  <c r="T34" i="55" s="1"/>
  <c r="R36" i="33"/>
  <c r="N65" i="55"/>
  <c r="N194" i="55" s="1"/>
  <c r="S41" i="55"/>
  <c r="S34" i="55" s="1"/>
  <c r="T43" i="33"/>
  <c r="U41" i="55" s="1"/>
  <c r="O13" i="55"/>
  <c r="Q19" i="33"/>
  <c r="R19" i="33" s="1"/>
  <c r="P16" i="55"/>
  <c r="P13" i="55" s="1"/>
  <c r="O15" i="33"/>
  <c r="P20" i="33"/>
  <c r="Q20" i="33" s="1"/>
  <c r="C14" i="68"/>
  <c r="D14" i="68" s="1"/>
  <c r="N14" i="68" s="1"/>
  <c r="N4" i="33"/>
  <c r="L22" i="26" s="1"/>
  <c r="V14" i="33"/>
  <c r="V10" i="55"/>
  <c r="V52" i="55"/>
  <c r="Y55" i="33"/>
  <c r="AG54" i="33"/>
  <c r="AH54" i="33" s="1"/>
  <c r="V21" i="33"/>
  <c r="P47" i="28"/>
  <c r="P49" i="28"/>
  <c r="N150" i="68"/>
  <c r="T151" i="68" s="1"/>
  <c r="T187" i="68" s="1"/>
  <c r="O8" i="55"/>
  <c r="O3" i="55" s="1"/>
  <c r="O12" i="33"/>
  <c r="P12" i="33" s="1"/>
  <c r="P5" i="33" s="1"/>
  <c r="S76" i="33"/>
  <c r="Q26" i="37" s="1"/>
  <c r="U13" i="33"/>
  <c r="V13" i="33" s="1"/>
  <c r="Q6" i="33"/>
  <c r="Q4" i="55"/>
  <c r="M4" i="33"/>
  <c r="K22" i="26" s="1"/>
  <c r="K27" i="26" s="1"/>
  <c r="M5" i="37"/>
  <c r="M10" i="26" s="1"/>
  <c r="M9" i="49"/>
  <c r="J27" i="26"/>
  <c r="T31" i="55"/>
  <c r="P173" i="68"/>
  <c r="Q169" i="68" s="1"/>
  <c r="Z17" i="33"/>
  <c r="AA18" i="55" s="1"/>
  <c r="U33" i="55"/>
  <c r="V35" i="33"/>
  <c r="V12" i="55"/>
  <c r="V9" i="33"/>
  <c r="U59" i="33"/>
  <c r="J25" i="37"/>
  <c r="V63" i="33"/>
  <c r="W53" i="55" s="1"/>
  <c r="V53" i="55"/>
  <c r="U53" i="55"/>
  <c r="W52" i="55"/>
  <c r="X62" i="33"/>
  <c r="S56" i="55"/>
  <c r="S48" i="55" s="1"/>
  <c r="R58" i="33"/>
  <c r="S66" i="33"/>
  <c r="O163" i="68"/>
  <c r="P159" i="68" s="1"/>
  <c r="X64" i="33"/>
  <c r="Y64" i="33" s="1"/>
  <c r="X54" i="55"/>
  <c r="S187" i="68"/>
  <c r="S189" i="68" s="1"/>
  <c r="V45" i="33"/>
  <c r="W42" i="55" s="1"/>
  <c r="Z45" i="68"/>
  <c r="AA45" i="68" s="1"/>
  <c r="AB45" i="68" s="1"/>
  <c r="AC45" i="68" s="1"/>
  <c r="AD45" i="68" s="1"/>
  <c r="AE45" i="68" s="1"/>
  <c r="AF45" i="68" s="1"/>
  <c r="AG45" i="68" s="1"/>
  <c r="AH45" i="68" s="1"/>
  <c r="V6" i="55"/>
  <c r="V9" i="50"/>
  <c r="U7" i="50"/>
  <c r="V24" i="30"/>
  <c r="AL12" i="45"/>
  <c r="V24" i="35"/>
  <c r="R19" i="30"/>
  <c r="Q31" i="32"/>
  <c r="Q6" i="30"/>
  <c r="AH7" i="45"/>
  <c r="R19" i="35"/>
  <c r="R18" i="35" s="1"/>
  <c r="R6" i="35" s="1"/>
  <c r="O7" i="36"/>
  <c r="L15" i="37" s="1"/>
  <c r="L21" i="66"/>
  <c r="P9" i="36"/>
  <c r="W29" i="30"/>
  <c r="W29" i="35"/>
  <c r="AM17" i="45"/>
  <c r="R26" i="50"/>
  <c r="R38" i="50" s="1"/>
  <c r="R20" i="36" s="1"/>
  <c r="S27" i="50"/>
  <c r="X32" i="30"/>
  <c r="AN20" i="45"/>
  <c r="X32" i="35"/>
  <c r="S27" i="30"/>
  <c r="AI15" i="45"/>
  <c r="S27" i="35"/>
  <c r="S44" i="30"/>
  <c r="AI32" i="45"/>
  <c r="S44" i="35"/>
  <c r="S43" i="35" s="1"/>
  <c r="S8" i="35" s="1"/>
  <c r="R8" i="30"/>
  <c r="T33" i="33"/>
  <c r="Q76" i="55"/>
  <c r="Q71" i="55" s="1"/>
  <c r="Q185" i="55" s="1"/>
  <c r="AD21" i="30"/>
  <c r="AT9" i="45"/>
  <c r="AD21" i="35"/>
  <c r="Y35" i="30"/>
  <c r="Y35" i="35"/>
  <c r="AO23" i="45"/>
  <c r="Y31" i="30"/>
  <c r="AO19" i="45"/>
  <c r="Y31" i="35"/>
  <c r="W69" i="33"/>
  <c r="W59" i="55"/>
  <c r="Q26" i="41"/>
  <c r="T133" i="55" s="1"/>
  <c r="R23" i="52"/>
  <c r="AA30" i="30"/>
  <c r="AQ18" i="45"/>
  <c r="AA30" i="35"/>
  <c r="S32" i="33"/>
  <c r="T30" i="55" s="1"/>
  <c r="S30" i="55"/>
  <c r="V59" i="55"/>
  <c r="U25" i="33"/>
  <c r="U22" i="55"/>
  <c r="Z55" i="55"/>
  <c r="Z65" i="33"/>
  <c r="AA65" i="33" s="1"/>
  <c r="AB55" i="55" s="1"/>
  <c r="AA8" i="33"/>
  <c r="AB5" i="55" s="1"/>
  <c r="Y55" i="55"/>
  <c r="Z60" i="33"/>
  <c r="Z50" i="55"/>
  <c r="W66" i="55"/>
  <c r="W195" i="55" s="1"/>
  <c r="W19" i="55"/>
  <c r="AA37" i="33"/>
  <c r="AB35" i="55" s="1"/>
  <c r="AB41" i="33"/>
  <c r="AC41" i="33" s="1"/>
  <c r="AD39" i="55" s="1"/>
  <c r="W37" i="55"/>
  <c r="W39" i="33"/>
  <c r="X39" i="33" s="1"/>
  <c r="Y37" i="55" s="1"/>
  <c r="Y50" i="55"/>
  <c r="AC34" i="33"/>
  <c r="AD32" i="55" s="1"/>
  <c r="S14" i="55"/>
  <c r="S16" i="33"/>
  <c r="I25" i="37"/>
  <c r="L198" i="55"/>
  <c r="S151" i="55"/>
  <c r="P8" i="68"/>
  <c r="Q8" i="68" s="1"/>
  <c r="AE44" i="68"/>
  <c r="AF44" i="68" s="1"/>
  <c r="AG44" i="68" s="1"/>
  <c r="AH44" i="68" s="1"/>
  <c r="X89" i="68"/>
  <c r="Y89" i="68" s="1"/>
  <c r="V172" i="55"/>
  <c r="U171" i="55"/>
  <c r="M6" i="68"/>
  <c r="N13" i="68"/>
  <c r="V48" i="68"/>
  <c r="W48" i="68" s="1"/>
  <c r="R53" i="68"/>
  <c r="S53" i="68" s="1"/>
  <c r="T53" i="68" s="1"/>
  <c r="R58" i="55"/>
  <c r="R57" i="55" s="1"/>
  <c r="Q67" i="33"/>
  <c r="R68" i="33"/>
  <c r="S68" i="33" s="1"/>
  <c r="T68" i="33" s="1"/>
  <c r="W88" i="68"/>
  <c r="Z51" i="55"/>
  <c r="Z61" i="33"/>
  <c r="AA61" i="33" s="1"/>
  <c r="K35" i="68"/>
  <c r="K152" i="68" s="1"/>
  <c r="I153" i="68"/>
  <c r="J149" i="68" s="1"/>
  <c r="J153" i="68" s="1"/>
  <c r="K149" i="68" s="1"/>
  <c r="AA7" i="55"/>
  <c r="U19" i="50"/>
  <c r="V21" i="50"/>
  <c r="AA35" i="55"/>
  <c r="L11" i="68"/>
  <c r="M11" i="68" s="1"/>
  <c r="AA5" i="55"/>
  <c r="U90" i="68"/>
  <c r="V90" i="68" s="1"/>
  <c r="Z35" i="55"/>
  <c r="AC38" i="55"/>
  <c r="AE40" i="33"/>
  <c r="AF40" i="33" s="1"/>
  <c r="S9" i="55"/>
  <c r="Y29" i="55"/>
  <c r="W47" i="68"/>
  <c r="X47" i="68" s="1"/>
  <c r="Y47" i="68" s="1"/>
  <c r="Z47" i="68" s="1"/>
  <c r="AA47" i="68" s="1"/>
  <c r="AB47" i="68" s="1"/>
  <c r="AC47" i="68" s="1"/>
  <c r="AD47" i="68" s="1"/>
  <c r="AE47" i="68" s="1"/>
  <c r="AF47" i="68" s="1"/>
  <c r="AG47" i="68" s="1"/>
  <c r="AH47" i="68" s="1"/>
  <c r="AC46" i="55"/>
  <c r="Q143" i="68"/>
  <c r="Q182" i="68" s="1"/>
  <c r="Q183" i="68" s="1"/>
  <c r="R179" i="68" s="1"/>
  <c r="R113" i="68"/>
  <c r="L10" i="68"/>
  <c r="M10" i="68" s="1"/>
  <c r="AA45" i="55"/>
  <c r="Q27" i="55"/>
  <c r="Q26" i="55" s="1"/>
  <c r="P28" i="33"/>
  <c r="Y11" i="55"/>
  <c r="U92" i="68"/>
  <c r="V92" i="68" s="1"/>
  <c r="Q50" i="68"/>
  <c r="R50" i="68" s="1"/>
  <c r="S50" i="68" s="1"/>
  <c r="V86" i="68"/>
  <c r="W86" i="68" s="1"/>
  <c r="AB46" i="55"/>
  <c r="AC32" i="55"/>
  <c r="Q51" i="68"/>
  <c r="M20" i="66"/>
  <c r="M5" i="62"/>
  <c r="L88" i="33"/>
  <c r="Y45" i="55"/>
  <c r="AA49" i="33"/>
  <c r="AD38" i="55"/>
  <c r="L16" i="62"/>
  <c r="K89" i="33"/>
  <c r="N7" i="68"/>
  <c r="N5" i="68"/>
  <c r="O5" i="68" s="1"/>
  <c r="N9" i="68"/>
  <c r="T9" i="55"/>
  <c r="U153" i="55"/>
  <c r="T152" i="55"/>
  <c r="V87" i="68"/>
  <c r="C94" i="68"/>
  <c r="V170" i="68"/>
  <c r="X20" i="55"/>
  <c r="X11" i="55"/>
  <c r="Y7" i="33"/>
  <c r="Z7" i="33" s="1"/>
  <c r="AA7" i="33" s="1"/>
  <c r="Z45" i="55"/>
  <c r="P27" i="55"/>
  <c r="P26" i="55" s="1"/>
  <c r="O28" i="33"/>
  <c r="N26" i="55"/>
  <c r="N64" i="55" s="1"/>
  <c r="N187" i="55" s="1"/>
  <c r="N196" i="55" s="1"/>
  <c r="Q52" i="68"/>
  <c r="R52" i="68" s="1"/>
  <c r="Q29" i="33"/>
  <c r="Q58" i="55"/>
  <c r="Q57" i="55" s="1"/>
  <c r="P67" i="33"/>
  <c r="P189" i="68"/>
  <c r="Q49" i="68"/>
  <c r="P71" i="68"/>
  <c r="P162" i="68" s="1"/>
  <c r="Z7" i="55"/>
  <c r="AA11" i="33"/>
  <c r="AE38" i="55"/>
  <c r="M16" i="62"/>
  <c r="L89" i="33"/>
  <c r="U165" i="55"/>
  <c r="T164" i="55"/>
  <c r="Y35" i="55"/>
  <c r="AB32" i="55"/>
  <c r="Y31" i="33"/>
  <c r="U41" i="68"/>
  <c r="AD40" i="55"/>
  <c r="Q189" i="68"/>
  <c r="AC40" i="55"/>
  <c r="R42" i="68"/>
  <c r="I22" i="26"/>
  <c r="Q107" i="68"/>
  <c r="Q172" i="68" s="1"/>
  <c r="R77" i="68"/>
  <c r="AD42" i="33"/>
  <c r="AE42" i="33" s="1"/>
  <c r="AF42" i="33" s="1"/>
  <c r="O12" i="68"/>
  <c r="AC50" i="33"/>
  <c r="U91" i="68"/>
  <c r="V91" i="68" s="1"/>
  <c r="P39" i="28"/>
  <c r="P40" i="28"/>
  <c r="P44" i="28"/>
  <c r="O51" i="28"/>
  <c r="O54" i="28" s="1"/>
  <c r="N9" i="49" s="1"/>
  <c r="P41" i="28"/>
  <c r="P43" i="28"/>
  <c r="R16" i="28"/>
  <c r="R13" i="28"/>
  <c r="S9" i="28"/>
  <c r="S20" i="28" s="1"/>
  <c r="Q24" i="37"/>
  <c r="R10" i="28"/>
  <c r="R11" i="28"/>
  <c r="R17" i="28"/>
  <c r="R12" i="28"/>
  <c r="R14" i="28"/>
  <c r="R18" i="28"/>
  <c r="R15" i="28"/>
  <c r="T23" i="36"/>
  <c r="L10" i="26"/>
  <c r="P50" i="28"/>
  <c r="P48" i="28"/>
  <c r="Q37" i="28"/>
  <c r="P42" i="28"/>
  <c r="P45" i="28"/>
  <c r="R180" i="55"/>
  <c r="P46" i="28"/>
  <c r="Q4" i="37"/>
  <c r="U14" i="47"/>
  <c r="T13" i="47"/>
  <c r="R38" i="66" s="1"/>
  <c r="Q10" i="62"/>
  <c r="P9" i="26"/>
  <c r="Q40" i="66"/>
  <c r="Q41" i="66"/>
  <c r="Q39" i="66"/>
  <c r="R6" i="33" l="1"/>
  <c r="S6" i="33" s="1"/>
  <c r="Q32" i="40"/>
  <c r="Q33" i="40" s="1"/>
  <c r="Q34" i="40" s="1"/>
  <c r="Q6" i="40" s="1"/>
  <c r="AF36" i="55"/>
  <c r="AC27" i="33"/>
  <c r="AC25" i="55"/>
  <c r="S112" i="55"/>
  <c r="S105" i="55" s="1"/>
  <c r="AG38" i="33"/>
  <c r="AH38" i="33" s="1"/>
  <c r="AI36" i="55" s="1"/>
  <c r="T24" i="33"/>
  <c r="U21" i="55" s="1"/>
  <c r="AA47" i="33"/>
  <c r="AB47" i="33" s="1"/>
  <c r="AC44" i="55" s="1"/>
  <c r="AD57" i="33"/>
  <c r="AE57" i="33" s="1"/>
  <c r="S22" i="33"/>
  <c r="Q35" i="58" s="1"/>
  <c r="Q36" i="58" s="1"/>
  <c r="Q21" i="37" s="1"/>
  <c r="P6" i="41"/>
  <c r="S11" i="36" s="1"/>
  <c r="T22" i="36"/>
  <c r="T36" i="33"/>
  <c r="U43" i="33"/>
  <c r="V41" i="55" s="1"/>
  <c r="U34" i="55"/>
  <c r="R160" i="68"/>
  <c r="V26" i="33"/>
  <c r="V24" i="55"/>
  <c r="V51" i="33"/>
  <c r="W51" i="33" s="1"/>
  <c r="X47" i="55" s="1"/>
  <c r="V47" i="55"/>
  <c r="S17" i="55"/>
  <c r="U48" i="33"/>
  <c r="V56" i="33"/>
  <c r="S18" i="33"/>
  <c r="T14" i="36"/>
  <c r="T70" i="55"/>
  <c r="P25" i="39"/>
  <c r="P26" i="39" s="1"/>
  <c r="P119" i="39"/>
  <c r="R98" i="55"/>
  <c r="O116" i="39"/>
  <c r="Q7" i="30"/>
  <c r="Q16" i="30" s="1"/>
  <c r="R41" i="30"/>
  <c r="R41" i="35"/>
  <c r="R40" i="35" s="1"/>
  <c r="R7" i="35" s="1"/>
  <c r="R16" i="35" s="1"/>
  <c r="U8" i="36" s="1"/>
  <c r="AH29" i="45"/>
  <c r="AH5" i="45" s="1"/>
  <c r="U70" i="55" s="1"/>
  <c r="Q27" i="32"/>
  <c r="R129" i="39" s="1"/>
  <c r="R126" i="39" s="1"/>
  <c r="O6" i="39"/>
  <c r="R76" i="55"/>
  <c r="R21" i="52"/>
  <c r="R19" i="52" s="1"/>
  <c r="R6" i="52" s="1"/>
  <c r="T13" i="36" s="1"/>
  <c r="S30" i="33"/>
  <c r="T28" i="55" s="1"/>
  <c r="Q22" i="41"/>
  <c r="T131" i="55" s="1"/>
  <c r="T127" i="55" s="1"/>
  <c r="Q24" i="39"/>
  <c r="T188" i="68"/>
  <c r="T189" i="68" s="1"/>
  <c r="O64" i="55"/>
  <c r="O187" i="55" s="1"/>
  <c r="O196" i="55" s="1"/>
  <c r="S19" i="33"/>
  <c r="S15" i="55"/>
  <c r="R15" i="55"/>
  <c r="R16" i="55"/>
  <c r="Q15" i="33"/>
  <c r="Q16" i="55"/>
  <c r="Q13" i="55" s="1"/>
  <c r="P15" i="33"/>
  <c r="P4" i="33" s="1"/>
  <c r="N22" i="26" s="1"/>
  <c r="R20" i="33"/>
  <c r="S20" i="33" s="1"/>
  <c r="C15" i="68"/>
  <c r="D15" i="68" s="1"/>
  <c r="O15" i="68" s="1"/>
  <c r="U76" i="33"/>
  <c r="S26" i="37" s="1"/>
  <c r="O65" i="55"/>
  <c r="O194" i="55" s="1"/>
  <c r="W10" i="55"/>
  <c r="W14" i="33"/>
  <c r="AA17" i="33"/>
  <c r="AB17" i="33" s="1"/>
  <c r="AC17" i="33" s="1"/>
  <c r="AI54" i="33"/>
  <c r="Z55" i="33"/>
  <c r="AA55" i="33" s="1"/>
  <c r="O150" i="68"/>
  <c r="U151" i="68" s="1"/>
  <c r="C16" i="68"/>
  <c r="D16" i="68" s="1"/>
  <c r="P16" i="68" s="1"/>
  <c r="U31" i="55"/>
  <c r="Q39" i="28"/>
  <c r="Q49" i="28"/>
  <c r="P8" i="55"/>
  <c r="P65" i="55" s="1"/>
  <c r="P194" i="55" s="1"/>
  <c r="P150" i="68"/>
  <c r="V151" i="68" s="1"/>
  <c r="V188" i="68" s="1"/>
  <c r="Q8" i="55"/>
  <c r="Q3" i="55" s="1"/>
  <c r="T76" i="33"/>
  <c r="R26" i="37" s="1"/>
  <c r="Q12" i="33"/>
  <c r="R12" i="33" s="1"/>
  <c r="R5" i="33" s="1"/>
  <c r="W21" i="33"/>
  <c r="X21" i="33" s="1"/>
  <c r="W13" i="33"/>
  <c r="X13" i="33" s="1"/>
  <c r="Y13" i="33" s="1"/>
  <c r="O5" i="33"/>
  <c r="O4" i="33" s="1"/>
  <c r="K21" i="26"/>
  <c r="T6" i="33"/>
  <c r="U6" i="33" s="1"/>
  <c r="T4" i="55"/>
  <c r="S4" i="55"/>
  <c r="R4" i="55"/>
  <c r="Q173" i="68"/>
  <c r="R169" i="68" s="1"/>
  <c r="W63" i="33"/>
  <c r="X53" i="55" s="1"/>
  <c r="W35" i="33"/>
  <c r="X35" i="33" s="1"/>
  <c r="Y33" i="55" s="1"/>
  <c r="W33" i="55"/>
  <c r="W12" i="55"/>
  <c r="W9" i="33"/>
  <c r="P163" i="68"/>
  <c r="Q159" i="68" s="1"/>
  <c r="V49" i="55"/>
  <c r="V59" i="33"/>
  <c r="T22" i="33"/>
  <c r="R35" i="58" s="1"/>
  <c r="R36" i="58" s="1"/>
  <c r="R21" i="37" s="1"/>
  <c r="W45" i="33"/>
  <c r="X45" i="33" s="1"/>
  <c r="Y42" i="55" s="1"/>
  <c r="Y52" i="55"/>
  <c r="Y62" i="33"/>
  <c r="Z52" i="55" s="1"/>
  <c r="T56" i="55"/>
  <c r="T48" i="55" s="1"/>
  <c r="T66" i="33"/>
  <c r="U66" i="33" s="1"/>
  <c r="S58" i="33"/>
  <c r="W6" i="55"/>
  <c r="Z64" i="33"/>
  <c r="AA64" i="33" s="1"/>
  <c r="AB54" i="55" s="1"/>
  <c r="Z54" i="55"/>
  <c r="Y54" i="55"/>
  <c r="AB37" i="33"/>
  <c r="AC37" i="33" s="1"/>
  <c r="X48" i="68"/>
  <c r="Y48" i="68" s="1"/>
  <c r="Z48" i="68" s="1"/>
  <c r="AA48" i="68" s="1"/>
  <c r="AB48" i="68" s="1"/>
  <c r="AC48" i="68" s="1"/>
  <c r="AD48" i="68" s="1"/>
  <c r="AE48" i="68" s="1"/>
  <c r="AF48" i="68" s="1"/>
  <c r="AG48" i="68" s="1"/>
  <c r="AH48" i="68" s="1"/>
  <c r="C56" i="63"/>
  <c r="C8" i="63" s="1"/>
  <c r="C3" i="63" s="1"/>
  <c r="Z35" i="30"/>
  <c r="AP23" i="45"/>
  <c r="Z35" i="35"/>
  <c r="W9" i="50"/>
  <c r="V7" i="50"/>
  <c r="V25" i="33"/>
  <c r="W22" i="55" s="1"/>
  <c r="AE21" i="30"/>
  <c r="AU9" i="45"/>
  <c r="AE21" i="35"/>
  <c r="T112" i="55"/>
  <c r="T105" i="55" s="1"/>
  <c r="T10" i="36"/>
  <c r="Z31" i="30"/>
  <c r="Z31" i="35"/>
  <c r="AP19" i="45"/>
  <c r="P7" i="36"/>
  <c r="M15" i="37" s="1"/>
  <c r="M21" i="66"/>
  <c r="T27" i="30"/>
  <c r="AJ15" i="45"/>
  <c r="T27" i="35"/>
  <c r="S10" i="36"/>
  <c r="Y32" i="30"/>
  <c r="AO20" i="45"/>
  <c r="Y32" i="35"/>
  <c r="S26" i="50"/>
  <c r="S38" i="50" s="1"/>
  <c r="S20" i="36" s="1"/>
  <c r="T27" i="50"/>
  <c r="X59" i="55"/>
  <c r="W24" i="30"/>
  <c r="AM12" i="45"/>
  <c r="W24" i="35"/>
  <c r="V22" i="55"/>
  <c r="X69" i="33"/>
  <c r="N133" i="39"/>
  <c r="X29" i="30"/>
  <c r="X29" i="35"/>
  <c r="AN17" i="45"/>
  <c r="V31" i="55"/>
  <c r="U33" i="33"/>
  <c r="AB30" i="30"/>
  <c r="AB30" i="35"/>
  <c r="AR18" i="45"/>
  <c r="R26" i="41"/>
  <c r="U133" i="55" s="1"/>
  <c r="S23" i="52"/>
  <c r="T32" i="33"/>
  <c r="U30" i="55" s="1"/>
  <c r="R31" i="32"/>
  <c r="S19" i="30"/>
  <c r="R6" i="30"/>
  <c r="S19" i="35"/>
  <c r="S18" i="35" s="1"/>
  <c r="S6" i="35" s="1"/>
  <c r="AI7" i="45"/>
  <c r="T44" i="30"/>
  <c r="AJ32" i="45"/>
  <c r="T44" i="35"/>
  <c r="T43" i="35" s="1"/>
  <c r="T8" i="35" s="1"/>
  <c r="S8" i="30"/>
  <c r="Q71" i="68"/>
  <c r="Q162" i="68" s="1"/>
  <c r="AG40" i="33"/>
  <c r="AH40" i="33" s="1"/>
  <c r="Y39" i="33"/>
  <c r="AB8" i="33"/>
  <c r="AC8" i="33" s="1"/>
  <c r="AA55" i="55"/>
  <c r="T14" i="55"/>
  <c r="AA50" i="55"/>
  <c r="R29" i="33"/>
  <c r="AA60" i="33"/>
  <c r="AD41" i="33"/>
  <c r="AC39" i="55"/>
  <c r="X66" i="55"/>
  <c r="X195" i="55" s="1"/>
  <c r="X19" i="55"/>
  <c r="T16" i="33"/>
  <c r="AD34" i="33"/>
  <c r="AE32" i="55" s="1"/>
  <c r="AB65" i="33"/>
  <c r="X37" i="55"/>
  <c r="K25" i="37"/>
  <c r="N198" i="55"/>
  <c r="T151" i="55"/>
  <c r="W172" i="55"/>
  <c r="V171" i="55"/>
  <c r="L35" i="68"/>
  <c r="L152" i="68" s="1"/>
  <c r="J6" i="64" s="1"/>
  <c r="N6" i="68"/>
  <c r="K153" i="68"/>
  <c r="L149" i="68" s="1"/>
  <c r="AG40" i="55"/>
  <c r="U58" i="55"/>
  <c r="U57" i="55" s="1"/>
  <c r="T67" i="33"/>
  <c r="M35" i="68"/>
  <c r="M152" i="68" s="1"/>
  <c r="K6" i="64" s="1"/>
  <c r="N10" i="68"/>
  <c r="AB11" i="55"/>
  <c r="T50" i="68"/>
  <c r="U50" i="68" s="1"/>
  <c r="V50" i="68" s="1"/>
  <c r="W50" i="68" s="1"/>
  <c r="S54" i="68"/>
  <c r="T54" i="68" s="1"/>
  <c r="U54" i="68" s="1"/>
  <c r="V54" i="68" s="1"/>
  <c r="AG38" i="55"/>
  <c r="R107" i="68"/>
  <c r="R172" i="68" s="1"/>
  <c r="S77" i="68"/>
  <c r="U9" i="55"/>
  <c r="D94" i="68"/>
  <c r="V94" i="68" s="1"/>
  <c r="Z31" i="33"/>
  <c r="AD50" i="33"/>
  <c r="AE50" i="33" s="1"/>
  <c r="AF50" i="33" s="1"/>
  <c r="X86" i="68"/>
  <c r="Y86" i="68" s="1"/>
  <c r="Z86" i="68" s="1"/>
  <c r="AA86" i="68" s="1"/>
  <c r="AB86" i="68" s="1"/>
  <c r="AC86" i="68" s="1"/>
  <c r="AD86" i="68" s="1"/>
  <c r="AE86" i="68" s="1"/>
  <c r="AF86" i="68" s="1"/>
  <c r="AG86" i="68" s="1"/>
  <c r="AH86" i="68" s="1"/>
  <c r="AA51" i="55"/>
  <c r="AB61" i="33"/>
  <c r="R27" i="55"/>
  <c r="R26" i="55" s="1"/>
  <c r="Q28" i="33"/>
  <c r="O16" i="62"/>
  <c r="N89" i="33"/>
  <c r="AB7" i="33"/>
  <c r="AC7" i="33" s="1"/>
  <c r="V19" i="50"/>
  <c r="W21" i="50"/>
  <c r="U53" i="68"/>
  <c r="AF40" i="55"/>
  <c r="S42" i="68"/>
  <c r="AD46" i="55"/>
  <c r="AB51" i="55"/>
  <c r="V153" i="55"/>
  <c r="U152" i="55"/>
  <c r="Z89" i="68"/>
  <c r="AA89" i="68" s="1"/>
  <c r="AB89" i="68" s="1"/>
  <c r="AC89" i="68" s="1"/>
  <c r="AD89" i="68" s="1"/>
  <c r="AE89" i="68" s="1"/>
  <c r="AF89" i="68" s="1"/>
  <c r="AG89" i="68" s="1"/>
  <c r="V93" i="68"/>
  <c r="I27" i="26"/>
  <c r="I21" i="26"/>
  <c r="Z29" i="55"/>
  <c r="V165" i="55"/>
  <c r="U164" i="55"/>
  <c r="P5" i="68"/>
  <c r="R49" i="68"/>
  <c r="S49" i="68" s="1"/>
  <c r="T49" i="68" s="1"/>
  <c r="Z11" i="55"/>
  <c r="R51" i="68"/>
  <c r="O7" i="68"/>
  <c r="P7" i="68" s="1"/>
  <c r="L21" i="26"/>
  <c r="L27" i="26"/>
  <c r="W90" i="68"/>
  <c r="X90" i="68" s="1"/>
  <c r="Y90" i="68" s="1"/>
  <c r="Z90" i="68" s="1"/>
  <c r="AA90" i="68" s="1"/>
  <c r="AB90" i="68" s="1"/>
  <c r="AC90" i="68" s="1"/>
  <c r="AD90" i="68" s="1"/>
  <c r="AE90" i="68" s="1"/>
  <c r="AF90" i="68" s="1"/>
  <c r="AG90" i="68" s="1"/>
  <c r="AH90" i="68" s="1"/>
  <c r="N11" i="68"/>
  <c r="I6" i="64"/>
  <c r="AB7" i="55"/>
  <c r="AA11" i="55"/>
  <c r="W170" i="68"/>
  <c r="C95" i="68"/>
  <c r="Y20" i="55"/>
  <c r="P12" i="68"/>
  <c r="AB11" i="33"/>
  <c r="AC11" i="33" s="1"/>
  <c r="T58" i="55"/>
  <c r="T57" i="55" s="1"/>
  <c r="S67" i="33"/>
  <c r="S52" i="68"/>
  <c r="N16" i="62"/>
  <c r="M89" i="33"/>
  <c r="W87" i="68"/>
  <c r="X87" i="68" s="1"/>
  <c r="Y87" i="68" s="1"/>
  <c r="Z87" i="68" s="1"/>
  <c r="AA87" i="68" s="1"/>
  <c r="AB87" i="68" s="1"/>
  <c r="AC87" i="68" s="1"/>
  <c r="AD87" i="68" s="1"/>
  <c r="AE87" i="68" s="1"/>
  <c r="AF87" i="68" s="1"/>
  <c r="AG87" i="68" s="1"/>
  <c r="AH87" i="68" s="1"/>
  <c r="AB45" i="55"/>
  <c r="R143" i="68"/>
  <c r="R182" i="68" s="1"/>
  <c r="R183" i="68" s="1"/>
  <c r="S179" i="68" s="1"/>
  <c r="S113" i="68"/>
  <c r="AF38" i="55"/>
  <c r="R8" i="68"/>
  <c r="S8" i="68" s="1"/>
  <c r="O14" i="68"/>
  <c r="AG42" i="33"/>
  <c r="AE40" i="55"/>
  <c r="V41" i="68"/>
  <c r="AB49" i="33"/>
  <c r="W92" i="68"/>
  <c r="W91" i="68"/>
  <c r="S58" i="55"/>
  <c r="S57" i="55" s="1"/>
  <c r="R67" i="33"/>
  <c r="U68" i="33"/>
  <c r="O9" i="68"/>
  <c r="O13" i="68"/>
  <c r="X88" i="68"/>
  <c r="Y88" i="68" s="1"/>
  <c r="Z88" i="68" s="1"/>
  <c r="AA88" i="68" s="1"/>
  <c r="AB88" i="68" s="1"/>
  <c r="AC88" i="68" s="1"/>
  <c r="AD88" i="68" s="1"/>
  <c r="AE88" i="68" s="1"/>
  <c r="N5" i="37"/>
  <c r="P51" i="28"/>
  <c r="P54" i="28" s="1"/>
  <c r="Q43" i="28"/>
  <c r="Q45" i="28"/>
  <c r="Q42" i="28"/>
  <c r="T9" i="28"/>
  <c r="T20" i="28" s="1"/>
  <c r="S15" i="28"/>
  <c r="R24" i="37"/>
  <c r="S10" i="28"/>
  <c r="S13" i="28"/>
  <c r="S18" i="28"/>
  <c r="S17" i="28"/>
  <c r="S12" i="28"/>
  <c r="S14" i="28"/>
  <c r="S16" i="28"/>
  <c r="S11" i="28"/>
  <c r="U23" i="36"/>
  <c r="Q41" i="28"/>
  <c r="Q46" i="28"/>
  <c r="S180" i="55"/>
  <c r="Q47" i="28"/>
  <c r="Q50" i="28"/>
  <c r="Q48" i="28"/>
  <c r="R37" i="28"/>
  <c r="Q40" i="28"/>
  <c r="Q44" i="28"/>
  <c r="R40" i="66"/>
  <c r="R41" i="66"/>
  <c r="R39" i="66"/>
  <c r="V14" i="47"/>
  <c r="U13" i="47"/>
  <c r="S38" i="66" s="1"/>
  <c r="R4" i="37"/>
  <c r="R10" i="62"/>
  <c r="Q9" i="26"/>
  <c r="U24" i="33" l="1"/>
  <c r="V21" i="55" s="1"/>
  <c r="V76" i="33"/>
  <c r="AB44" i="55"/>
  <c r="AI38" i="33"/>
  <c r="AJ36" i="55" s="1"/>
  <c r="AH36" i="55"/>
  <c r="AC47" i="33"/>
  <c r="AD47" i="33" s="1"/>
  <c r="AD27" i="33"/>
  <c r="AE25" i="55" s="1"/>
  <c r="AD25" i="55"/>
  <c r="R24" i="39"/>
  <c r="R119" i="39" s="1"/>
  <c r="AF57" i="33"/>
  <c r="AG57" i="33" s="1"/>
  <c r="U36" i="33"/>
  <c r="U22" i="36"/>
  <c r="V43" i="33"/>
  <c r="W41" i="55" s="1"/>
  <c r="Q6" i="41"/>
  <c r="T11" i="36" s="1"/>
  <c r="V34" i="55"/>
  <c r="V48" i="33"/>
  <c r="W24" i="55"/>
  <c r="W26" i="33"/>
  <c r="W56" i="33"/>
  <c r="W48" i="33" s="1"/>
  <c r="O133" i="39"/>
  <c r="R9" i="36" s="1"/>
  <c r="R7" i="36" s="1"/>
  <c r="O15" i="37" s="1"/>
  <c r="W47" i="55"/>
  <c r="X51" i="33"/>
  <c r="S160" i="68"/>
  <c r="T18" i="33"/>
  <c r="T17" i="55"/>
  <c r="C55" i="68"/>
  <c r="D55" i="68" s="1"/>
  <c r="S55" i="68" s="1"/>
  <c r="T55" i="68" s="1"/>
  <c r="U55" i="68" s="1"/>
  <c r="V55" i="68" s="1"/>
  <c r="U14" i="36"/>
  <c r="L25" i="37"/>
  <c r="Q119" i="39"/>
  <c r="Q25" i="39"/>
  <c r="Q26" i="39" s="1"/>
  <c r="S21" i="52"/>
  <c r="S19" i="52" s="1"/>
  <c r="S6" i="52" s="1"/>
  <c r="U13" i="36" s="1"/>
  <c r="R22" i="41"/>
  <c r="U131" i="55" s="1"/>
  <c r="U127" i="55" s="1"/>
  <c r="T30" i="33"/>
  <c r="U28" i="55" s="1"/>
  <c r="S98" i="55"/>
  <c r="P116" i="39"/>
  <c r="P6" i="39"/>
  <c r="S76" i="55"/>
  <c r="AI29" i="45"/>
  <c r="AI5" i="45" s="1"/>
  <c r="S41" i="30"/>
  <c r="R27" i="32"/>
  <c r="S129" i="39" s="1"/>
  <c r="S126" i="39" s="1"/>
  <c r="R7" i="30"/>
  <c r="R16" i="30" s="1"/>
  <c r="S41" i="35"/>
  <c r="S40" i="35" s="1"/>
  <c r="S7" i="35" s="1"/>
  <c r="S16" i="35" s="1"/>
  <c r="V8" i="36" s="1"/>
  <c r="R32" i="40"/>
  <c r="R33" i="40" s="1"/>
  <c r="R34" i="40" s="1"/>
  <c r="R71" i="55"/>
  <c r="R185" i="55" s="1"/>
  <c r="C17" i="68"/>
  <c r="D17" i="68" s="1"/>
  <c r="Q17" i="68" s="1"/>
  <c r="R8" i="55"/>
  <c r="R3" i="55" s="1"/>
  <c r="Q150" i="68"/>
  <c r="W151" i="68" s="1"/>
  <c r="W187" i="68" s="1"/>
  <c r="T26" i="37"/>
  <c r="S8" i="55"/>
  <c r="S3" i="55" s="1"/>
  <c r="S15" i="33"/>
  <c r="N88" i="33"/>
  <c r="R13" i="55"/>
  <c r="AB18" i="55"/>
  <c r="Q65" i="55"/>
  <c r="Q194" i="55" s="1"/>
  <c r="T19" i="33"/>
  <c r="U19" i="33" s="1"/>
  <c r="T15" i="55"/>
  <c r="O20" i="66"/>
  <c r="O5" i="62"/>
  <c r="Q64" i="55"/>
  <c r="Q187" i="55" s="1"/>
  <c r="Q196" i="55" s="1"/>
  <c r="S16" i="55"/>
  <c r="S13" i="55" s="1"/>
  <c r="R15" i="33"/>
  <c r="Q20" i="66" s="1"/>
  <c r="T16" i="55"/>
  <c r="T20" i="33"/>
  <c r="S12" i="33"/>
  <c r="T8" i="55" s="1"/>
  <c r="T3" i="55" s="1"/>
  <c r="P3" i="55"/>
  <c r="P64" i="55" s="1"/>
  <c r="P187" i="55" s="1"/>
  <c r="P196" i="55" s="1"/>
  <c r="P198" i="55" s="1"/>
  <c r="X14" i="33"/>
  <c r="Y14" i="33" s="1"/>
  <c r="X10" i="55"/>
  <c r="Y21" i="33"/>
  <c r="Z21" i="33" s="1"/>
  <c r="AA21" i="33" s="1"/>
  <c r="AB21" i="33" s="1"/>
  <c r="N20" i="66"/>
  <c r="X63" i="33"/>
  <c r="Y53" i="55" s="1"/>
  <c r="W76" i="33"/>
  <c r="U26" i="37" s="1"/>
  <c r="AB55" i="33"/>
  <c r="AC55" i="33" s="1"/>
  <c r="AJ54" i="33"/>
  <c r="AK54" i="33" s="1"/>
  <c r="N5" i="62"/>
  <c r="V187" i="68"/>
  <c r="V189" i="68" s="1"/>
  <c r="M88" i="33"/>
  <c r="Q5" i="33"/>
  <c r="Q4" i="33" s="1"/>
  <c r="O22" i="26" s="1"/>
  <c r="R44" i="28"/>
  <c r="R49" i="28"/>
  <c r="R173" i="68"/>
  <c r="S169" i="68" s="1"/>
  <c r="V6" i="33"/>
  <c r="V4" i="55"/>
  <c r="U4" i="55"/>
  <c r="Z13" i="33"/>
  <c r="AA13" i="33" s="1"/>
  <c r="O5" i="37"/>
  <c r="O10" i="26" s="1"/>
  <c r="O9" i="49"/>
  <c r="Q163" i="68"/>
  <c r="R159" i="68" s="1"/>
  <c r="X33" i="55"/>
  <c r="Y35" i="33"/>
  <c r="X12" i="55"/>
  <c r="X9" i="33"/>
  <c r="W49" i="55"/>
  <c r="W59" i="33"/>
  <c r="V24" i="33"/>
  <c r="W21" i="55" s="1"/>
  <c r="Y45" i="33"/>
  <c r="Z45" i="33" s="1"/>
  <c r="AA45" i="33" s="1"/>
  <c r="AB42" i="55" s="1"/>
  <c r="X42" i="55"/>
  <c r="U22" i="33"/>
  <c r="S35" i="58" s="1"/>
  <c r="S36" i="58" s="1"/>
  <c r="S21" i="37" s="1"/>
  <c r="Y6" i="55"/>
  <c r="Z62" i="33"/>
  <c r="U56" i="55"/>
  <c r="U48" i="55" s="1"/>
  <c r="T58" i="33"/>
  <c r="V66" i="33"/>
  <c r="W66" i="33" s="1"/>
  <c r="V56" i="55"/>
  <c r="V48" i="55" s="1"/>
  <c r="U58" i="33"/>
  <c r="W25" i="33"/>
  <c r="X22" i="55" s="1"/>
  <c r="AC35" i="55"/>
  <c r="AA54" i="55"/>
  <c r="AB64" i="33"/>
  <c r="AH38" i="55"/>
  <c r="N35" i="68"/>
  <c r="N152" i="68" s="1"/>
  <c r="L6" i="64" s="1"/>
  <c r="Q9" i="36"/>
  <c r="Z32" i="30"/>
  <c r="AP20" i="45"/>
  <c r="Z32" i="35"/>
  <c r="S24" i="39"/>
  <c r="AF21" i="30"/>
  <c r="AF21" i="35"/>
  <c r="AV9" i="45"/>
  <c r="S31" i="32"/>
  <c r="S6" i="30"/>
  <c r="T19" i="30"/>
  <c r="AJ7" i="45"/>
  <c r="T19" i="35"/>
  <c r="T18" i="35" s="1"/>
  <c r="T6" i="35" s="1"/>
  <c r="X9" i="50"/>
  <c r="W7" i="50"/>
  <c r="U27" i="30"/>
  <c r="AK15" i="45"/>
  <c r="U27" i="35"/>
  <c r="R6" i="41"/>
  <c r="U11" i="36" s="1"/>
  <c r="S27" i="55"/>
  <c r="S26" i="55" s="1"/>
  <c r="X24" i="30"/>
  <c r="AN12" i="45"/>
  <c r="X24" i="35"/>
  <c r="AQ19" i="45"/>
  <c r="AA31" i="30"/>
  <c r="AA31" i="35"/>
  <c r="W31" i="55"/>
  <c r="V33" i="33"/>
  <c r="T26" i="50"/>
  <c r="T38" i="50" s="1"/>
  <c r="T20" i="36" s="1"/>
  <c r="U27" i="50"/>
  <c r="Y29" i="30"/>
  <c r="Y29" i="35"/>
  <c r="AO17" i="45"/>
  <c r="AA35" i="30"/>
  <c r="AQ23" i="45"/>
  <c r="AA35" i="35"/>
  <c r="U44" i="30"/>
  <c r="U44" i="35"/>
  <c r="U43" i="35" s="1"/>
  <c r="U8" i="35" s="1"/>
  <c r="AK32" i="45"/>
  <c r="T8" i="30"/>
  <c r="Y59" i="55"/>
  <c r="Y69" i="33"/>
  <c r="AC30" i="30"/>
  <c r="AS18" i="45"/>
  <c r="AC30" i="35"/>
  <c r="N21" i="66"/>
  <c r="S26" i="41"/>
  <c r="V133" i="55" s="1"/>
  <c r="T23" i="52"/>
  <c r="U32" i="33"/>
  <c r="V30" i="55" s="1"/>
  <c r="L153" i="68"/>
  <c r="M149" i="68" s="1"/>
  <c r="M153" i="68" s="1"/>
  <c r="N149" i="68" s="1"/>
  <c r="AD5" i="55"/>
  <c r="AI38" i="55"/>
  <c r="AI40" i="33"/>
  <c r="AJ40" i="33" s="1"/>
  <c r="AK38" i="55" s="1"/>
  <c r="C18" i="68"/>
  <c r="D18" i="68" s="1"/>
  <c r="R71" i="68"/>
  <c r="R162" i="68" s="1"/>
  <c r="Z37" i="55"/>
  <c r="R28" i="33"/>
  <c r="AE39" i="55"/>
  <c r="Y66" i="55"/>
  <c r="Y195" i="55" s="1"/>
  <c r="Y19" i="55"/>
  <c r="R150" i="68"/>
  <c r="X151" i="68" s="1"/>
  <c r="X187" i="68" s="1"/>
  <c r="AE41" i="33"/>
  <c r="U14" i="55"/>
  <c r="U16" i="33"/>
  <c r="S29" i="33"/>
  <c r="T29" i="33" s="1"/>
  <c r="U27" i="55" s="1"/>
  <c r="AC55" i="55"/>
  <c r="AB60" i="33"/>
  <c r="AB50" i="55"/>
  <c r="AC65" i="33"/>
  <c r="AE34" i="33"/>
  <c r="AC5" i="55"/>
  <c r="AD8" i="33"/>
  <c r="AE5" i="55" s="1"/>
  <c r="Z39" i="33"/>
  <c r="O198" i="55"/>
  <c r="M198" i="55"/>
  <c r="X50" i="68"/>
  <c r="Y50" i="68" s="1"/>
  <c r="X172" i="55"/>
  <c r="W171" i="55"/>
  <c r="O6" i="68"/>
  <c r="N10" i="26"/>
  <c r="AG46" i="55"/>
  <c r="AG50" i="33"/>
  <c r="AH50" i="33" s="1"/>
  <c r="Q16" i="68"/>
  <c r="R16" i="68" s="1"/>
  <c r="P15" i="68"/>
  <c r="Q15" i="68" s="1"/>
  <c r="W9" i="55"/>
  <c r="D95" i="68"/>
  <c r="W95" i="68" s="1"/>
  <c r="Q12" i="68"/>
  <c r="R12" i="68" s="1"/>
  <c r="AJ38" i="33"/>
  <c r="AK36" i="55" s="1"/>
  <c r="S143" i="68"/>
  <c r="S182" i="68" s="1"/>
  <c r="S183" i="68" s="1"/>
  <c r="T179" i="68" s="1"/>
  <c r="T113" i="68"/>
  <c r="AD11" i="55"/>
  <c r="AD11" i="33"/>
  <c r="U151" i="55"/>
  <c r="AA29" i="55"/>
  <c r="W54" i="68"/>
  <c r="V58" i="55"/>
  <c r="V57" i="55" s="1"/>
  <c r="U67" i="33"/>
  <c r="AC45" i="55"/>
  <c r="AC49" i="33"/>
  <c r="AD49" i="33" s="1"/>
  <c r="S51" i="68"/>
  <c r="Q5" i="68"/>
  <c r="V152" i="55"/>
  <c r="W153" i="55"/>
  <c r="P16" i="62"/>
  <c r="O89" i="33"/>
  <c r="AC51" i="55"/>
  <c r="W94" i="68"/>
  <c r="X94" i="68" s="1"/>
  <c r="S107" i="68"/>
  <c r="S172" i="68" s="1"/>
  <c r="T77" i="68"/>
  <c r="AD7" i="55"/>
  <c r="W41" i="68"/>
  <c r="P14" i="68"/>
  <c r="X170" i="68"/>
  <c r="C96" i="68"/>
  <c r="Z20" i="55"/>
  <c r="T42" i="68"/>
  <c r="O10" i="68"/>
  <c r="AC61" i="33"/>
  <c r="AC7" i="55"/>
  <c r="P9" i="68"/>
  <c r="Q9" i="68" s="1"/>
  <c r="AC18" i="55"/>
  <c r="U187" i="68"/>
  <c r="U188" i="68"/>
  <c r="AC11" i="55"/>
  <c r="AF46" i="55"/>
  <c r="AH40" i="55"/>
  <c r="X92" i="68"/>
  <c r="Y92" i="68" s="1"/>
  <c r="AH42" i="33"/>
  <c r="AI42" i="33" s="1"/>
  <c r="AJ42" i="33" s="1"/>
  <c r="AK40" i="55" s="1"/>
  <c r="AD18" i="55"/>
  <c r="AD35" i="55"/>
  <c r="AD37" i="33"/>
  <c r="AE37" i="33" s="1"/>
  <c r="V9" i="55"/>
  <c r="V164" i="55"/>
  <c r="W165" i="55"/>
  <c r="C47" i="63"/>
  <c r="C26" i="26" s="1"/>
  <c r="C4" i="63"/>
  <c r="D3" i="63"/>
  <c r="D47" i="63" s="1"/>
  <c r="D26" i="26" s="1"/>
  <c r="P13" i="68"/>
  <c r="Q13" i="68" s="1"/>
  <c r="V53" i="68"/>
  <c r="AD7" i="33"/>
  <c r="AE7" i="33" s="1"/>
  <c r="AF88" i="68"/>
  <c r="AG88" i="68" s="1"/>
  <c r="AH88" i="68" s="1"/>
  <c r="X91" i="68"/>
  <c r="V68" i="33"/>
  <c r="Q7" i="68"/>
  <c r="R7" i="68" s="1"/>
  <c r="T8" i="68"/>
  <c r="U8" i="68" s="1"/>
  <c r="V8" i="68" s="1"/>
  <c r="W8" i="68" s="1"/>
  <c r="X8" i="68" s="1"/>
  <c r="Y8" i="68" s="1"/>
  <c r="Z8" i="68" s="1"/>
  <c r="AA8" i="68" s="1"/>
  <c r="AB8" i="68" s="1"/>
  <c r="AC8" i="68" s="1"/>
  <c r="AD8" i="68" s="1"/>
  <c r="AE8" i="68" s="1"/>
  <c r="AF8" i="68" s="1"/>
  <c r="AG8" i="68" s="1"/>
  <c r="AH8" i="68" s="1"/>
  <c r="U49" i="68"/>
  <c r="V49" i="68" s="1"/>
  <c r="AD17" i="33"/>
  <c r="AH89" i="68"/>
  <c r="W19" i="50"/>
  <c r="X21" i="50"/>
  <c r="O11" i="68"/>
  <c r="T52" i="68"/>
  <c r="AE46" i="55"/>
  <c r="M22" i="26"/>
  <c r="AA31" i="33"/>
  <c r="W93" i="68"/>
  <c r="N27" i="26"/>
  <c r="N21" i="26"/>
  <c r="R43" i="28"/>
  <c r="R46" i="28"/>
  <c r="R45" i="28"/>
  <c r="Q51" i="28"/>
  <c r="Q54" i="28" s="1"/>
  <c r="P9" i="49" s="1"/>
  <c r="R40" i="28"/>
  <c r="T14" i="28"/>
  <c r="T10" i="28"/>
  <c r="T18" i="28"/>
  <c r="S24" i="37"/>
  <c r="U9" i="28"/>
  <c r="U20" i="28" s="1"/>
  <c r="T12" i="28"/>
  <c r="T16" i="28"/>
  <c r="T17" i="28"/>
  <c r="T11" i="28"/>
  <c r="T13" i="28"/>
  <c r="T15" i="28"/>
  <c r="V23" i="36"/>
  <c r="T180" i="55"/>
  <c r="R50" i="28"/>
  <c r="R48" i="28"/>
  <c r="S37" i="28"/>
  <c r="R47" i="28"/>
  <c r="R39" i="28"/>
  <c r="R42" i="28"/>
  <c r="R41" i="28"/>
  <c r="S40" i="66"/>
  <c r="S41" i="66"/>
  <c r="S39" i="66"/>
  <c r="V13" i="47"/>
  <c r="T38" i="66" s="1"/>
  <c r="S4" i="37"/>
  <c r="W14" i="47"/>
  <c r="S10" i="62"/>
  <c r="R9" i="26"/>
  <c r="AD44" i="55" l="1"/>
  <c r="AE27" i="33"/>
  <c r="AF25" i="55" s="1"/>
  <c r="W34" i="55"/>
  <c r="R25" i="39"/>
  <c r="R26" i="39" s="1"/>
  <c r="R6" i="39" s="1"/>
  <c r="V36" i="33"/>
  <c r="AH57" i="33"/>
  <c r="AI57" i="33" s="1"/>
  <c r="V22" i="36"/>
  <c r="W43" i="33"/>
  <c r="W36" i="33" s="1"/>
  <c r="U26" i="55"/>
  <c r="P21" i="66"/>
  <c r="X56" i="33"/>
  <c r="Y56" i="33" s="1"/>
  <c r="X24" i="55"/>
  <c r="X26" i="33"/>
  <c r="Y63" i="33"/>
  <c r="Z53" i="55" s="1"/>
  <c r="Y51" i="33"/>
  <c r="Y47" i="55"/>
  <c r="W55" i="68"/>
  <c r="X55" i="68" s="1"/>
  <c r="Y55" i="68" s="1"/>
  <c r="Z55" i="68" s="1"/>
  <c r="S71" i="68"/>
  <c r="S162" i="68" s="1"/>
  <c r="U17" i="55"/>
  <c r="C56" i="68"/>
  <c r="D56" i="68" s="1"/>
  <c r="T56" i="68" s="1"/>
  <c r="U56" i="68" s="1"/>
  <c r="V56" i="68" s="1"/>
  <c r="W56" i="68" s="1"/>
  <c r="X56" i="68" s="1"/>
  <c r="Y56" i="68" s="1"/>
  <c r="R65" i="55"/>
  <c r="R194" i="55" s="1"/>
  <c r="T12" i="33"/>
  <c r="U12" i="33" s="1"/>
  <c r="U18" i="33"/>
  <c r="T160" i="68"/>
  <c r="W188" i="68"/>
  <c r="W189" i="68" s="1"/>
  <c r="V70" i="55"/>
  <c r="V14" i="36"/>
  <c r="T21" i="52"/>
  <c r="T19" i="52" s="1"/>
  <c r="T6" i="52" s="1"/>
  <c r="V13" i="36" s="1"/>
  <c r="U30" i="33"/>
  <c r="V28" i="55" s="1"/>
  <c r="S22" i="41"/>
  <c r="V131" i="55" s="1"/>
  <c r="V127" i="55" s="1"/>
  <c r="S27" i="32"/>
  <c r="T32" i="40" s="1"/>
  <c r="T33" i="40" s="1"/>
  <c r="T34" i="40" s="1"/>
  <c r="T41" i="30"/>
  <c r="S7" i="30"/>
  <c r="AJ29" i="45"/>
  <c r="AJ5" i="45" s="1"/>
  <c r="W14" i="36" s="1"/>
  <c r="T41" i="35"/>
  <c r="T40" i="35" s="1"/>
  <c r="T7" i="35" s="1"/>
  <c r="T16" i="35" s="1"/>
  <c r="W8" i="36" s="1"/>
  <c r="S16" i="30"/>
  <c r="S32" i="40"/>
  <c r="S33" i="40" s="1"/>
  <c r="S34" i="40" s="1"/>
  <c r="S71" i="55"/>
  <c r="S185" i="55" s="1"/>
  <c r="R6" i="40"/>
  <c r="U10" i="36" s="1"/>
  <c r="U112" i="55"/>
  <c r="U105" i="55" s="1"/>
  <c r="P133" i="39"/>
  <c r="S9" i="36" s="1"/>
  <c r="S7" i="36" s="1"/>
  <c r="Q6" i="39"/>
  <c r="T76" i="55"/>
  <c r="T98" i="55"/>
  <c r="Q116" i="39"/>
  <c r="N25" i="37"/>
  <c r="S5" i="33"/>
  <c r="Q88" i="33" s="1"/>
  <c r="R64" i="55"/>
  <c r="R187" i="55" s="1"/>
  <c r="R196" i="55" s="1"/>
  <c r="Q5" i="62"/>
  <c r="P88" i="33"/>
  <c r="R4" i="33"/>
  <c r="P22" i="26" s="1"/>
  <c r="P27" i="26" s="1"/>
  <c r="S173" i="68"/>
  <c r="T169" i="68" s="1"/>
  <c r="V15" i="55"/>
  <c r="V19" i="33"/>
  <c r="W15" i="55" s="1"/>
  <c r="T13" i="55"/>
  <c r="U15" i="55"/>
  <c r="M25" i="37"/>
  <c r="U20" i="33"/>
  <c r="V20" i="33" s="1"/>
  <c r="U16" i="55"/>
  <c r="T15" i="33"/>
  <c r="V22" i="33"/>
  <c r="T35" i="58" s="1"/>
  <c r="T36" i="58" s="1"/>
  <c r="T21" i="37" s="1"/>
  <c r="Z14" i="33"/>
  <c r="Z10" i="55"/>
  <c r="Y10" i="55"/>
  <c r="O88" i="33"/>
  <c r="P20" i="66"/>
  <c r="P5" i="62"/>
  <c r="AD55" i="33"/>
  <c r="Z42" i="55"/>
  <c r="AL54" i="33"/>
  <c r="AM54" i="33" s="1"/>
  <c r="D54" i="33" s="1"/>
  <c r="AC21" i="33"/>
  <c r="AD21" i="33" s="1"/>
  <c r="V16" i="33"/>
  <c r="S40" i="28"/>
  <c r="S49" i="28"/>
  <c r="W4" i="55"/>
  <c r="AB13" i="33"/>
  <c r="AC13" i="33" s="1"/>
  <c r="W6" i="33"/>
  <c r="R163" i="68"/>
  <c r="S159" i="68" s="1"/>
  <c r="Z33" i="55"/>
  <c r="Z35" i="33"/>
  <c r="W24" i="33"/>
  <c r="X24" i="33" s="1"/>
  <c r="Y21" i="55" s="1"/>
  <c r="X25" i="33"/>
  <c r="Y22" i="55" s="1"/>
  <c r="Y12" i="55"/>
  <c r="Y9" i="33"/>
  <c r="N153" i="68"/>
  <c r="O149" i="68" s="1"/>
  <c r="X59" i="33"/>
  <c r="X49" i="55"/>
  <c r="X6" i="55"/>
  <c r="AA62" i="33"/>
  <c r="AB62" i="33" s="1"/>
  <c r="AC52" i="55" s="1"/>
  <c r="AA52" i="55"/>
  <c r="X56" i="55"/>
  <c r="W58" i="33"/>
  <c r="W56" i="55"/>
  <c r="W48" i="55" s="1"/>
  <c r="V58" i="33"/>
  <c r="X66" i="33"/>
  <c r="AC64" i="33"/>
  <c r="AD64" i="33" s="1"/>
  <c r="AC54" i="55"/>
  <c r="AJ38" i="55"/>
  <c r="P89" i="33"/>
  <c r="Q16" i="62"/>
  <c r="AE8" i="33"/>
  <c r="AF5" i="55" s="1"/>
  <c r="AB31" i="30"/>
  <c r="AB31" i="35"/>
  <c r="AR19" i="45"/>
  <c r="AK40" i="33"/>
  <c r="AL38" i="55" s="1"/>
  <c r="T26" i="41"/>
  <c r="W133" i="55" s="1"/>
  <c r="U23" i="52"/>
  <c r="V32" i="33"/>
  <c r="W30" i="55" s="1"/>
  <c r="Z29" i="30"/>
  <c r="Z29" i="35"/>
  <c r="AP17" i="45"/>
  <c r="AG21" i="30"/>
  <c r="AW9" i="45"/>
  <c r="AG21" i="35"/>
  <c r="Z59" i="55"/>
  <c r="Z69" i="33"/>
  <c r="U98" i="55"/>
  <c r="R116" i="39"/>
  <c r="X31" i="55"/>
  <c r="W33" i="33"/>
  <c r="AA32" i="30"/>
  <c r="AQ20" i="45"/>
  <c r="AA32" i="35"/>
  <c r="X188" i="68"/>
  <c r="X189" i="68" s="1"/>
  <c r="V44" i="30"/>
  <c r="AL32" i="45"/>
  <c r="V44" i="35"/>
  <c r="V43" i="35" s="1"/>
  <c r="V8" i="35" s="1"/>
  <c r="U8" i="30"/>
  <c r="Q7" i="36"/>
  <c r="N15" i="37" s="1"/>
  <c r="Y24" i="30"/>
  <c r="AO12" i="45"/>
  <c r="Y24" i="35"/>
  <c r="V27" i="30"/>
  <c r="AL15" i="45"/>
  <c r="V27" i="35"/>
  <c r="Y9" i="50"/>
  <c r="X7" i="50"/>
  <c r="AR23" i="45"/>
  <c r="AB35" i="30"/>
  <c r="AB35" i="35"/>
  <c r="AD30" i="30"/>
  <c r="AD30" i="35"/>
  <c r="AT18" i="45"/>
  <c r="AA42" i="55"/>
  <c r="AB45" i="33"/>
  <c r="V27" i="50"/>
  <c r="U26" i="50"/>
  <c r="U38" i="50" s="1"/>
  <c r="U20" i="36" s="1"/>
  <c r="U76" i="55"/>
  <c r="S65" i="55"/>
  <c r="S194" i="55" s="1"/>
  <c r="S25" i="39"/>
  <c r="S26" i="39" s="1"/>
  <c r="S6" i="39" s="1"/>
  <c r="S119" i="39"/>
  <c r="T31" i="32"/>
  <c r="T6" i="30"/>
  <c r="U19" i="30"/>
  <c r="U19" i="35"/>
  <c r="U18" i="35" s="1"/>
  <c r="U6" i="35" s="1"/>
  <c r="AK7" i="45"/>
  <c r="S64" i="55"/>
  <c r="W49" i="68"/>
  <c r="X49" i="68" s="1"/>
  <c r="Y49" i="68" s="1"/>
  <c r="Z49" i="68" s="1"/>
  <c r="AA49" i="68" s="1"/>
  <c r="AB49" i="68" s="1"/>
  <c r="AC49" i="68" s="1"/>
  <c r="AD49" i="68" s="1"/>
  <c r="AE49" i="68" s="1"/>
  <c r="AF49" i="68" s="1"/>
  <c r="AG49" i="68" s="1"/>
  <c r="AH49" i="68" s="1"/>
  <c r="AF32" i="55"/>
  <c r="AF34" i="33"/>
  <c r="AG32" i="55" s="1"/>
  <c r="S28" i="33"/>
  <c r="C19" i="68"/>
  <c r="D19" i="68" s="1"/>
  <c r="S19" i="68" s="1"/>
  <c r="T19" i="68" s="1"/>
  <c r="S150" i="68"/>
  <c r="Y151" i="68" s="1"/>
  <c r="X76" i="33"/>
  <c r="V26" i="37" s="1"/>
  <c r="T27" i="55"/>
  <c r="AF39" i="55"/>
  <c r="AE49" i="33"/>
  <c r="AF49" i="33" s="1"/>
  <c r="AD55" i="55"/>
  <c r="Z66" i="55"/>
  <c r="Z195" i="55" s="1"/>
  <c r="Z19" i="55"/>
  <c r="R18" i="68"/>
  <c r="S18" i="68" s="1"/>
  <c r="AA37" i="55"/>
  <c r="AA39" i="33"/>
  <c r="V14" i="55"/>
  <c r="U29" i="33"/>
  <c r="AD65" i="33"/>
  <c r="T28" i="33"/>
  <c r="AK38" i="33"/>
  <c r="AL36" i="55" s="1"/>
  <c r="Z50" i="68"/>
  <c r="AA50" i="68" s="1"/>
  <c r="AB50" i="68" s="1"/>
  <c r="AC50" i="68" s="1"/>
  <c r="AD50" i="68" s="1"/>
  <c r="AE50" i="68" s="1"/>
  <c r="AF50" i="68" s="1"/>
  <c r="AG50" i="68" s="1"/>
  <c r="AH50" i="68" s="1"/>
  <c r="AC50" i="55"/>
  <c r="AC60" i="33"/>
  <c r="AF41" i="33"/>
  <c r="AE47" i="33"/>
  <c r="AE44" i="55"/>
  <c r="Q198" i="55"/>
  <c r="O35" i="68"/>
  <c r="O152" i="68" s="1"/>
  <c r="M6" i="64" s="1"/>
  <c r="P6" i="68"/>
  <c r="Q6" i="68" s="1"/>
  <c r="S12" i="68"/>
  <c r="T12" i="68" s="1"/>
  <c r="X171" i="55"/>
  <c r="Y172" i="55"/>
  <c r="AK42" i="33"/>
  <c r="AL40" i="55" s="1"/>
  <c r="AI46" i="55"/>
  <c r="S7" i="68"/>
  <c r="T7" i="68" s="1"/>
  <c r="U7" i="68" s="1"/>
  <c r="V7" i="68" s="1"/>
  <c r="W7" i="68" s="1"/>
  <c r="X7" i="68" s="1"/>
  <c r="Y7" i="68" s="1"/>
  <c r="Z7" i="68" s="1"/>
  <c r="AA7" i="68" s="1"/>
  <c r="AE7" i="55"/>
  <c r="P11" i="68"/>
  <c r="Q11" i="68" s="1"/>
  <c r="AE11" i="33"/>
  <c r="W164" i="55"/>
  <c r="X165" i="55"/>
  <c r="X54" i="68"/>
  <c r="Y54" i="68" s="1"/>
  <c r="AD61" i="33"/>
  <c r="O27" i="26"/>
  <c r="O21" i="26"/>
  <c r="Y94" i="68"/>
  <c r="Z94" i="68" s="1"/>
  <c r="V151" i="55"/>
  <c r="T51" i="68"/>
  <c r="AB29" i="55"/>
  <c r="AB31" i="33"/>
  <c r="AC31" i="33" s="1"/>
  <c r="AD31" i="33" s="1"/>
  <c r="X19" i="50"/>
  <c r="Y21" i="50"/>
  <c r="R9" i="68"/>
  <c r="S9" i="68" s="1"/>
  <c r="T9" i="68" s="1"/>
  <c r="U9" i="68" s="1"/>
  <c r="V9" i="68" s="1"/>
  <c r="W9" i="68" s="1"/>
  <c r="X9" i="68" s="1"/>
  <c r="Y9" i="68" s="1"/>
  <c r="Z9" i="68" s="1"/>
  <c r="AA9" i="68" s="1"/>
  <c r="AB9" i="68" s="1"/>
  <c r="AC9" i="68" s="1"/>
  <c r="AD9" i="68" s="1"/>
  <c r="AE9" i="68" s="1"/>
  <c r="AF9" i="68" s="1"/>
  <c r="AG9" i="68" s="1"/>
  <c r="AH9" i="68" s="1"/>
  <c r="AD45" i="55"/>
  <c r="X95" i="68"/>
  <c r="AH46" i="55"/>
  <c r="W58" i="55"/>
  <c r="W57" i="55" s="1"/>
  <c r="V67" i="33"/>
  <c r="W53" i="68"/>
  <c r="X53" i="68" s="1"/>
  <c r="W68" i="33"/>
  <c r="X68" i="33" s="1"/>
  <c r="AF11" i="55"/>
  <c r="AI40" i="55"/>
  <c r="R17" i="68"/>
  <c r="S17" i="68" s="1"/>
  <c r="U189" i="68"/>
  <c r="AD51" i="55"/>
  <c r="Y170" i="68"/>
  <c r="C97" i="68"/>
  <c r="AA20" i="55"/>
  <c r="T107" i="68"/>
  <c r="T172" i="68" s="1"/>
  <c r="U77" i="68"/>
  <c r="AI50" i="33"/>
  <c r="AJ46" i="55" s="1"/>
  <c r="M27" i="26"/>
  <c r="M21" i="26"/>
  <c r="U42" i="68"/>
  <c r="AE45" i="55"/>
  <c r="T143" i="68"/>
  <c r="T182" i="68" s="1"/>
  <c r="T183" i="68" s="1"/>
  <c r="U179" i="68" s="1"/>
  <c r="U113" i="68"/>
  <c r="Q14" i="68"/>
  <c r="S16" i="68"/>
  <c r="W152" i="55"/>
  <c r="X153" i="55"/>
  <c r="AE18" i="55"/>
  <c r="AE17" i="33"/>
  <c r="Y91" i="68"/>
  <c r="Z91" i="68" s="1"/>
  <c r="AA91" i="68" s="1"/>
  <c r="AB91" i="68" s="1"/>
  <c r="AC91" i="68" s="1"/>
  <c r="AD91" i="68" s="1"/>
  <c r="AE91" i="68" s="1"/>
  <c r="AF91" i="68" s="1"/>
  <c r="AG91" i="68" s="1"/>
  <c r="AH91" i="68" s="1"/>
  <c r="C5" i="63"/>
  <c r="C48" i="63"/>
  <c r="C31" i="37" s="1"/>
  <c r="X93" i="68"/>
  <c r="P10" i="68"/>
  <c r="X41" i="68"/>
  <c r="R5" i="68"/>
  <c r="X9" i="55"/>
  <c r="AJ40" i="55"/>
  <c r="AE11" i="55"/>
  <c r="AF7" i="33"/>
  <c r="R13" i="68"/>
  <c r="Z92" i="68"/>
  <c r="AA92" i="68" s="1"/>
  <c r="AB92" i="68" s="1"/>
  <c r="AC92" i="68" s="1"/>
  <c r="AD92" i="68" s="1"/>
  <c r="AE92" i="68" s="1"/>
  <c r="AF92" i="68" s="1"/>
  <c r="D96" i="68"/>
  <c r="X96" i="68" s="1"/>
  <c r="R15" i="68"/>
  <c r="U52" i="68"/>
  <c r="V52" i="68" s="1"/>
  <c r="W52" i="68" s="1"/>
  <c r="AF35" i="55"/>
  <c r="AE35" i="55"/>
  <c r="AF37" i="33"/>
  <c r="P5" i="37"/>
  <c r="S46" i="28"/>
  <c r="S47" i="28"/>
  <c r="S42" i="28"/>
  <c r="S39" i="28"/>
  <c r="S45" i="28"/>
  <c r="S41" i="28"/>
  <c r="S50" i="28"/>
  <c r="S48" i="28"/>
  <c r="T37" i="28"/>
  <c r="S44" i="28"/>
  <c r="S43" i="28"/>
  <c r="R51" i="28"/>
  <c r="R54" i="28" s="1"/>
  <c r="Q9" i="49" s="1"/>
  <c r="U180" i="55"/>
  <c r="T24" i="37"/>
  <c r="U17" i="28"/>
  <c r="U13" i="28"/>
  <c r="U10" i="28"/>
  <c r="V9" i="28"/>
  <c r="V20" i="28" s="1"/>
  <c r="U15" i="28"/>
  <c r="U14" i="28"/>
  <c r="U16" i="28"/>
  <c r="U11" i="28"/>
  <c r="U12" i="28"/>
  <c r="U18" i="28"/>
  <c r="W23" i="36"/>
  <c r="T40" i="66"/>
  <c r="T41" i="66"/>
  <c r="T39" i="66"/>
  <c r="W13" i="47"/>
  <c r="U38" i="66" s="1"/>
  <c r="T4" i="37"/>
  <c r="X14" i="47"/>
  <c r="S9" i="26"/>
  <c r="T10" i="62"/>
  <c r="V8" i="55" l="1"/>
  <c r="V3" i="55" s="1"/>
  <c r="Z76" i="33"/>
  <c r="AJ57" i="33"/>
  <c r="AK57" i="33" s="1"/>
  <c r="AL57" i="33" s="1"/>
  <c r="Q21" i="66"/>
  <c r="P15" i="37"/>
  <c r="AF27" i="33"/>
  <c r="AG25" i="55" s="1"/>
  <c r="Z56" i="33"/>
  <c r="AA56" i="33" s="1"/>
  <c r="X48" i="33"/>
  <c r="X43" i="33"/>
  <c r="Y41" i="55" s="1"/>
  <c r="Y34" i="55" s="1"/>
  <c r="Z63" i="33"/>
  <c r="AA53" i="55" s="1"/>
  <c r="S163" i="68"/>
  <c r="T159" i="68" s="1"/>
  <c r="X41" i="55"/>
  <c r="X34" i="55" s="1"/>
  <c r="W22" i="36"/>
  <c r="T24" i="39"/>
  <c r="T119" i="39" s="1"/>
  <c r="T129" i="39"/>
  <c r="T126" i="39" s="1"/>
  <c r="C20" i="68"/>
  <c r="D20" i="68" s="1"/>
  <c r="T20" i="68" s="1"/>
  <c r="U20" i="68" s="1"/>
  <c r="V20" i="68" s="1"/>
  <c r="S6" i="41"/>
  <c r="V11" i="36" s="1"/>
  <c r="Y76" i="33"/>
  <c r="W26" i="37" s="1"/>
  <c r="T71" i="68"/>
  <c r="T162" i="68" s="1"/>
  <c r="Y26" i="33"/>
  <c r="Y24" i="55"/>
  <c r="R5" i="62"/>
  <c r="Z47" i="55"/>
  <c r="Y48" i="33"/>
  <c r="Z51" i="33"/>
  <c r="R198" i="55"/>
  <c r="C57" i="68"/>
  <c r="U160" i="68"/>
  <c r="V17" i="55"/>
  <c r="U8" i="55"/>
  <c r="U3" i="55" s="1"/>
  <c r="V12" i="33"/>
  <c r="V5" i="33" s="1"/>
  <c r="T150" i="68"/>
  <c r="Z151" i="68" s="1"/>
  <c r="Z187" i="68" s="1"/>
  <c r="U5" i="33"/>
  <c r="V18" i="33"/>
  <c r="V15" i="33" s="1"/>
  <c r="T5" i="33"/>
  <c r="T4" i="33" s="1"/>
  <c r="R22" i="26" s="1"/>
  <c r="R27" i="26" s="1"/>
  <c r="S187" i="55"/>
  <c r="S196" i="55" s="1"/>
  <c r="S198" i="55" s="1"/>
  <c r="S4" i="33"/>
  <c r="Q22" i="26" s="1"/>
  <c r="R20" i="66"/>
  <c r="W70" i="55"/>
  <c r="U21" i="52"/>
  <c r="U19" i="52" s="1"/>
  <c r="U6" i="52" s="1"/>
  <c r="W13" i="36" s="1"/>
  <c r="T22" i="41"/>
  <c r="W131" i="55" s="1"/>
  <c r="W127" i="55" s="1"/>
  <c r="V30" i="33"/>
  <c r="W28" i="55" s="1"/>
  <c r="S6" i="40"/>
  <c r="V10" i="36" s="1"/>
  <c r="V112" i="55"/>
  <c r="V105" i="55" s="1"/>
  <c r="T71" i="55"/>
  <c r="T185" i="55" s="1"/>
  <c r="Q133" i="39"/>
  <c r="T9" i="36" s="1"/>
  <c r="T7" i="36" s="1"/>
  <c r="T7" i="30"/>
  <c r="T16" i="30" s="1"/>
  <c r="U41" i="30"/>
  <c r="AK29" i="45"/>
  <c r="AK5" i="45" s="1"/>
  <c r="U41" i="35"/>
  <c r="U40" i="35" s="1"/>
  <c r="U7" i="35" s="1"/>
  <c r="U16" i="35" s="1"/>
  <c r="X8" i="36" s="1"/>
  <c r="T27" i="32"/>
  <c r="O25" i="37"/>
  <c r="T173" i="68"/>
  <c r="U169" i="68" s="1"/>
  <c r="AF8" i="33"/>
  <c r="AG8" i="33" s="1"/>
  <c r="AH5" i="55" s="1"/>
  <c r="W19" i="33"/>
  <c r="X19" i="33" s="1"/>
  <c r="P21" i="26"/>
  <c r="U13" i="55"/>
  <c r="W20" i="33"/>
  <c r="X20" i="33" s="1"/>
  <c r="Y16" i="55" s="1"/>
  <c r="W16" i="55"/>
  <c r="U15" i="33"/>
  <c r="V16" i="55"/>
  <c r="W16" i="33"/>
  <c r="X21" i="55"/>
  <c r="W14" i="55"/>
  <c r="Z6" i="55"/>
  <c r="AA14" i="33"/>
  <c r="AA10" i="55"/>
  <c r="X48" i="55"/>
  <c r="AM57" i="33"/>
  <c r="D57" i="33" s="1"/>
  <c r="AE55" i="33"/>
  <c r="AE21" i="33"/>
  <c r="W112" i="55"/>
  <c r="W105" i="55" s="1"/>
  <c r="T6" i="40"/>
  <c r="W10" i="36" s="1"/>
  <c r="T39" i="28"/>
  <c r="T49" i="28"/>
  <c r="X6" i="33"/>
  <c r="Y6" i="33" s="1"/>
  <c r="X4" i="55"/>
  <c r="AD13" i="33"/>
  <c r="AE13" i="33" s="1"/>
  <c r="Y24" i="33"/>
  <c r="Z24" i="33" s="1"/>
  <c r="W22" i="33"/>
  <c r="U35" i="58" s="1"/>
  <c r="U36" i="58" s="1"/>
  <c r="U21" i="37" s="1"/>
  <c r="AA35" i="33"/>
  <c r="AA33" i="55"/>
  <c r="X22" i="33"/>
  <c r="V35" i="58" s="1"/>
  <c r="V36" i="58" s="1"/>
  <c r="V21" i="37" s="1"/>
  <c r="Y25" i="33"/>
  <c r="Z22" i="55" s="1"/>
  <c r="Z9" i="33"/>
  <c r="Z12" i="55"/>
  <c r="Y59" i="33"/>
  <c r="Y49" i="55"/>
  <c r="AB52" i="55"/>
  <c r="AC62" i="33"/>
  <c r="Y66" i="33"/>
  <c r="Z66" i="33" s="1"/>
  <c r="Y56" i="55"/>
  <c r="X58" i="33"/>
  <c r="AE64" i="33"/>
  <c r="AF64" i="33" s="1"/>
  <c r="AE54" i="55"/>
  <c r="AD54" i="55"/>
  <c r="O153" i="68"/>
  <c r="P149" i="68" s="1"/>
  <c r="AB7" i="68"/>
  <c r="AC7" i="68" s="1"/>
  <c r="AD7" i="68" s="1"/>
  <c r="AE7" i="68" s="1"/>
  <c r="AF7" i="68" s="1"/>
  <c r="AG7" i="68" s="1"/>
  <c r="AH7" i="68" s="1"/>
  <c r="AG34" i="33"/>
  <c r="AH34" i="33" s="1"/>
  <c r="AI32" i="55" s="1"/>
  <c r="Z24" i="30"/>
  <c r="AP12" i="45"/>
  <c r="Z24" i="35"/>
  <c r="AA59" i="55"/>
  <c r="AA69" i="33"/>
  <c r="Z9" i="50"/>
  <c r="Y7" i="50"/>
  <c r="R89" i="33"/>
  <c r="W27" i="30"/>
  <c r="AM15" i="45"/>
  <c r="W27" i="35"/>
  <c r="S16" i="62"/>
  <c r="V98" i="55"/>
  <c r="S116" i="39"/>
  <c r="AH21" i="30"/>
  <c r="AX9" i="45"/>
  <c r="AH21" i="35"/>
  <c r="AA6" i="55"/>
  <c r="AC6" i="55"/>
  <c r="V76" i="55"/>
  <c r="V23" i="52"/>
  <c r="U26" i="41"/>
  <c r="X133" i="55" s="1"/>
  <c r="W32" i="33"/>
  <c r="X30" i="55" s="1"/>
  <c r="AL40" i="33"/>
  <c r="AM38" i="55" s="1"/>
  <c r="W44" i="30"/>
  <c r="W44" i="35"/>
  <c r="W43" i="35" s="1"/>
  <c r="W8" i="35" s="1"/>
  <c r="AM32" i="45"/>
  <c r="V8" i="30"/>
  <c r="R133" i="39"/>
  <c r="V26" i="50"/>
  <c r="V38" i="50" s="1"/>
  <c r="V20" i="36" s="1"/>
  <c r="W27" i="50"/>
  <c r="U19" i="68"/>
  <c r="V19" i="68" s="1"/>
  <c r="W19" i="68" s="1"/>
  <c r="AC45" i="33"/>
  <c r="AD45" i="33" s="1"/>
  <c r="AE42" i="55" s="1"/>
  <c r="AC42" i="55"/>
  <c r="AB32" i="30"/>
  <c r="AR20" i="45"/>
  <c r="AB32" i="35"/>
  <c r="AQ17" i="45"/>
  <c r="AA29" i="30"/>
  <c r="AA29" i="35"/>
  <c r="O21" i="66"/>
  <c r="U6" i="30"/>
  <c r="U31" i="32"/>
  <c r="V19" i="30"/>
  <c r="AL7" i="45"/>
  <c r="V19" i="35"/>
  <c r="V18" i="35" s="1"/>
  <c r="V6" i="35" s="1"/>
  <c r="AC35" i="30"/>
  <c r="AC35" i="35"/>
  <c r="AS23" i="45"/>
  <c r="AC31" i="30"/>
  <c r="AC31" i="35"/>
  <c r="AS19" i="45"/>
  <c r="U71" i="55"/>
  <c r="U185" i="55" s="1"/>
  <c r="AE30" i="30"/>
  <c r="AU18" i="45"/>
  <c r="AE30" i="35"/>
  <c r="Y31" i="55"/>
  <c r="X33" i="33"/>
  <c r="R6" i="68"/>
  <c r="S6" i="68" s="1"/>
  <c r="T6" i="68" s="1"/>
  <c r="U6" i="68" s="1"/>
  <c r="V6" i="68" s="1"/>
  <c r="W6" i="68" s="1"/>
  <c r="X6" i="68" s="1"/>
  <c r="Y6" i="68" s="1"/>
  <c r="Z6" i="68" s="1"/>
  <c r="AA6" i="68" s="1"/>
  <c r="AB6" i="68" s="1"/>
  <c r="AC6" i="68" s="1"/>
  <c r="AD6" i="68" s="1"/>
  <c r="AE6" i="68" s="1"/>
  <c r="AF6" i="68" s="1"/>
  <c r="AG6" i="68" s="1"/>
  <c r="AH6" i="68" s="1"/>
  <c r="P35" i="68"/>
  <c r="P152" i="68" s="1"/>
  <c r="N6" i="64" s="1"/>
  <c r="AL42" i="33"/>
  <c r="AM40" i="55" s="1"/>
  <c r="AJ50" i="33"/>
  <c r="AK46" i="55" s="1"/>
  <c r="AE65" i="33"/>
  <c r="AF65" i="33" s="1"/>
  <c r="AG39" i="55"/>
  <c r="AL38" i="33"/>
  <c r="AM38" i="33" s="1"/>
  <c r="AA66" i="55"/>
  <c r="AA195" i="55" s="1"/>
  <c r="AA19" i="55"/>
  <c r="AF45" i="55"/>
  <c r="Q89" i="33"/>
  <c r="R16" i="62"/>
  <c r="AF44" i="55"/>
  <c r="AF47" i="33"/>
  <c r="AG47" i="33" s="1"/>
  <c r="AB37" i="55"/>
  <c r="AD50" i="55"/>
  <c r="AD60" i="33"/>
  <c r="T26" i="55"/>
  <c r="T64" i="55" s="1"/>
  <c r="T65" i="55"/>
  <c r="T194" i="55" s="1"/>
  <c r="Y68" i="33"/>
  <c r="Y67" i="33" s="1"/>
  <c r="AE55" i="55"/>
  <c r="V27" i="55"/>
  <c r="V26" i="55" s="1"/>
  <c r="U28" i="33"/>
  <c r="V29" i="33"/>
  <c r="U150" i="68"/>
  <c r="AA151" i="68" s="1"/>
  <c r="C21" i="68"/>
  <c r="D21" i="68" s="1"/>
  <c r="U21" i="68" s="1"/>
  <c r="V21" i="68" s="1"/>
  <c r="X26" i="37"/>
  <c r="AG41" i="33"/>
  <c r="AH41" i="33" s="1"/>
  <c r="Y187" i="68"/>
  <c r="Y188" i="68"/>
  <c r="AB39" i="33"/>
  <c r="Z172" i="55"/>
  <c r="Y171" i="55"/>
  <c r="Q10" i="68"/>
  <c r="R10" i="68" s="1"/>
  <c r="S10" i="68" s="1"/>
  <c r="T10" i="68" s="1"/>
  <c r="U10" i="68" s="1"/>
  <c r="V10" i="68" s="1"/>
  <c r="W10" i="68" s="1"/>
  <c r="X10" i="68" s="1"/>
  <c r="Y10" i="68" s="1"/>
  <c r="U12" i="68"/>
  <c r="Y53" i="68"/>
  <c r="Z53" i="68" s="1"/>
  <c r="Z56" i="68"/>
  <c r="AA56" i="68" s="1"/>
  <c r="Y96" i="68"/>
  <c r="Z96" i="68" s="1"/>
  <c r="AA96" i="68" s="1"/>
  <c r="Y9" i="55"/>
  <c r="P10" i="26"/>
  <c r="S15" i="68"/>
  <c r="S13" i="68"/>
  <c r="T13" i="68" s="1"/>
  <c r="U13" i="68" s="1"/>
  <c r="V13" i="68" s="1"/>
  <c r="W13" i="68" s="1"/>
  <c r="X13" i="68" s="1"/>
  <c r="Y13" i="68" s="1"/>
  <c r="Z13" i="68" s="1"/>
  <c r="AA13" i="68" s="1"/>
  <c r="AB13" i="68" s="1"/>
  <c r="AC13" i="68" s="1"/>
  <c r="AD13" i="68" s="1"/>
  <c r="AE13" i="68" s="1"/>
  <c r="AF13" i="68" s="1"/>
  <c r="AG13" i="68" s="1"/>
  <c r="AF18" i="55"/>
  <c r="AF17" i="33"/>
  <c r="AG17" i="33" s="1"/>
  <c r="U143" i="68"/>
  <c r="U182" i="68" s="1"/>
  <c r="U183" i="68" s="1"/>
  <c r="V179" i="68" s="1"/>
  <c r="V113" i="68"/>
  <c r="T16" i="68"/>
  <c r="AA94" i="68"/>
  <c r="AB94" i="68" s="1"/>
  <c r="AC94" i="68" s="1"/>
  <c r="AG45" i="55"/>
  <c r="AE51" i="55"/>
  <c r="Y41" i="68"/>
  <c r="C5" i="64"/>
  <c r="X152" i="55"/>
  <c r="Y153" i="55"/>
  <c r="D97" i="68"/>
  <c r="Y97" i="68" s="1"/>
  <c r="C49" i="63"/>
  <c r="C30" i="26" s="1"/>
  <c r="C6" i="63"/>
  <c r="W151" i="55"/>
  <c r="R14" i="68"/>
  <c r="AF7" i="55"/>
  <c r="AF11" i="33"/>
  <c r="AA55" i="68"/>
  <c r="U107" i="68"/>
  <c r="U172" i="68" s="1"/>
  <c r="V77" i="68"/>
  <c r="T17" i="68"/>
  <c r="Z21" i="50"/>
  <c r="Y19" i="50"/>
  <c r="AG35" i="55"/>
  <c r="AG37" i="33"/>
  <c r="AH37" i="33" s="1"/>
  <c r="AI37" i="33" s="1"/>
  <c r="AD29" i="55"/>
  <c r="V42" i="68"/>
  <c r="X58" i="55"/>
  <c r="X57" i="55" s="1"/>
  <c r="W67" i="33"/>
  <c r="Z54" i="68"/>
  <c r="AA54" i="68" s="1"/>
  <c r="AB54" i="68" s="1"/>
  <c r="AC54" i="68" s="1"/>
  <c r="AD54" i="68" s="1"/>
  <c r="AE54" i="68" s="1"/>
  <c r="AF54" i="68" s="1"/>
  <c r="AG49" i="33"/>
  <c r="X52" i="68"/>
  <c r="Y52" i="68" s="1"/>
  <c r="Z52" i="68" s="1"/>
  <c r="AA52" i="68" s="1"/>
  <c r="AB52" i="68" s="1"/>
  <c r="AC52" i="68" s="1"/>
  <c r="AD52" i="68" s="1"/>
  <c r="AE52" i="68" s="1"/>
  <c r="AF52" i="68" s="1"/>
  <c r="AG52" i="68" s="1"/>
  <c r="AH52" i="68" s="1"/>
  <c r="T46" i="28"/>
  <c r="AG11" i="55"/>
  <c r="AG7" i="33"/>
  <c r="S5" i="68"/>
  <c r="T18" i="68"/>
  <c r="AE61" i="33"/>
  <c r="AF61" i="33" s="1"/>
  <c r="AG61" i="33" s="1"/>
  <c r="Y95" i="68"/>
  <c r="Z95" i="68" s="1"/>
  <c r="R11" i="68"/>
  <c r="Y58" i="55"/>
  <c r="Y57" i="55" s="1"/>
  <c r="X67" i="33"/>
  <c r="AE29" i="55"/>
  <c r="AG92" i="68"/>
  <c r="AH92" i="68" s="1"/>
  <c r="Y93" i="68"/>
  <c r="Z93" i="68" s="1"/>
  <c r="AA93" i="68" s="1"/>
  <c r="AB93" i="68" s="1"/>
  <c r="AC93" i="68" s="1"/>
  <c r="AD93" i="68" s="1"/>
  <c r="AE93" i="68" s="1"/>
  <c r="AF93" i="68" s="1"/>
  <c r="AG93" i="68" s="1"/>
  <c r="AH93" i="68" s="1"/>
  <c r="Z170" i="68"/>
  <c r="C98" i="68"/>
  <c r="AB20" i="55"/>
  <c r="AC29" i="55"/>
  <c r="AE31" i="33"/>
  <c r="AF31" i="33" s="1"/>
  <c r="AG31" i="33" s="1"/>
  <c r="U51" i="68"/>
  <c r="X164" i="55"/>
  <c r="Y165" i="55"/>
  <c r="T41" i="28"/>
  <c r="T45" i="28"/>
  <c r="T47" i="28"/>
  <c r="T44" i="28"/>
  <c r="T43" i="28"/>
  <c r="T40" i="28"/>
  <c r="S51" i="28"/>
  <c r="S54" i="28" s="1"/>
  <c r="T42" i="28"/>
  <c r="Q5" i="37"/>
  <c r="V180" i="55"/>
  <c r="U24" i="37"/>
  <c r="V13" i="28"/>
  <c r="V16" i="28"/>
  <c r="W9" i="28"/>
  <c r="W20" i="28" s="1"/>
  <c r="V11" i="28"/>
  <c r="V17" i="28"/>
  <c r="V18" i="28"/>
  <c r="V14" i="28"/>
  <c r="V12" i="28"/>
  <c r="V15" i="28"/>
  <c r="V10" i="28"/>
  <c r="X23" i="36"/>
  <c r="U37" i="28"/>
  <c r="T50" i="28"/>
  <c r="T48" i="28"/>
  <c r="X13" i="47"/>
  <c r="V38" i="66" s="1"/>
  <c r="U4" i="37"/>
  <c r="Y14" i="47"/>
  <c r="U41" i="66"/>
  <c r="U39" i="66"/>
  <c r="U40" i="66"/>
  <c r="T9" i="26"/>
  <c r="U10" i="62"/>
  <c r="T5" i="62" l="1"/>
  <c r="R21" i="66"/>
  <c r="Q15" i="37"/>
  <c r="AG27" i="33"/>
  <c r="AH27" i="33" s="1"/>
  <c r="AA63" i="33"/>
  <c r="AB63" i="33" s="1"/>
  <c r="AC53" i="55" s="1"/>
  <c r="Y43" i="33"/>
  <c r="Z43" i="33" s="1"/>
  <c r="AA41" i="55" s="1"/>
  <c r="X36" i="33"/>
  <c r="T6" i="41"/>
  <c r="W11" i="36" s="1"/>
  <c r="T163" i="68"/>
  <c r="U159" i="68" s="1"/>
  <c r="U64" i="55"/>
  <c r="U187" i="55" s="1"/>
  <c r="U196" i="55" s="1"/>
  <c r="U65" i="55"/>
  <c r="U194" i="55" s="1"/>
  <c r="T25" i="39"/>
  <c r="T26" i="39" s="1"/>
  <c r="T6" i="39" s="1"/>
  <c r="W98" i="55"/>
  <c r="T116" i="39"/>
  <c r="AH8" i="33"/>
  <c r="AI5" i="55" s="1"/>
  <c r="AG5" i="55"/>
  <c r="U24" i="39"/>
  <c r="U119" i="39" s="1"/>
  <c r="U129" i="39"/>
  <c r="U126" i="39" s="1"/>
  <c r="X22" i="36"/>
  <c r="R88" i="33"/>
  <c r="V13" i="55"/>
  <c r="V64" i="55" s="1"/>
  <c r="Z26" i="33"/>
  <c r="Z24" i="55"/>
  <c r="S20" i="66"/>
  <c r="Z48" i="33"/>
  <c r="AA47" i="55"/>
  <c r="AA51" i="33"/>
  <c r="P25" i="37"/>
  <c r="S5" i="62"/>
  <c r="Z188" i="68"/>
  <c r="Z189" i="68" s="1"/>
  <c r="U5" i="62"/>
  <c r="W12" i="33"/>
  <c r="W5" i="33" s="1"/>
  <c r="W8" i="55"/>
  <c r="W3" i="55" s="1"/>
  <c r="W17" i="55"/>
  <c r="W13" i="55" s="1"/>
  <c r="W18" i="33"/>
  <c r="X18" i="33" s="1"/>
  <c r="C58" i="68"/>
  <c r="D58" i="68" s="1"/>
  <c r="V58" i="68" s="1"/>
  <c r="V160" i="68"/>
  <c r="D57" i="68"/>
  <c r="U57" i="68" s="1"/>
  <c r="T187" i="55"/>
  <c r="T196" i="55" s="1"/>
  <c r="T198" i="55" s="1"/>
  <c r="U32" i="40"/>
  <c r="U33" i="40" s="1"/>
  <c r="U34" i="40" s="1"/>
  <c r="U6" i="40" s="1"/>
  <c r="X14" i="36"/>
  <c r="X70" i="55"/>
  <c r="V21" i="52"/>
  <c r="V19" i="52" s="1"/>
  <c r="V6" i="52" s="1"/>
  <c r="X13" i="36" s="1"/>
  <c r="W30" i="33"/>
  <c r="X28" i="55" s="1"/>
  <c r="U22" i="41"/>
  <c r="X131" i="55" s="1"/>
  <c r="X127" i="55" s="1"/>
  <c r="U27" i="32"/>
  <c r="V129" i="39" s="1"/>
  <c r="V126" i="39" s="1"/>
  <c r="U7" i="30"/>
  <c r="U16" i="30" s="1"/>
  <c r="AL29" i="45"/>
  <c r="AL5" i="45" s="1"/>
  <c r="Y14" i="36" s="1"/>
  <c r="V41" i="35"/>
  <c r="V40" i="35" s="1"/>
  <c r="V7" i="35" s="1"/>
  <c r="V16" i="35" s="1"/>
  <c r="Y8" i="36" s="1"/>
  <c r="V41" i="30"/>
  <c r="U173" i="68"/>
  <c r="V169" i="68" s="1"/>
  <c r="T88" i="33"/>
  <c r="U20" i="66"/>
  <c r="X15" i="55"/>
  <c r="X16" i="33"/>
  <c r="Y16" i="33" s="1"/>
  <c r="U4" i="33"/>
  <c r="S22" i="26" s="1"/>
  <c r="X14" i="55"/>
  <c r="S88" i="33"/>
  <c r="Y15" i="55"/>
  <c r="Y19" i="33"/>
  <c r="T20" i="66"/>
  <c r="Y20" i="33"/>
  <c r="Z16" i="55" s="1"/>
  <c r="X16" i="55"/>
  <c r="Z21" i="55"/>
  <c r="AB10" i="55"/>
  <c r="AB14" i="33"/>
  <c r="AF55" i="33"/>
  <c r="AG55" i="33" s="1"/>
  <c r="AB56" i="33"/>
  <c r="AC56" i="33" s="1"/>
  <c r="R21" i="26"/>
  <c r="Z25" i="33"/>
  <c r="U44" i="28"/>
  <c r="U49" i="28"/>
  <c r="AF21" i="33"/>
  <c r="AF13" i="33"/>
  <c r="AG13" i="33" s="1"/>
  <c r="AH13" i="33" s="1"/>
  <c r="AI13" i="33" s="1"/>
  <c r="Z4" i="55"/>
  <c r="Z6" i="33"/>
  <c r="Y4" i="55"/>
  <c r="R5" i="37"/>
  <c r="R10" i="26" s="1"/>
  <c r="R9" i="49"/>
  <c r="Y22" i="33"/>
  <c r="W35" i="58" s="1"/>
  <c r="W36" i="58" s="1"/>
  <c r="W21" i="37" s="1"/>
  <c r="AK50" i="33"/>
  <c r="AL46" i="55" s="1"/>
  <c r="AB35" i="33"/>
  <c r="AC35" i="33" s="1"/>
  <c r="AD33" i="55" s="1"/>
  <c r="AB33" i="55"/>
  <c r="Y48" i="55"/>
  <c r="AA12" i="55"/>
  <c r="AA9" i="33"/>
  <c r="Z59" i="33"/>
  <c r="Z49" i="55"/>
  <c r="AH32" i="55"/>
  <c r="S133" i="39"/>
  <c r="V9" i="36" s="1"/>
  <c r="V7" i="36" s="1"/>
  <c r="S15" i="37" s="1"/>
  <c r="AD52" i="55"/>
  <c r="AD62" i="33"/>
  <c r="AA66" i="33"/>
  <c r="AA56" i="55"/>
  <c r="Z56" i="55"/>
  <c r="Y58" i="33"/>
  <c r="AA21" i="55"/>
  <c r="AA24" i="33"/>
  <c r="AG64" i="33"/>
  <c r="AH64" i="33" s="1"/>
  <c r="AI54" i="55" s="1"/>
  <c r="AG54" i="55"/>
  <c r="AF54" i="55"/>
  <c r="AF55" i="55"/>
  <c r="Z68" i="33"/>
  <c r="AA58" i="55" s="1"/>
  <c r="AA57" i="55" s="1"/>
  <c r="Z58" i="55"/>
  <c r="Z57" i="55" s="1"/>
  <c r="AM40" i="33"/>
  <c r="AN38" i="55" s="1"/>
  <c r="E38" i="55" s="1"/>
  <c r="AM42" i="33"/>
  <c r="AN40" i="55" s="1"/>
  <c r="E40" i="55" s="1"/>
  <c r="AE45" i="33"/>
  <c r="AF42" i="55" s="1"/>
  <c r="AI34" i="33"/>
  <c r="AJ32" i="55" s="1"/>
  <c r="V71" i="55"/>
  <c r="V185" i="55" s="1"/>
  <c r="AD42" i="55"/>
  <c r="AB69" i="33"/>
  <c r="AB59" i="55"/>
  <c r="AI21" i="30"/>
  <c r="AY9" i="45"/>
  <c r="AI21" i="35"/>
  <c r="AB29" i="30"/>
  <c r="AB29" i="35"/>
  <c r="AR17" i="45"/>
  <c r="V6" i="30"/>
  <c r="V31" i="32"/>
  <c r="W19" i="30"/>
  <c r="AM7" i="45"/>
  <c r="W19" i="35"/>
  <c r="W18" i="35" s="1"/>
  <c r="W6" i="35" s="1"/>
  <c r="AB6" i="55"/>
  <c r="Z31" i="55"/>
  <c r="Y33" i="33"/>
  <c r="AA9" i="50"/>
  <c r="Z7" i="50"/>
  <c r="W26" i="50"/>
  <c r="W38" i="50" s="1"/>
  <c r="W20" i="36" s="1"/>
  <c r="X27" i="50"/>
  <c r="AA31" i="55"/>
  <c r="Z33" i="33"/>
  <c r="V26" i="41"/>
  <c r="Y133" i="55" s="1"/>
  <c r="W23" i="52"/>
  <c r="X32" i="33"/>
  <c r="Q35" i="68"/>
  <c r="Q152" i="68" s="1"/>
  <c r="O6" i="64" s="1"/>
  <c r="X27" i="30"/>
  <c r="X27" i="35"/>
  <c r="AN15" i="45"/>
  <c r="AF30" i="30"/>
  <c r="AV18" i="45"/>
  <c r="AF30" i="35"/>
  <c r="AD31" i="30"/>
  <c r="AD31" i="35"/>
  <c r="AT19" i="45"/>
  <c r="X44" i="30"/>
  <c r="X44" i="35"/>
  <c r="X43" i="35" s="1"/>
  <c r="X8" i="35" s="1"/>
  <c r="AN32" i="45"/>
  <c r="W8" i="30"/>
  <c r="W21" i="68"/>
  <c r="X21" i="68" s="1"/>
  <c r="P153" i="68"/>
  <c r="Q149" i="68" s="1"/>
  <c r="AA24" i="30"/>
  <c r="AQ12" i="45"/>
  <c r="AA24" i="35"/>
  <c r="AD35" i="30"/>
  <c r="AT23" i="45"/>
  <c r="AD35" i="35"/>
  <c r="AC32" i="30"/>
  <c r="AC32" i="35"/>
  <c r="AS20" i="45"/>
  <c r="U9" i="36"/>
  <c r="AG65" i="33"/>
  <c r="AH55" i="55" s="1"/>
  <c r="AG55" i="55"/>
  <c r="AI39" i="55"/>
  <c r="AH47" i="33"/>
  <c r="AI44" i="55" s="1"/>
  <c r="AH44" i="55"/>
  <c r="AB66" i="55"/>
  <c r="AB195" i="55" s="1"/>
  <c r="AB19" i="55"/>
  <c r="Y189" i="68"/>
  <c r="V65" i="55"/>
  <c r="V194" i="55" s="1"/>
  <c r="AG44" i="55"/>
  <c r="AE60" i="33"/>
  <c r="AE50" i="55"/>
  <c r="AM36" i="55"/>
  <c r="AA187" i="68"/>
  <c r="AA188" i="68"/>
  <c r="AJ37" i="33"/>
  <c r="AK35" i="55" s="1"/>
  <c r="AC37" i="55"/>
  <c r="AC39" i="33"/>
  <c r="V28" i="33"/>
  <c r="V4" i="33" s="1"/>
  <c r="V150" i="68"/>
  <c r="AB151" i="68" s="1"/>
  <c r="AA76" i="33"/>
  <c r="Y26" i="37" s="1"/>
  <c r="C22" i="68"/>
  <c r="D22" i="68" s="1"/>
  <c r="V22" i="68" s="1"/>
  <c r="W22" i="68" s="1"/>
  <c r="W27" i="55"/>
  <c r="W29" i="33"/>
  <c r="AH39" i="55"/>
  <c r="AI41" i="33"/>
  <c r="AJ39" i="55" s="1"/>
  <c r="AB56" i="68"/>
  <c r="S89" i="33"/>
  <c r="T16" i="62"/>
  <c r="Q21" i="26"/>
  <c r="Q27" i="26"/>
  <c r="AB96" i="68"/>
  <c r="AC96" i="68" s="1"/>
  <c r="S14" i="68"/>
  <c r="T14" i="68" s="1"/>
  <c r="U14" i="68" s="1"/>
  <c r="Z10" i="68"/>
  <c r="AA10" i="68" s="1"/>
  <c r="AB10" i="68" s="1"/>
  <c r="AC10" i="68" s="1"/>
  <c r="AD10" i="68" s="1"/>
  <c r="AE10" i="68" s="1"/>
  <c r="AF10" i="68" s="1"/>
  <c r="AG10" i="68" s="1"/>
  <c r="AH10" i="68" s="1"/>
  <c r="X151" i="55"/>
  <c r="AA172" i="55"/>
  <c r="Z171" i="55"/>
  <c r="V12" i="68"/>
  <c r="W12" i="68" s="1"/>
  <c r="X12" i="68" s="1"/>
  <c r="Y12" i="68" s="1"/>
  <c r="Z12" i="68" s="1"/>
  <c r="AA12" i="68" s="1"/>
  <c r="AB12" i="68" s="1"/>
  <c r="AC12" i="68" s="1"/>
  <c r="AD12" i="68" s="1"/>
  <c r="AE12" i="68" s="1"/>
  <c r="AF12" i="68" s="1"/>
  <c r="AG12" i="68" s="1"/>
  <c r="AH12" i="68" s="1"/>
  <c r="AH51" i="55"/>
  <c r="AB55" i="68"/>
  <c r="AC55" i="68" s="1"/>
  <c r="AD55" i="68" s="1"/>
  <c r="AE55" i="68" s="1"/>
  <c r="AF55" i="68" s="1"/>
  <c r="AG55" i="68" s="1"/>
  <c r="AH55" i="68" s="1"/>
  <c r="R35" i="68"/>
  <c r="R152" i="68" s="1"/>
  <c r="P6" i="64" s="1"/>
  <c r="U16" i="68"/>
  <c r="V16" i="68" s="1"/>
  <c r="AH29" i="55"/>
  <c r="D4" i="63"/>
  <c r="C22" i="54"/>
  <c r="Z97" i="68"/>
  <c r="W20" i="68"/>
  <c r="W42" i="68"/>
  <c r="V51" i="68"/>
  <c r="W51" i="68" s="1"/>
  <c r="X51" i="68" s="1"/>
  <c r="Y51" i="68" s="1"/>
  <c r="Z51" i="68" s="1"/>
  <c r="AA51" i="68" s="1"/>
  <c r="AB51" i="68" s="1"/>
  <c r="AC51" i="68" s="1"/>
  <c r="AD51" i="68" s="1"/>
  <c r="AE51" i="68" s="1"/>
  <c r="AF51" i="68" s="1"/>
  <c r="AG51" i="68" s="1"/>
  <c r="AH51" i="68" s="1"/>
  <c r="D98" i="68"/>
  <c r="Z98" i="68" s="1"/>
  <c r="AH11" i="55"/>
  <c r="AH7" i="33"/>
  <c r="AN36" i="55"/>
  <c r="D38" i="33"/>
  <c r="U17" i="68"/>
  <c r="X19" i="68"/>
  <c r="Z41" i="68"/>
  <c r="AG54" i="68"/>
  <c r="AH54" i="68" s="1"/>
  <c r="AG29" i="55"/>
  <c r="Z9" i="55"/>
  <c r="V107" i="68"/>
  <c r="V172" i="68" s="1"/>
  <c r="W77" i="68"/>
  <c r="AA95" i="68"/>
  <c r="AB95" i="68" s="1"/>
  <c r="AC95" i="68" s="1"/>
  <c r="AG18" i="55"/>
  <c r="AH17" i="33"/>
  <c r="AI18" i="55" s="1"/>
  <c r="S11" i="68"/>
  <c r="T11" i="68" s="1"/>
  <c r="U11" i="68" s="1"/>
  <c r="V11" i="68" s="1"/>
  <c r="W11" i="68" s="1"/>
  <c r="X11" i="68" s="1"/>
  <c r="Y11" i="68" s="1"/>
  <c r="Z11" i="68" s="1"/>
  <c r="AA11" i="68" s="1"/>
  <c r="AB11" i="68" s="1"/>
  <c r="AC11" i="68" s="1"/>
  <c r="AD11" i="68" s="1"/>
  <c r="AE11" i="68" s="1"/>
  <c r="AF11" i="68" s="1"/>
  <c r="AG11" i="68" s="1"/>
  <c r="AH11" i="68" s="1"/>
  <c r="Y164" i="55"/>
  <c r="Z165" i="55"/>
  <c r="AH45" i="55"/>
  <c r="AH49" i="33"/>
  <c r="AI49" i="33" s="1"/>
  <c r="AH18" i="55"/>
  <c r="Y152" i="55"/>
  <c r="Z153" i="55"/>
  <c r="U18" i="68"/>
  <c r="V18" i="68" s="1"/>
  <c r="AH13" i="68"/>
  <c r="AG51" i="55"/>
  <c r="AA53" i="68"/>
  <c r="AJ35" i="55"/>
  <c r="V143" i="68"/>
  <c r="V182" i="68" s="1"/>
  <c r="V183" i="68" s="1"/>
  <c r="W179" i="68" s="1"/>
  <c r="W113" i="68"/>
  <c r="T15" i="68"/>
  <c r="AF29" i="55"/>
  <c r="AH31" i="33"/>
  <c r="AI31" i="33" s="1"/>
  <c r="AA170" i="68"/>
  <c r="C99" i="68"/>
  <c r="AC20" i="55"/>
  <c r="AI35" i="55"/>
  <c r="AF51" i="55"/>
  <c r="T5" i="68"/>
  <c r="AH35" i="55"/>
  <c r="AA21" i="50"/>
  <c r="Z19" i="50"/>
  <c r="AG7" i="55"/>
  <c r="AG11" i="33"/>
  <c r="AH11" i="33" s="1"/>
  <c r="AI7" i="55" s="1"/>
  <c r="AH61" i="33"/>
  <c r="AI61" i="33" s="1"/>
  <c r="AD94" i="68"/>
  <c r="AE94" i="68" s="1"/>
  <c r="T51" i="28"/>
  <c r="T54" i="28" s="1"/>
  <c r="S9" i="49" s="1"/>
  <c r="V37" i="28"/>
  <c r="U50" i="28"/>
  <c r="U48" i="28"/>
  <c r="U45" i="28"/>
  <c r="U46" i="28"/>
  <c r="U47" i="28"/>
  <c r="U41" i="28"/>
  <c r="V24" i="37"/>
  <c r="W11" i="28"/>
  <c r="W13" i="28"/>
  <c r="W15" i="28"/>
  <c r="X9" i="28"/>
  <c r="X20" i="28" s="1"/>
  <c r="W16" i="28"/>
  <c r="W17" i="28"/>
  <c r="W14" i="28"/>
  <c r="W10" i="28"/>
  <c r="W12" i="28"/>
  <c r="W18" i="28"/>
  <c r="Y23" i="36"/>
  <c r="U43" i="28"/>
  <c r="U39" i="28"/>
  <c r="Q10" i="26"/>
  <c r="U40" i="28"/>
  <c r="U42" i="28"/>
  <c r="W180" i="55"/>
  <c r="V4" i="37"/>
  <c r="Z14" i="47"/>
  <c r="Y13" i="47"/>
  <c r="W38" i="66" s="1"/>
  <c r="V10" i="62"/>
  <c r="U9" i="26"/>
  <c r="V41" i="66"/>
  <c r="V39" i="66"/>
  <c r="V40" i="66"/>
  <c r="V32" i="40" l="1"/>
  <c r="V33" i="40" s="1"/>
  <c r="V34" i="40" s="1"/>
  <c r="V6" i="40" s="1"/>
  <c r="AH25" i="55"/>
  <c r="AA34" i="55"/>
  <c r="AB53" i="55"/>
  <c r="U25" i="39"/>
  <c r="U26" i="39" s="1"/>
  <c r="U6" i="39" s="1"/>
  <c r="T133" i="39"/>
  <c r="W9" i="36" s="1"/>
  <c r="W7" i="36" s="1"/>
  <c r="Z36" i="33"/>
  <c r="AI27" i="33"/>
  <c r="AI25" i="55"/>
  <c r="Z41" i="55"/>
  <c r="Z34" i="55" s="1"/>
  <c r="Y36" i="33"/>
  <c r="AA43" i="33"/>
  <c r="AA36" i="33" s="1"/>
  <c r="Y22" i="36"/>
  <c r="X8" i="55"/>
  <c r="X3" i="55" s="1"/>
  <c r="X12" i="33"/>
  <c r="Y12" i="33" s="1"/>
  <c r="U198" i="55"/>
  <c r="W76" i="55"/>
  <c r="W71" i="55" s="1"/>
  <c r="W185" i="55" s="1"/>
  <c r="Z22" i="33"/>
  <c r="X35" i="58" s="1"/>
  <c r="X36" i="58" s="1"/>
  <c r="X21" i="37" s="1"/>
  <c r="U6" i="41"/>
  <c r="X11" i="36" s="1"/>
  <c r="AI8" i="33"/>
  <c r="AJ8" i="33" s="1"/>
  <c r="AK5" i="55" s="1"/>
  <c r="W15" i="33"/>
  <c r="U88" i="33" s="1"/>
  <c r="V24" i="39"/>
  <c r="V25" i="39" s="1"/>
  <c r="V26" i="39" s="1"/>
  <c r="V6" i="39" s="1"/>
  <c r="AL50" i="33"/>
  <c r="AM46" i="55" s="1"/>
  <c r="X112" i="55"/>
  <c r="X105" i="55" s="1"/>
  <c r="AA24" i="55"/>
  <c r="AA26" i="33"/>
  <c r="AB51" i="33"/>
  <c r="AC47" i="55" s="1"/>
  <c r="AB47" i="55"/>
  <c r="AA48" i="33"/>
  <c r="V57" i="68"/>
  <c r="W57" i="68" s="1"/>
  <c r="X57" i="68" s="1"/>
  <c r="Y57" i="68" s="1"/>
  <c r="U71" i="68"/>
  <c r="U162" i="68" s="1"/>
  <c r="U163" i="68" s="1"/>
  <c r="V159" i="68" s="1"/>
  <c r="Q25" i="37"/>
  <c r="W58" i="68"/>
  <c r="C60" i="68"/>
  <c r="D60" i="68" s="1"/>
  <c r="X60" i="68" s="1"/>
  <c r="Y60" i="68" s="1"/>
  <c r="Z60" i="68" s="1"/>
  <c r="AA60" i="68" s="1"/>
  <c r="X160" i="68"/>
  <c r="Y17" i="55"/>
  <c r="Y18" i="33"/>
  <c r="Y15" i="33" s="1"/>
  <c r="X17" i="55"/>
  <c r="X13" i="55" s="1"/>
  <c r="W160" i="68"/>
  <c r="C59" i="68"/>
  <c r="D59" i="68" s="1"/>
  <c r="W59" i="68" s="1"/>
  <c r="V173" i="68"/>
  <c r="W169" i="68" s="1"/>
  <c r="Y70" i="55"/>
  <c r="W21" i="52"/>
  <c r="W19" i="52" s="1"/>
  <c r="W6" i="52" s="1"/>
  <c r="Y13" i="36" s="1"/>
  <c r="V22" i="41"/>
  <c r="Y131" i="55" s="1"/>
  <c r="Y127" i="55" s="1"/>
  <c r="X30" i="33"/>
  <c r="Y28" i="55" s="1"/>
  <c r="W41" i="30"/>
  <c r="V7" i="30"/>
  <c r="V16" i="30" s="1"/>
  <c r="V27" i="32"/>
  <c r="AM29" i="45"/>
  <c r="AM5" i="45" s="1"/>
  <c r="W41" i="35"/>
  <c r="W40" i="35" s="1"/>
  <c r="W7" i="35" s="1"/>
  <c r="W16" i="35" s="1"/>
  <c r="Z8" i="36" s="1"/>
  <c r="X15" i="33"/>
  <c r="Z16" i="33"/>
  <c r="AA16" i="33" s="1"/>
  <c r="AB14" i="55" s="1"/>
  <c r="Z14" i="55"/>
  <c r="Y14" i="55"/>
  <c r="R25" i="37"/>
  <c r="V187" i="55"/>
  <c r="V196" i="55" s="1"/>
  <c r="V198" i="55" s="1"/>
  <c r="Z20" i="33"/>
  <c r="AA16" i="55" s="1"/>
  <c r="Z15" i="55"/>
  <c r="Z19" i="33"/>
  <c r="AA15" i="55" s="1"/>
  <c r="AJ5" i="55"/>
  <c r="AD56" i="33"/>
  <c r="AA25" i="33"/>
  <c r="AA22" i="55"/>
  <c r="AC10" i="55"/>
  <c r="AC14" i="33"/>
  <c r="AD10" i="55" s="1"/>
  <c r="AH55" i="33"/>
  <c r="AI55" i="33" s="1"/>
  <c r="AJ55" i="33" s="1"/>
  <c r="AK55" i="33" s="1"/>
  <c r="AG21" i="33"/>
  <c r="AH21" i="33" s="1"/>
  <c r="V45" i="28"/>
  <c r="V49" i="28"/>
  <c r="AA4" i="55"/>
  <c r="AA6" i="33"/>
  <c r="AB6" i="33" s="1"/>
  <c r="AJ13" i="33"/>
  <c r="AK13" i="33" s="1"/>
  <c r="Z48" i="55"/>
  <c r="AC33" i="55"/>
  <c r="AD35" i="33"/>
  <c r="AB12" i="55"/>
  <c r="AB9" i="33"/>
  <c r="D40" i="33"/>
  <c r="AA49" i="55"/>
  <c r="AA48" i="55" s="1"/>
  <c r="AA59" i="33"/>
  <c r="Z58" i="33"/>
  <c r="AA68" i="33"/>
  <c r="AB68" i="33" s="1"/>
  <c r="D42" i="33"/>
  <c r="AE52" i="55"/>
  <c r="AE62" i="33"/>
  <c r="AB66" i="33"/>
  <c r="AC66" i="33" s="1"/>
  <c r="AB56" i="55"/>
  <c r="AB21" i="55"/>
  <c r="AB24" i="33"/>
  <c r="T21" i="66"/>
  <c r="Z67" i="33"/>
  <c r="AH54" i="55"/>
  <c r="AI64" i="33"/>
  <c r="AF45" i="33"/>
  <c r="AG42" i="55" s="1"/>
  <c r="AK37" i="33"/>
  <c r="AL37" i="33" s="1"/>
  <c r="AM37" i="33" s="1"/>
  <c r="AN35" i="55" s="1"/>
  <c r="AJ34" i="33"/>
  <c r="Q153" i="68"/>
  <c r="R149" i="68" s="1"/>
  <c r="R153" i="68" s="1"/>
  <c r="S149" i="68" s="1"/>
  <c r="AC63" i="33"/>
  <c r="AD63" i="33" s="1"/>
  <c r="AU23" i="45"/>
  <c r="AE35" i="30"/>
  <c r="AE35" i="35"/>
  <c r="AB9" i="50"/>
  <c r="AA7" i="50"/>
  <c r="Y21" i="68"/>
  <c r="Z21" i="68" s="1"/>
  <c r="AH65" i="33"/>
  <c r="AI55" i="55" s="1"/>
  <c r="AB31" i="55"/>
  <c r="AA33" i="33"/>
  <c r="AE31" i="30"/>
  <c r="AU19" i="45"/>
  <c r="AE31" i="35"/>
  <c r="AG30" i="30"/>
  <c r="AG30" i="35"/>
  <c r="AW18" i="45"/>
  <c r="X26" i="50"/>
  <c r="X38" i="50" s="1"/>
  <c r="X20" i="36" s="1"/>
  <c r="Y27" i="50"/>
  <c r="Y112" i="55"/>
  <c r="Y105" i="55" s="1"/>
  <c r="Y10" i="36"/>
  <c r="X98" i="55"/>
  <c r="U116" i="39"/>
  <c r="AB24" i="30"/>
  <c r="AR12" i="45"/>
  <c r="AB24" i="35"/>
  <c r="X76" i="55"/>
  <c r="U7" i="36"/>
  <c r="R15" i="37" s="1"/>
  <c r="Y27" i="30"/>
  <c r="Y27" i="35"/>
  <c r="AO15" i="45"/>
  <c r="AS17" i="45"/>
  <c r="AC29" i="30"/>
  <c r="AC29" i="35"/>
  <c r="Y32" i="33"/>
  <c r="Z30" i="55" s="1"/>
  <c r="Y30" i="55"/>
  <c r="AD32" i="30"/>
  <c r="AT20" i="45"/>
  <c r="AD32" i="35"/>
  <c r="Y44" i="30"/>
  <c r="AO32" i="45"/>
  <c r="Y44" i="35"/>
  <c r="Y43" i="35" s="1"/>
  <c r="Y8" i="35" s="1"/>
  <c r="X8" i="30"/>
  <c r="AJ21" i="30"/>
  <c r="AZ9" i="45"/>
  <c r="AJ21" i="35"/>
  <c r="AC59" i="55"/>
  <c r="W31" i="32"/>
  <c r="W6" i="30"/>
  <c r="X19" i="30"/>
  <c r="X19" i="35"/>
  <c r="X18" i="35" s="1"/>
  <c r="X6" i="35" s="1"/>
  <c r="AN7" i="45"/>
  <c r="W26" i="41"/>
  <c r="Z133" i="55" s="1"/>
  <c r="X23" i="52"/>
  <c r="X10" i="36"/>
  <c r="AD6" i="55"/>
  <c r="AC69" i="33"/>
  <c r="AI47" i="33"/>
  <c r="AJ47" i="33" s="1"/>
  <c r="AK44" i="55" s="1"/>
  <c r="AB187" i="68"/>
  <c r="AB188" i="68"/>
  <c r="AF50" i="55"/>
  <c r="AI11" i="33"/>
  <c r="AJ7" i="55" s="1"/>
  <c r="S35" i="68"/>
  <c r="S152" i="68" s="1"/>
  <c r="Q6" i="64" s="1"/>
  <c r="AC56" i="68"/>
  <c r="AD39" i="33"/>
  <c r="AE39" i="33" s="1"/>
  <c r="AD37" i="55"/>
  <c r="T22" i="26"/>
  <c r="U16" i="62"/>
  <c r="T89" i="33"/>
  <c r="AC66" i="55"/>
  <c r="AC195" i="55" s="1"/>
  <c r="AC19" i="55"/>
  <c r="E36" i="55"/>
  <c r="X29" i="33"/>
  <c r="X27" i="55"/>
  <c r="W28" i="33"/>
  <c r="C23" i="68"/>
  <c r="D23" i="68" s="1"/>
  <c r="W23" i="68" s="1"/>
  <c r="X23" i="68" s="1"/>
  <c r="Y23" i="68" s="1"/>
  <c r="AB76" i="33"/>
  <c r="Z26" i="37" s="1"/>
  <c r="W150" i="68"/>
  <c r="AC151" i="68" s="1"/>
  <c r="AA189" i="68"/>
  <c r="W26" i="55"/>
  <c r="W64" i="55" s="1"/>
  <c r="W65" i="55"/>
  <c r="W194" i="55" s="1"/>
  <c r="AF60" i="33"/>
  <c r="AG60" i="33" s="1"/>
  <c r="AI17" i="33"/>
  <c r="AJ18" i="55" s="1"/>
  <c r="S27" i="26"/>
  <c r="S21" i="26"/>
  <c r="AJ41" i="33"/>
  <c r="AK39" i="55" s="1"/>
  <c r="Y151" i="55"/>
  <c r="AB172" i="55"/>
  <c r="AA171" i="55"/>
  <c r="W16" i="68"/>
  <c r="X16" i="68" s="1"/>
  <c r="Y16" i="68" s="1"/>
  <c r="AA97" i="68"/>
  <c r="AB97" i="68" s="1"/>
  <c r="S5" i="37"/>
  <c r="AJ29" i="55"/>
  <c r="AJ45" i="55"/>
  <c r="AJ49" i="33"/>
  <c r="AK49" i="33" s="1"/>
  <c r="AJ61" i="33"/>
  <c r="AK61" i="33" s="1"/>
  <c r="AA9" i="55"/>
  <c r="AD95" i="68"/>
  <c r="AE95" i="68" s="1"/>
  <c r="AF95" i="68" s="1"/>
  <c r="AG95" i="68" s="1"/>
  <c r="AH95" i="68" s="1"/>
  <c r="AJ51" i="55"/>
  <c r="AD96" i="68"/>
  <c r="V17" i="68"/>
  <c r="W17" i="68" s="1"/>
  <c r="AI29" i="55"/>
  <c r="AF94" i="68"/>
  <c r="AG94" i="68" s="1"/>
  <c r="AH94" i="68" s="1"/>
  <c r="AH7" i="55"/>
  <c r="AB21" i="50"/>
  <c r="AA19" i="50"/>
  <c r="AB170" i="68"/>
  <c r="C100" i="68"/>
  <c r="Z152" i="55"/>
  <c r="AA153" i="55"/>
  <c r="Z164" i="55"/>
  <c r="AA165" i="55"/>
  <c r="X42" i="68"/>
  <c r="AA98" i="68"/>
  <c r="W143" i="68"/>
  <c r="W182" i="68" s="1"/>
  <c r="W183" i="68" s="1"/>
  <c r="X179" i="68" s="1"/>
  <c r="X113" i="68"/>
  <c r="AI51" i="55"/>
  <c r="W18" i="68"/>
  <c r="Y19" i="68"/>
  <c r="Z19" i="68" s="1"/>
  <c r="AA19" i="68" s="1"/>
  <c r="AB19" i="68" s="1"/>
  <c r="AA41" i="68"/>
  <c r="X20" i="68"/>
  <c r="U15" i="68"/>
  <c r="D5" i="63"/>
  <c r="D48" i="63"/>
  <c r="D31" i="37" s="1"/>
  <c r="W107" i="68"/>
  <c r="W172" i="68" s="1"/>
  <c r="X77" i="68"/>
  <c r="AI11" i="55"/>
  <c r="AI7" i="33"/>
  <c r="AJ7" i="33" s="1"/>
  <c r="AJ31" i="33"/>
  <c r="AK31" i="33" s="1"/>
  <c r="AL29" i="55" s="1"/>
  <c r="V14" i="68"/>
  <c r="W14" i="68" s="1"/>
  <c r="X14" i="68" s="1"/>
  <c r="Y14" i="68" s="1"/>
  <c r="Z14" i="68" s="1"/>
  <c r="AA14" i="68" s="1"/>
  <c r="AB14" i="68" s="1"/>
  <c r="AC14" i="68" s="1"/>
  <c r="AD14" i="68" s="1"/>
  <c r="AE14" i="68" s="1"/>
  <c r="AF14" i="68" s="1"/>
  <c r="AG14" i="68" s="1"/>
  <c r="AH14" i="68" s="1"/>
  <c r="X22" i="68"/>
  <c r="D99" i="68"/>
  <c r="AA99" i="68" s="1"/>
  <c r="T35" i="68"/>
  <c r="T152" i="68" s="1"/>
  <c r="R6" i="64" s="1"/>
  <c r="U5" i="68"/>
  <c r="AB53" i="68"/>
  <c r="AC53" i="68" s="1"/>
  <c r="AD53" i="68" s="1"/>
  <c r="AE53" i="68" s="1"/>
  <c r="AF53" i="68" s="1"/>
  <c r="AG53" i="68" s="1"/>
  <c r="AI45" i="55"/>
  <c r="V44" i="28"/>
  <c r="V39" i="28"/>
  <c r="V47" i="28"/>
  <c r="V40" i="28"/>
  <c r="V46" i="28"/>
  <c r="V43" i="28"/>
  <c r="V41" i="28"/>
  <c r="V42" i="28"/>
  <c r="X18" i="28"/>
  <c r="Y9" i="28"/>
  <c r="Y20" i="28" s="1"/>
  <c r="W24" i="37"/>
  <c r="X14" i="28"/>
  <c r="X13" i="28"/>
  <c r="X12" i="28"/>
  <c r="X10" i="28"/>
  <c r="X16" i="28"/>
  <c r="X17" i="28"/>
  <c r="X11" i="28"/>
  <c r="X15" i="28"/>
  <c r="Z23" i="36"/>
  <c r="X180" i="55"/>
  <c r="U51" i="28"/>
  <c r="U54" i="28" s="1"/>
  <c r="T9" i="49" s="1"/>
  <c r="W37" i="28"/>
  <c r="V48" i="28"/>
  <c r="V50" i="28"/>
  <c r="W41" i="66"/>
  <c r="W39" i="66"/>
  <c r="W40" i="66"/>
  <c r="W4" i="37"/>
  <c r="AA14" i="47"/>
  <c r="Z13" i="47"/>
  <c r="X38" i="66" s="1"/>
  <c r="W10" i="62"/>
  <c r="V9" i="26"/>
  <c r="Y5" i="33" l="1"/>
  <c r="U21" i="66"/>
  <c r="T15" i="37"/>
  <c r="AJ25" i="55"/>
  <c r="AJ27" i="33"/>
  <c r="Z12" i="33"/>
  <c r="Z5" i="33" s="1"/>
  <c r="X20" i="66"/>
  <c r="X5" i="33"/>
  <c r="W5" i="62" s="1"/>
  <c r="Z8" i="55"/>
  <c r="Z3" i="55" s="1"/>
  <c r="AB43" i="33"/>
  <c r="AB41" i="55"/>
  <c r="AB34" i="55" s="1"/>
  <c r="Y8" i="55"/>
  <c r="Y3" i="55" s="1"/>
  <c r="V119" i="39"/>
  <c r="AA12" i="33"/>
  <c r="AA5" i="33" s="1"/>
  <c r="V71" i="68"/>
  <c r="V162" i="68" s="1"/>
  <c r="V163" i="68" s="1"/>
  <c r="W159" i="68" s="1"/>
  <c r="AM50" i="33"/>
  <c r="AN46" i="55" s="1"/>
  <c r="E46" i="55" s="1"/>
  <c r="AK8" i="33"/>
  <c r="AL5" i="55" s="1"/>
  <c r="V5" i="62"/>
  <c r="W4" i="33"/>
  <c r="U22" i="26" s="1"/>
  <c r="U21" i="26" s="1"/>
  <c r="AA22" i="33"/>
  <c r="Y35" i="58" s="1"/>
  <c r="Y36" i="58" s="1"/>
  <c r="Y21" i="37" s="1"/>
  <c r="Z22" i="36"/>
  <c r="W32" i="40"/>
  <c r="W33" i="40" s="1"/>
  <c r="W34" i="40" s="1"/>
  <c r="W6" i="40" s="1"/>
  <c r="Z10" i="36" s="1"/>
  <c r="W129" i="39"/>
  <c r="W126" i="39" s="1"/>
  <c r="V20" i="66"/>
  <c r="AB48" i="33"/>
  <c r="AC51" i="33"/>
  <c r="AD51" i="33" s="1"/>
  <c r="AD48" i="33" s="1"/>
  <c r="V6" i="41"/>
  <c r="Y11" i="36" s="1"/>
  <c r="Y13" i="55"/>
  <c r="AB24" i="55"/>
  <c r="AB26" i="33"/>
  <c r="W173" i="68"/>
  <c r="X169" i="68" s="1"/>
  <c r="AB25" i="33"/>
  <c r="AC25" i="33" s="1"/>
  <c r="AB22" i="55"/>
  <c r="Z57" i="68"/>
  <c r="AA57" i="68" s="1"/>
  <c r="AB57" i="68" s="1"/>
  <c r="AC57" i="68" s="1"/>
  <c r="AD57" i="68" s="1"/>
  <c r="AE57" i="68" s="1"/>
  <c r="AF57" i="68" s="1"/>
  <c r="AG57" i="68" s="1"/>
  <c r="AH57" i="68" s="1"/>
  <c r="X59" i="68"/>
  <c r="Z18" i="33"/>
  <c r="Z15" i="33" s="1"/>
  <c r="C61" i="68"/>
  <c r="D61" i="68" s="1"/>
  <c r="Y61" i="68" s="1"/>
  <c r="Z61" i="68" s="1"/>
  <c r="Z17" i="55"/>
  <c r="Z13" i="55" s="1"/>
  <c r="Y160" i="68"/>
  <c r="X58" i="68"/>
  <c r="Y58" i="68" s="1"/>
  <c r="Z58" i="68" s="1"/>
  <c r="AA58" i="68" s="1"/>
  <c r="W71" i="68"/>
  <c r="W162" i="68" s="1"/>
  <c r="W24" i="39"/>
  <c r="Z14" i="36"/>
  <c r="Z70" i="55"/>
  <c r="X41" i="35"/>
  <c r="X40" i="35" s="1"/>
  <c r="X7" i="35" s="1"/>
  <c r="X16" i="35" s="1"/>
  <c r="AA8" i="36" s="1"/>
  <c r="X41" i="30"/>
  <c r="W27" i="32"/>
  <c r="W7" i="30"/>
  <c r="W16" i="30" s="1"/>
  <c r="AN29" i="45"/>
  <c r="AN5" i="45" s="1"/>
  <c r="X21" i="52"/>
  <c r="X19" i="52" s="1"/>
  <c r="X6" i="52" s="1"/>
  <c r="Z13" i="36" s="1"/>
  <c r="Y30" i="33"/>
  <c r="Z28" i="55" s="1"/>
  <c r="W22" i="41"/>
  <c r="Z131" i="55" s="1"/>
  <c r="Z127" i="55" s="1"/>
  <c r="AE56" i="33"/>
  <c r="AF56" i="33" s="1"/>
  <c r="AA14" i="55"/>
  <c r="AB16" i="33"/>
  <c r="AC14" i="55" s="1"/>
  <c r="X5" i="62"/>
  <c r="W88" i="33"/>
  <c r="S25" i="37"/>
  <c r="AA20" i="33"/>
  <c r="AB16" i="55" s="1"/>
  <c r="AA19" i="33"/>
  <c r="AB19" i="33" s="1"/>
  <c r="AD14" i="33"/>
  <c r="AI21" i="33"/>
  <c r="AJ21" i="33" s="1"/>
  <c r="AK21" i="33" s="1"/>
  <c r="AL55" i="33"/>
  <c r="AM55" i="33" s="1"/>
  <c r="D55" i="33" s="1"/>
  <c r="W42" i="28"/>
  <c r="W49" i="28"/>
  <c r="AC4" i="55"/>
  <c r="AB4" i="55"/>
  <c r="AC6" i="33"/>
  <c r="AL13" i="33"/>
  <c r="AM13" i="33" s="1"/>
  <c r="W187" i="55"/>
  <c r="T25" i="37" s="1"/>
  <c r="AA67" i="33"/>
  <c r="AL35" i="55"/>
  <c r="AE33" i="55"/>
  <c r="AE35" i="33"/>
  <c r="AB58" i="55"/>
  <c r="AB57" i="55" s="1"/>
  <c r="AC12" i="55"/>
  <c r="AC9" i="33"/>
  <c r="AB49" i="55"/>
  <c r="AB48" i="55" s="1"/>
  <c r="AB59" i="33"/>
  <c r="AC49" i="55" s="1"/>
  <c r="AA58" i="33"/>
  <c r="AF52" i="55"/>
  <c r="AF62" i="33"/>
  <c r="AD56" i="55"/>
  <c r="AC56" i="55"/>
  <c r="AD66" i="33"/>
  <c r="AE56" i="55" s="1"/>
  <c r="AM35" i="55"/>
  <c r="D37" i="33"/>
  <c r="AC24" i="33"/>
  <c r="AC21" i="55"/>
  <c r="X71" i="55"/>
  <c r="X185" i="55" s="1"/>
  <c r="AG45" i="33"/>
  <c r="AH42" i="55" s="1"/>
  <c r="AJ64" i="33"/>
  <c r="AJ54" i="55"/>
  <c r="AK47" i="33"/>
  <c r="AL44" i="55" s="1"/>
  <c r="AK34" i="33"/>
  <c r="AK32" i="55"/>
  <c r="AJ44" i="55"/>
  <c r="AJ17" i="33"/>
  <c r="AK18" i="55" s="1"/>
  <c r="U133" i="39"/>
  <c r="X9" i="36" s="1"/>
  <c r="AD29" i="30"/>
  <c r="AT17" i="45"/>
  <c r="AD29" i="35"/>
  <c r="BA9" i="45"/>
  <c r="R9" i="45" s="1"/>
  <c r="AK21" i="35"/>
  <c r="Y98" i="55"/>
  <c r="V116" i="39"/>
  <c r="AH30" i="30"/>
  <c r="AX18" i="45"/>
  <c r="AH30" i="35"/>
  <c r="AB7" i="50"/>
  <c r="AC9" i="50"/>
  <c r="AC24" i="30"/>
  <c r="AS12" i="45"/>
  <c r="AC24" i="35"/>
  <c r="AA21" i="68"/>
  <c r="AB21" i="68" s="1"/>
  <c r="AI65" i="33"/>
  <c r="AJ55" i="55" s="1"/>
  <c r="Y76" i="55"/>
  <c r="Z27" i="30"/>
  <c r="AP15" i="45"/>
  <c r="Z27" i="35"/>
  <c r="S21" i="66"/>
  <c r="X26" i="41"/>
  <c r="AA133" i="55" s="1"/>
  <c r="Y23" i="52"/>
  <c r="Z32" i="33"/>
  <c r="AA30" i="55" s="1"/>
  <c r="AE6" i="55"/>
  <c r="AF35" i="30"/>
  <c r="AF35" i="35"/>
  <c r="AV23" i="45"/>
  <c r="X31" i="32"/>
  <c r="X6" i="30"/>
  <c r="Y19" i="30"/>
  <c r="Y19" i="35"/>
  <c r="Y18" i="35" s="1"/>
  <c r="Y6" i="35" s="1"/>
  <c r="AO7" i="45"/>
  <c r="AE32" i="30"/>
  <c r="AU20" i="45"/>
  <c r="AE32" i="35"/>
  <c r="AD53" i="55"/>
  <c r="AV19" i="45"/>
  <c r="AF31" i="30"/>
  <c r="AF31" i="35"/>
  <c r="AD59" i="55"/>
  <c r="AD69" i="33"/>
  <c r="AE69" i="33" s="1"/>
  <c r="Y26" i="50"/>
  <c r="Y38" i="50" s="1"/>
  <c r="Y20" i="36" s="1"/>
  <c r="Z27" i="50"/>
  <c r="AC31" i="55"/>
  <c r="AB33" i="33"/>
  <c r="Z44" i="30"/>
  <c r="Z44" i="35"/>
  <c r="Z43" i="35" s="1"/>
  <c r="Z8" i="35" s="1"/>
  <c r="AP32" i="45"/>
  <c r="Y8" i="30"/>
  <c r="S153" i="68"/>
  <c r="T149" i="68" s="1"/>
  <c r="T153" i="68" s="1"/>
  <c r="U149" i="68" s="1"/>
  <c r="AK41" i="33"/>
  <c r="AL39" i="55" s="1"/>
  <c r="AH53" i="68"/>
  <c r="AJ11" i="33"/>
  <c r="AK7" i="55" s="1"/>
  <c r="AE53" i="55"/>
  <c r="AE63" i="33"/>
  <c r="AF37" i="55"/>
  <c r="X26" i="55"/>
  <c r="X64" i="55" s="1"/>
  <c r="X65" i="55"/>
  <c r="X194" i="55" s="1"/>
  <c r="AH50" i="55"/>
  <c r="AG50" i="55"/>
  <c r="Y27" i="55"/>
  <c r="X28" i="33"/>
  <c r="X4" i="33" s="1"/>
  <c r="X150" i="68"/>
  <c r="AD151" i="68" s="1"/>
  <c r="C24" i="68"/>
  <c r="D24" i="68" s="1"/>
  <c r="X24" i="68" s="1"/>
  <c r="Y24" i="68" s="1"/>
  <c r="AC76" i="33"/>
  <c r="AA26" i="37" s="1"/>
  <c r="Y29" i="33"/>
  <c r="AD76" i="33" s="1"/>
  <c r="AB189" i="68"/>
  <c r="AC187" i="68"/>
  <c r="AC188" i="68"/>
  <c r="AE20" i="55"/>
  <c r="AD20" i="55"/>
  <c r="T21" i="26"/>
  <c r="T27" i="26"/>
  <c r="AD56" i="68"/>
  <c r="AH60" i="33"/>
  <c r="AE37" i="55"/>
  <c r="V15" i="68"/>
  <c r="W15" i="68" s="1"/>
  <c r="Z16" i="68"/>
  <c r="AA16" i="68" s="1"/>
  <c r="U89" i="33"/>
  <c r="V16" i="62"/>
  <c r="AF39" i="33"/>
  <c r="AG39" i="33" s="1"/>
  <c r="AH37" i="55" s="1"/>
  <c r="X17" i="68"/>
  <c r="Y17" i="68" s="1"/>
  <c r="Z17" i="68" s="1"/>
  <c r="AA17" i="68" s="1"/>
  <c r="AB17" i="68" s="1"/>
  <c r="AC17" i="68" s="1"/>
  <c r="AD17" i="68" s="1"/>
  <c r="AE17" i="68" s="1"/>
  <c r="AF17" i="68" s="1"/>
  <c r="AG17" i="68" s="1"/>
  <c r="AH17" i="68" s="1"/>
  <c r="AC97" i="68"/>
  <c r="AD97" i="68" s="1"/>
  <c r="AE97" i="68" s="1"/>
  <c r="AF97" i="68" s="1"/>
  <c r="AG97" i="68" s="1"/>
  <c r="Z151" i="55"/>
  <c r="AC172" i="55"/>
  <c r="AB171" i="55"/>
  <c r="S10" i="26"/>
  <c r="AK11" i="55"/>
  <c r="AK7" i="33"/>
  <c r="AL11" i="55" s="1"/>
  <c r="AL45" i="55"/>
  <c r="AL49" i="33"/>
  <c r="AM49" i="33" s="1"/>
  <c r="AL51" i="55"/>
  <c r="AL61" i="33"/>
  <c r="AM61" i="33" s="1"/>
  <c r="AC68" i="33"/>
  <c r="X107" i="68"/>
  <c r="X172" i="68" s="1"/>
  <c r="Y77" i="68"/>
  <c r="D49" i="63"/>
  <c r="D30" i="26" s="1"/>
  <c r="D6" i="63"/>
  <c r="D5" i="64"/>
  <c r="AB9" i="55"/>
  <c r="AB153" i="55"/>
  <c r="AA152" i="55"/>
  <c r="D100" i="68"/>
  <c r="AB100" i="68" s="1"/>
  <c r="X18" i="68"/>
  <c r="U35" i="68"/>
  <c r="U152" i="68" s="1"/>
  <c r="S6" i="64" s="1"/>
  <c r="V5" i="68"/>
  <c r="Y22" i="68"/>
  <c r="AJ11" i="55"/>
  <c r="AB98" i="68"/>
  <c r="AC98" i="68" s="1"/>
  <c r="AB99" i="68"/>
  <c r="AB60" i="68"/>
  <c r="AC60" i="68" s="1"/>
  <c r="AD60" i="68" s="1"/>
  <c r="AE60" i="68" s="1"/>
  <c r="AF60" i="68" s="1"/>
  <c r="AE96" i="68"/>
  <c r="AF96" i="68" s="1"/>
  <c r="Y42" i="68"/>
  <c r="Z23" i="68"/>
  <c r="AB165" i="55"/>
  <c r="AA164" i="55"/>
  <c r="AC19" i="68"/>
  <c r="AD19" i="68" s="1"/>
  <c r="AE19" i="68" s="1"/>
  <c r="AF19" i="68" s="1"/>
  <c r="AG19" i="68" s="1"/>
  <c r="AK51" i="55"/>
  <c r="AK45" i="55"/>
  <c r="AC58" i="55"/>
  <c r="AC57" i="55" s="1"/>
  <c r="AB67" i="33"/>
  <c r="Y20" i="68"/>
  <c r="Z20" i="68" s="1"/>
  <c r="AA20" i="68" s="1"/>
  <c r="AK29" i="55"/>
  <c r="AB41" i="68"/>
  <c r="X143" i="68"/>
  <c r="X182" i="68" s="1"/>
  <c r="X183" i="68" s="1"/>
  <c r="Y179" i="68" s="1"/>
  <c r="Y113" i="68"/>
  <c r="AC170" i="68"/>
  <c r="C101" i="68"/>
  <c r="AC21" i="50"/>
  <c r="AB19" i="50"/>
  <c r="AL31" i="33"/>
  <c r="AM29" i="55" s="1"/>
  <c r="W43" i="28"/>
  <c r="V51" i="28"/>
  <c r="V54" i="28" s="1"/>
  <c r="U9" i="49" s="1"/>
  <c r="W45" i="28"/>
  <c r="W50" i="28"/>
  <c r="W48" i="28"/>
  <c r="X37" i="28"/>
  <c r="Y13" i="28"/>
  <c r="Z9" i="28"/>
  <c r="Z20" i="28" s="1"/>
  <c r="Y17" i="28"/>
  <c r="X24" i="37"/>
  <c r="Y12" i="28"/>
  <c r="Y15" i="28"/>
  <c r="Y18" i="28"/>
  <c r="Y14" i="28"/>
  <c r="Y11" i="28"/>
  <c r="Y10" i="28"/>
  <c r="Y16" i="28"/>
  <c r="AA23" i="36"/>
  <c r="T5" i="37"/>
  <c r="W44" i="28"/>
  <c r="Y180" i="55"/>
  <c r="W39" i="28"/>
  <c r="W46" i="28"/>
  <c r="W40" i="28"/>
  <c r="W47" i="28"/>
  <c r="W41" i="28"/>
  <c r="X10" i="62"/>
  <c r="W9" i="26"/>
  <c r="X41" i="66"/>
  <c r="X39" i="66"/>
  <c r="X40" i="66"/>
  <c r="X4" i="37"/>
  <c r="AB14" i="47"/>
  <c r="AA13" i="47"/>
  <c r="Y38" i="66" s="1"/>
  <c r="D50" i="33" l="1"/>
  <c r="V88" i="33"/>
  <c r="W20" i="66"/>
  <c r="AK27" i="33"/>
  <c r="AL25" i="55" s="1"/>
  <c r="AK25" i="55"/>
  <c r="AB12" i="33"/>
  <c r="AC12" i="33" s="1"/>
  <c r="AC5" i="33" s="1"/>
  <c r="Y5" i="62"/>
  <c r="AA8" i="55"/>
  <c r="AA3" i="55" s="1"/>
  <c r="AB36" i="33"/>
  <c r="AC41" i="55"/>
  <c r="AC34" i="55" s="1"/>
  <c r="AC43" i="33"/>
  <c r="W163" i="68"/>
  <c r="X159" i="68" s="1"/>
  <c r="AB8" i="55"/>
  <c r="AB3" i="55" s="1"/>
  <c r="AL8" i="33"/>
  <c r="AM5" i="55" s="1"/>
  <c r="Z112" i="55"/>
  <c r="Z105" i="55" s="1"/>
  <c r="X32" i="40"/>
  <c r="X33" i="40" s="1"/>
  <c r="X34" i="40" s="1"/>
  <c r="X6" i="40" s="1"/>
  <c r="AA10" i="36" s="1"/>
  <c r="X129" i="39"/>
  <c r="X126" i="39" s="1"/>
  <c r="AC48" i="33"/>
  <c r="AD47" i="55"/>
  <c r="AA22" i="36"/>
  <c r="W6" i="41"/>
  <c r="Z11" i="36" s="1"/>
  <c r="AB22" i="33"/>
  <c r="Z35" i="58" s="1"/>
  <c r="Z36" i="58" s="1"/>
  <c r="Z21" i="37" s="1"/>
  <c r="X173" i="68"/>
  <c r="Y169" i="68" s="1"/>
  <c r="AC26" i="33"/>
  <c r="AC22" i="33" s="1"/>
  <c r="AA35" i="58" s="1"/>
  <c r="AA36" i="58" s="1"/>
  <c r="AA21" i="37" s="1"/>
  <c r="AC24" i="55"/>
  <c r="AC22" i="55"/>
  <c r="X71" i="68"/>
  <c r="X162" i="68" s="1"/>
  <c r="AG56" i="33"/>
  <c r="AH56" i="33" s="1"/>
  <c r="AI56" i="33" s="1"/>
  <c r="W25" i="39"/>
  <c r="W26" i="39" s="1"/>
  <c r="W6" i="39" s="1"/>
  <c r="AE51" i="33"/>
  <c r="AE47" i="55"/>
  <c r="AB58" i="68"/>
  <c r="C62" i="68"/>
  <c r="D62" i="68" s="1"/>
  <c r="Z62" i="68" s="1"/>
  <c r="Z160" i="68"/>
  <c r="AA17" i="55"/>
  <c r="AA13" i="55" s="1"/>
  <c r="AA61" i="68"/>
  <c r="AB61" i="68" s="1"/>
  <c r="Y59" i="68"/>
  <c r="Y71" i="68" s="1"/>
  <c r="Y162" i="68" s="1"/>
  <c r="W119" i="39"/>
  <c r="Z98" i="55" s="1"/>
  <c r="AA18" i="33"/>
  <c r="AA15" i="33" s="1"/>
  <c r="Z20" i="66" s="1"/>
  <c r="X24" i="39"/>
  <c r="X25" i="39" s="1"/>
  <c r="X26" i="39" s="1"/>
  <c r="X6" i="39" s="1"/>
  <c r="AA70" i="55"/>
  <c r="AA14" i="36"/>
  <c r="Y21" i="52"/>
  <c r="Y19" i="52" s="1"/>
  <c r="Y6" i="52" s="1"/>
  <c r="AA13" i="36" s="1"/>
  <c r="X22" i="41"/>
  <c r="AA131" i="55" s="1"/>
  <c r="AA127" i="55" s="1"/>
  <c r="Z30" i="33"/>
  <c r="AA28" i="55" s="1"/>
  <c r="AO29" i="45"/>
  <c r="AO5" i="45" s="1"/>
  <c r="Y41" i="30"/>
  <c r="X7" i="30"/>
  <c r="X16" i="30" s="1"/>
  <c r="X27" i="32"/>
  <c r="Y129" i="39" s="1"/>
  <c r="Y126" i="39" s="1"/>
  <c r="Y41" i="35"/>
  <c r="Y40" i="35" s="1"/>
  <c r="Y7" i="35" s="1"/>
  <c r="Y16" i="35" s="1"/>
  <c r="AB8" i="36" s="1"/>
  <c r="AC16" i="33"/>
  <c r="AD14" i="55" s="1"/>
  <c r="X88" i="33"/>
  <c r="AB20" i="33"/>
  <c r="AC20" i="33" s="1"/>
  <c r="AD20" i="33" s="1"/>
  <c r="Y20" i="66"/>
  <c r="W196" i="55"/>
  <c r="W198" i="55" s="1"/>
  <c r="AC19" i="33"/>
  <c r="AD19" i="33" s="1"/>
  <c r="AC15" i="55"/>
  <c r="AB15" i="55"/>
  <c r="E35" i="55"/>
  <c r="AE10" i="55"/>
  <c r="AE14" i="33"/>
  <c r="X44" i="28"/>
  <c r="X49" i="28"/>
  <c r="AL21" i="33"/>
  <c r="AM21" i="33" s="1"/>
  <c r="D21" i="33" s="1"/>
  <c r="AD6" i="33"/>
  <c r="AD4" i="55"/>
  <c r="AF33" i="55"/>
  <c r="AF35" i="33"/>
  <c r="AC59" i="33"/>
  <c r="AD49" i="55" s="1"/>
  <c r="AD48" i="55" s="1"/>
  <c r="AD12" i="55"/>
  <c r="AD9" i="33"/>
  <c r="AC48" i="55"/>
  <c r="AB58" i="33"/>
  <c r="AG62" i="33"/>
  <c r="AH62" i="33" s="1"/>
  <c r="AG52" i="55"/>
  <c r="AH45" i="33"/>
  <c r="AI42" i="55" s="1"/>
  <c r="AE66" i="33"/>
  <c r="AD24" i="33"/>
  <c r="AE24" i="33" s="1"/>
  <c r="AF21" i="55" s="1"/>
  <c r="AD21" i="55"/>
  <c r="AL47" i="33"/>
  <c r="AM44" i="55" s="1"/>
  <c r="X187" i="55"/>
  <c r="X196" i="55" s="1"/>
  <c r="X198" i="55" s="1"/>
  <c r="AK64" i="33"/>
  <c r="AK54" i="55"/>
  <c r="U27" i="26"/>
  <c r="AC21" i="68"/>
  <c r="AD21" i="68" s="1"/>
  <c r="AE21" i="68" s="1"/>
  <c r="AF21" i="68" s="1"/>
  <c r="AG21" i="68" s="1"/>
  <c r="AH21" i="68" s="1"/>
  <c r="AL32" i="55"/>
  <c r="AL34" i="33"/>
  <c r="AJ65" i="33"/>
  <c r="AK17" i="33"/>
  <c r="AL17" i="33" s="1"/>
  <c r="AA44" i="30"/>
  <c r="AQ32" i="45"/>
  <c r="AA44" i="35"/>
  <c r="AA43" i="35" s="1"/>
  <c r="AA8" i="35" s="1"/>
  <c r="Z8" i="30"/>
  <c r="AF32" i="30"/>
  <c r="AV20" i="45"/>
  <c r="AF32" i="35"/>
  <c r="AG35" i="30"/>
  <c r="AG35" i="35"/>
  <c r="AW23" i="45"/>
  <c r="AA27" i="30"/>
  <c r="AQ15" i="45"/>
  <c r="AA27" i="35"/>
  <c r="V133" i="39"/>
  <c r="Y9" i="36" s="1"/>
  <c r="Y7" i="36" s="1"/>
  <c r="X7" i="36"/>
  <c r="U15" i="37" s="1"/>
  <c r="Y71" i="55"/>
  <c r="Y185" i="55" s="1"/>
  <c r="AE31" i="55"/>
  <c r="AD33" i="33"/>
  <c r="AE59" i="55"/>
  <c r="AG31" i="30"/>
  <c r="AW19" i="45"/>
  <c r="AG31" i="35"/>
  <c r="AD24" i="30"/>
  <c r="AT12" i="45"/>
  <c r="AD24" i="35"/>
  <c r="Z19" i="30"/>
  <c r="Y31" i="32"/>
  <c r="Y6" i="30"/>
  <c r="AP7" i="45"/>
  <c r="Z19" i="35"/>
  <c r="Z18" i="35" s="1"/>
  <c r="Z6" i="35" s="1"/>
  <c r="AF69" i="33"/>
  <c r="AG59" i="55" s="1"/>
  <c r="AF59" i="55"/>
  <c r="AI30" i="30"/>
  <c r="AY18" i="45"/>
  <c r="AI30" i="35"/>
  <c r="AD170" i="68"/>
  <c r="AF6" i="55"/>
  <c r="AD31" i="55"/>
  <c r="AC33" i="33"/>
  <c r="AA27" i="50"/>
  <c r="Z26" i="50"/>
  <c r="Z38" i="50" s="1"/>
  <c r="Z20" i="36" s="1"/>
  <c r="AC7" i="50"/>
  <c r="AD9" i="50"/>
  <c r="Y26" i="41"/>
  <c r="AB133" i="55" s="1"/>
  <c r="Z23" i="52"/>
  <c r="AA32" i="33"/>
  <c r="AB30" i="55" s="1"/>
  <c r="AE29" i="30"/>
  <c r="AE29" i="35"/>
  <c r="AU17" i="45"/>
  <c r="C102" i="68"/>
  <c r="D102" i="68" s="1"/>
  <c r="AD102" i="68" s="1"/>
  <c r="AL41" i="33"/>
  <c r="AK11" i="33"/>
  <c r="AL7" i="55" s="1"/>
  <c r="AF53" i="55"/>
  <c r="AF63" i="33"/>
  <c r="AG63" i="33" s="1"/>
  <c r="AF20" i="55"/>
  <c r="AB16" i="68"/>
  <c r="AC16" i="68" s="1"/>
  <c r="AD16" i="68" s="1"/>
  <c r="AE16" i="68" s="1"/>
  <c r="AF16" i="68" s="1"/>
  <c r="AG16" i="68" s="1"/>
  <c r="AH16" i="68" s="1"/>
  <c r="AE56" i="68"/>
  <c r="AF56" i="68" s="1"/>
  <c r="AG56" i="68" s="1"/>
  <c r="AH56" i="68" s="1"/>
  <c r="AD22" i="55"/>
  <c r="AD25" i="33"/>
  <c r="AE25" i="33" s="1"/>
  <c r="AF22" i="55" s="1"/>
  <c r="V89" i="33"/>
  <c r="W16" i="62"/>
  <c r="V22" i="26"/>
  <c r="X15" i="68"/>
  <c r="Y15" i="68" s="1"/>
  <c r="Z15" i="68" s="1"/>
  <c r="AA15" i="68" s="1"/>
  <c r="AB15" i="68" s="1"/>
  <c r="AC15" i="68" s="1"/>
  <c r="AD15" i="68" s="1"/>
  <c r="AE15" i="68" s="1"/>
  <c r="AF15" i="68" s="1"/>
  <c r="AG15" i="68" s="1"/>
  <c r="AH15" i="68" s="1"/>
  <c r="AC189" i="68"/>
  <c r="Y26" i="55"/>
  <c r="Y64" i="55" s="1"/>
  <c r="Y65" i="55"/>
  <c r="Y194" i="55" s="1"/>
  <c r="AH39" i="33"/>
  <c r="AI39" i="33" s="1"/>
  <c r="AJ37" i="55" s="1"/>
  <c r="AD66" i="55"/>
  <c r="AD195" i="55" s="1"/>
  <c r="AD19" i="55"/>
  <c r="Y28" i="33"/>
  <c r="Y4" i="33" s="1"/>
  <c r="Z27" i="55"/>
  <c r="AB26" i="37"/>
  <c r="Y150" i="68"/>
  <c r="AE151" i="68" s="1"/>
  <c r="C25" i="68"/>
  <c r="D25" i="68" s="1"/>
  <c r="Y25" i="68" s="1"/>
  <c r="Z25" i="68" s="1"/>
  <c r="AA25" i="68" s="1"/>
  <c r="AB25" i="68" s="1"/>
  <c r="Z29" i="33"/>
  <c r="AL7" i="33"/>
  <c r="AM11" i="55" s="1"/>
  <c r="AG37" i="55"/>
  <c r="AE66" i="55"/>
  <c r="AE195" i="55" s="1"/>
  <c r="AE19" i="55"/>
  <c r="AD188" i="68"/>
  <c r="AD187" i="68"/>
  <c r="AI50" i="55"/>
  <c r="AI60" i="33"/>
  <c r="AG96" i="68"/>
  <c r="AH96" i="68" s="1"/>
  <c r="AH97" i="68"/>
  <c r="AC171" i="55"/>
  <c r="AD172" i="55"/>
  <c r="AH19" i="68"/>
  <c r="U153" i="68"/>
  <c r="V149" i="68" s="1"/>
  <c r="X42" i="28"/>
  <c r="AB20" i="68"/>
  <c r="AC20" i="68" s="1"/>
  <c r="AD20" i="68" s="1"/>
  <c r="AE20" i="68" s="1"/>
  <c r="AF20" i="68" s="1"/>
  <c r="AG20" i="68" s="1"/>
  <c r="AH20" i="68" s="1"/>
  <c r="AC100" i="68"/>
  <c r="AC153" i="55"/>
  <c r="AB152" i="55"/>
  <c r="Y107" i="68"/>
  <c r="Y172" i="68" s="1"/>
  <c r="Z77" i="68"/>
  <c r="AM31" i="33"/>
  <c r="AC165" i="55"/>
  <c r="AB164" i="55"/>
  <c r="AC9" i="55"/>
  <c r="AM45" i="55"/>
  <c r="AG60" i="68"/>
  <c r="AH60" i="68" s="1"/>
  <c r="AC99" i="68"/>
  <c r="AD99" i="68" s="1"/>
  <c r="Y143" i="68"/>
  <c r="Y182" i="68" s="1"/>
  <c r="Y183" i="68" s="1"/>
  <c r="Z179" i="68" s="1"/>
  <c r="Z113" i="68"/>
  <c r="Z42" i="68"/>
  <c r="V35" i="68"/>
  <c r="V152" i="68" s="1"/>
  <c r="T6" i="64" s="1"/>
  <c r="W5" i="68"/>
  <c r="AD98" i="68"/>
  <c r="AE98" i="68" s="1"/>
  <c r="AF98" i="68" s="1"/>
  <c r="AA23" i="68"/>
  <c r="AD58" i="55"/>
  <c r="AD57" i="55" s="1"/>
  <c r="AC67" i="33"/>
  <c r="AD68" i="33"/>
  <c r="Z22" i="68"/>
  <c r="AA22" i="68" s="1"/>
  <c r="Y18" i="68"/>
  <c r="Z18" i="68" s="1"/>
  <c r="AA18" i="68" s="1"/>
  <c r="AB18" i="68" s="1"/>
  <c r="AC18" i="68" s="1"/>
  <c r="AD18" i="68" s="1"/>
  <c r="AE18" i="68" s="1"/>
  <c r="AF18" i="68" s="1"/>
  <c r="AG18" i="68" s="1"/>
  <c r="AH18" i="68" s="1"/>
  <c r="D101" i="68"/>
  <c r="AC101" i="68" s="1"/>
  <c r="AC41" i="68"/>
  <c r="Z24" i="68"/>
  <c r="AN45" i="55"/>
  <c r="D49" i="33"/>
  <c r="E4" i="63"/>
  <c r="E48" i="63" s="1"/>
  <c r="E31" i="37" s="1"/>
  <c r="D22" i="54"/>
  <c r="AN51" i="55"/>
  <c r="D61" i="33"/>
  <c r="AC19" i="50"/>
  <c r="AD21" i="50"/>
  <c r="AA151" i="55"/>
  <c r="AM51" i="55"/>
  <c r="U5" i="37"/>
  <c r="X45" i="28"/>
  <c r="X41" i="28"/>
  <c r="X43" i="28"/>
  <c r="X47" i="28"/>
  <c r="X39" i="28"/>
  <c r="X46" i="28"/>
  <c r="X50" i="28"/>
  <c r="X48" i="28"/>
  <c r="Y37" i="28"/>
  <c r="W51" i="28"/>
  <c r="W54" i="28" s="1"/>
  <c r="V9" i="49" s="1"/>
  <c r="Y24" i="37"/>
  <c r="AA9" i="28"/>
  <c r="AA20" i="28" s="1"/>
  <c r="Z16" i="28"/>
  <c r="Z13" i="28"/>
  <c r="Z18" i="28"/>
  <c r="Z15" i="28"/>
  <c r="Z11" i="28"/>
  <c r="Z10" i="28"/>
  <c r="Z17" i="28"/>
  <c r="Z14" i="28"/>
  <c r="Z12" i="28"/>
  <c r="AB23" i="36"/>
  <c r="Z180" i="55"/>
  <c r="T10" i="26"/>
  <c r="X40" i="28"/>
  <c r="AC14" i="47"/>
  <c r="Y4" i="37"/>
  <c r="AB13" i="47"/>
  <c r="Z38" i="66" s="1"/>
  <c r="Y39" i="66"/>
  <c r="Y40" i="66"/>
  <c r="Y41" i="66"/>
  <c r="Y10" i="62"/>
  <c r="X9" i="26"/>
  <c r="AD8" i="55" l="1"/>
  <c r="AC8" i="55"/>
  <c r="AB5" i="33"/>
  <c r="W21" i="66"/>
  <c r="V15" i="37"/>
  <c r="AD12" i="33"/>
  <c r="AD5" i="33" s="1"/>
  <c r="AL27" i="33"/>
  <c r="AM25" i="55" s="1"/>
  <c r="X163" i="68"/>
  <c r="Y159" i="68" s="1"/>
  <c r="Y163" i="68" s="1"/>
  <c r="Z159" i="68" s="1"/>
  <c r="AD43" i="33"/>
  <c r="AC36" i="33"/>
  <c r="AD41" i="55"/>
  <c r="AD34" i="55" s="1"/>
  <c r="Y24" i="39"/>
  <c r="Y25" i="39" s="1"/>
  <c r="Y26" i="39" s="1"/>
  <c r="Y6" i="39" s="1"/>
  <c r="AM8" i="33"/>
  <c r="D8" i="33" s="1"/>
  <c r="W116" i="39"/>
  <c r="W133" i="39" s="1"/>
  <c r="Z9" i="36" s="1"/>
  <c r="Z7" i="36" s="1"/>
  <c r="W15" i="37" s="1"/>
  <c r="AA112" i="55"/>
  <c r="AA105" i="55" s="1"/>
  <c r="Y32" i="40"/>
  <c r="Y33" i="40" s="1"/>
  <c r="Y34" i="40" s="1"/>
  <c r="Y6" i="40" s="1"/>
  <c r="AB10" i="36" s="1"/>
  <c r="AB22" i="36"/>
  <c r="Y173" i="68"/>
  <c r="Z169" i="68" s="1"/>
  <c r="X119" i="39"/>
  <c r="X116" i="39" s="1"/>
  <c r="AJ56" i="33"/>
  <c r="AK56" i="33" s="1"/>
  <c r="AL56" i="33" s="1"/>
  <c r="AM56" i="33" s="1"/>
  <c r="D56" i="33" s="1"/>
  <c r="Z76" i="55"/>
  <c r="Z71" i="55" s="1"/>
  <c r="Z185" i="55" s="1"/>
  <c r="AD24" i="55"/>
  <c r="AD26" i="33"/>
  <c r="AD22" i="33" s="1"/>
  <c r="AB35" i="58" s="1"/>
  <c r="AB36" i="58" s="1"/>
  <c r="AB21" i="37" s="1"/>
  <c r="AF47" i="55"/>
  <c r="AF51" i="33"/>
  <c r="AG51" i="33" s="1"/>
  <c r="AE48" i="33"/>
  <c r="AB17" i="55"/>
  <c r="AB13" i="55" s="1"/>
  <c r="C63" i="68"/>
  <c r="D63" i="68" s="1"/>
  <c r="AA63" i="68" s="1"/>
  <c r="AA160" i="68"/>
  <c r="AB18" i="33"/>
  <c r="AC18" i="33" s="1"/>
  <c r="AA62" i="68"/>
  <c r="AB62" i="68" s="1"/>
  <c r="AC62" i="68" s="1"/>
  <c r="AD62" i="68" s="1"/>
  <c r="AD16" i="33"/>
  <c r="AE14" i="55" s="1"/>
  <c r="Z59" i="68"/>
  <c r="AA59" i="68" s="1"/>
  <c r="AB59" i="68" s="1"/>
  <c r="AC58" i="68"/>
  <c r="X6" i="41"/>
  <c r="AA11" i="36" s="1"/>
  <c r="AB70" i="55"/>
  <c r="AB14" i="36"/>
  <c r="Z21" i="52"/>
  <c r="Z19" i="52" s="1"/>
  <c r="Z6" i="52" s="1"/>
  <c r="AB13" i="36" s="1"/>
  <c r="AA30" i="33"/>
  <c r="AB28" i="55" s="1"/>
  <c r="Y22" i="41"/>
  <c r="AB131" i="55" s="1"/>
  <c r="AB127" i="55" s="1"/>
  <c r="Y27" i="32"/>
  <c r="Z24" i="39" s="1"/>
  <c r="Z41" i="35"/>
  <c r="Z40" i="35" s="1"/>
  <c r="Z7" i="35" s="1"/>
  <c r="Z16" i="35" s="1"/>
  <c r="AC8" i="36" s="1"/>
  <c r="AP29" i="45"/>
  <c r="AP5" i="45" s="1"/>
  <c r="Z41" i="30"/>
  <c r="Y7" i="30"/>
  <c r="Y16" i="30" s="1"/>
  <c r="Y88" i="33"/>
  <c r="Z5" i="62"/>
  <c r="AC16" i="55"/>
  <c r="AE19" i="33"/>
  <c r="AF15" i="55" s="1"/>
  <c r="AE15" i="55"/>
  <c r="AD15" i="55"/>
  <c r="AE20" i="33"/>
  <c r="AF20" i="33" s="1"/>
  <c r="AE16" i="55"/>
  <c r="AD16" i="55"/>
  <c r="AF10" i="55"/>
  <c r="AF14" i="33"/>
  <c r="AM47" i="33"/>
  <c r="AN44" i="55" s="1"/>
  <c r="E44" i="55" s="1"/>
  <c r="C103" i="68"/>
  <c r="D103" i="68" s="1"/>
  <c r="AE103" i="68" s="1"/>
  <c r="Y46" i="28"/>
  <c r="Y49" i="28"/>
  <c r="AE4" i="55"/>
  <c r="AE6" i="33"/>
  <c r="AF6" i="33" s="1"/>
  <c r="AC58" i="33"/>
  <c r="AD59" i="33"/>
  <c r="AE49" i="55" s="1"/>
  <c r="AE48" i="55" s="1"/>
  <c r="AG33" i="55"/>
  <c r="AG35" i="33"/>
  <c r="AE12" i="55"/>
  <c r="AE9" i="33"/>
  <c r="C57" i="63"/>
  <c r="C19" i="63" s="1"/>
  <c r="M14" i="63" s="1"/>
  <c r="M15" i="63" s="1"/>
  <c r="M48" i="63" s="1"/>
  <c r="M31" i="37" s="1"/>
  <c r="M5" i="64" s="1"/>
  <c r="AI45" i="33"/>
  <c r="AJ42" i="55" s="1"/>
  <c r="AL18" i="55"/>
  <c r="U25" i="37"/>
  <c r="AI62" i="33"/>
  <c r="AJ62" i="33" s="1"/>
  <c r="AK52" i="55" s="1"/>
  <c r="AI52" i="55"/>
  <c r="AH52" i="55"/>
  <c r="AF24" i="33"/>
  <c r="AG21" i="55" s="1"/>
  <c r="AF56" i="55"/>
  <c r="AF66" i="33"/>
  <c r="AE21" i="55"/>
  <c r="AE170" i="68"/>
  <c r="AL54" i="55"/>
  <c r="AL64" i="33"/>
  <c r="C104" i="68"/>
  <c r="D104" i="68" s="1"/>
  <c r="AF104" i="68" s="1"/>
  <c r="AM34" i="33"/>
  <c r="AM32" i="55"/>
  <c r="V153" i="68"/>
  <c r="W149" i="68" s="1"/>
  <c r="AK55" i="55"/>
  <c r="AK65" i="33"/>
  <c r="Y187" i="55"/>
  <c r="Y196" i="55" s="1"/>
  <c r="Y198" i="55" s="1"/>
  <c r="AI6" i="55"/>
  <c r="AH6" i="55"/>
  <c r="V21" i="66"/>
  <c r="Y119" i="39"/>
  <c r="AF170" i="68"/>
  <c r="AF29" i="30"/>
  <c r="AV17" i="45"/>
  <c r="AF29" i="35"/>
  <c r="AF31" i="55"/>
  <c r="AE33" i="33"/>
  <c r="AH31" i="30"/>
  <c r="AH31" i="35"/>
  <c r="AX19" i="45"/>
  <c r="AE9" i="50"/>
  <c r="AD7" i="50"/>
  <c r="AA26" i="50"/>
  <c r="AA38" i="50" s="1"/>
  <c r="AA20" i="36" s="1"/>
  <c r="AB27" i="50"/>
  <c r="AA76" i="55"/>
  <c r="AB27" i="30"/>
  <c r="AR15" i="45"/>
  <c r="AB27" i="35"/>
  <c r="Z26" i="41"/>
  <c r="AC133" i="55" s="1"/>
  <c r="AA23" i="52"/>
  <c r="AB32" i="33"/>
  <c r="AB44" i="30"/>
  <c r="AB44" i="35"/>
  <c r="AB43" i="35" s="1"/>
  <c r="AB8" i="35" s="1"/>
  <c r="AR32" i="45"/>
  <c r="AA8" i="30"/>
  <c r="Z31" i="32"/>
  <c r="Z6" i="30"/>
  <c r="AA19" i="30"/>
  <c r="AA19" i="35"/>
  <c r="AA18" i="35" s="1"/>
  <c r="AA6" i="35" s="1"/>
  <c r="AQ7" i="45"/>
  <c r="AH35" i="30"/>
  <c r="AX23" i="45"/>
  <c r="AH35" i="35"/>
  <c r="AG32" i="30"/>
  <c r="AW20" i="45"/>
  <c r="AG32" i="35"/>
  <c r="AG6" i="55"/>
  <c r="AG69" i="33"/>
  <c r="AJ30" i="30"/>
  <c r="AJ30" i="35"/>
  <c r="AZ18" i="45"/>
  <c r="AE24" i="30"/>
  <c r="AU12" i="45"/>
  <c r="AE24" i="35"/>
  <c r="AM18" i="55"/>
  <c r="AM17" i="33"/>
  <c r="AN18" i="55" s="1"/>
  <c r="AC25" i="68"/>
  <c r="AD25" i="68" s="1"/>
  <c r="AM39" i="55"/>
  <c r="AM41" i="33"/>
  <c r="AH53" i="55"/>
  <c r="AG53" i="55"/>
  <c r="AH63" i="33"/>
  <c r="AL11" i="33"/>
  <c r="AM7" i="55" s="1"/>
  <c r="AJ50" i="55"/>
  <c r="AE22" i="55"/>
  <c r="Z26" i="55"/>
  <c r="Z64" i="55" s="1"/>
  <c r="Z65" i="55"/>
  <c r="Z194" i="55" s="1"/>
  <c r="AF9" i="55"/>
  <c r="AF66" i="55"/>
  <c r="AF195" i="55" s="1"/>
  <c r="AF19" i="55"/>
  <c r="V27" i="26"/>
  <c r="V21" i="26"/>
  <c r="X16" i="62"/>
  <c r="W89" i="33"/>
  <c r="W22" i="26"/>
  <c r="E5" i="63"/>
  <c r="E49" i="63" s="1"/>
  <c r="E30" i="26" s="1"/>
  <c r="AF25" i="33"/>
  <c r="AM7" i="33"/>
  <c r="D7" i="33" s="1"/>
  <c r="AJ39" i="33"/>
  <c r="AA27" i="55"/>
  <c r="Z28" i="33"/>
  <c r="Z4" i="33" s="1"/>
  <c r="AE76" i="33"/>
  <c r="AC26" i="37" s="1"/>
  <c r="C26" i="68"/>
  <c r="Z150" i="68"/>
  <c r="AF151" i="68" s="1"/>
  <c r="AA29" i="33"/>
  <c r="AJ60" i="33"/>
  <c r="AD189" i="68"/>
  <c r="AE188" i="68"/>
  <c r="AE187" i="68"/>
  <c r="AI37" i="55"/>
  <c r="AC3" i="55"/>
  <c r="E45" i="55"/>
  <c r="AB151" i="55"/>
  <c r="E51" i="55"/>
  <c r="AE172" i="55"/>
  <c r="AD171" i="55"/>
  <c r="U10" i="26"/>
  <c r="AD101" i="68"/>
  <c r="AC61" i="68"/>
  <c r="AE9" i="55"/>
  <c r="AE99" i="68"/>
  <c r="AF99" i="68" s="1"/>
  <c r="AG99" i="68" s="1"/>
  <c r="AH99" i="68" s="1"/>
  <c r="AB23" i="68"/>
  <c r="AC23" i="68" s="1"/>
  <c r="AD23" i="68" s="1"/>
  <c r="AE23" i="68" s="1"/>
  <c r="AF23" i="68" s="1"/>
  <c r="AG23" i="68" s="1"/>
  <c r="AH23" i="68" s="1"/>
  <c r="AD153" i="55"/>
  <c r="AC152" i="55"/>
  <c r="AN29" i="55"/>
  <c r="E29" i="55" s="1"/>
  <c r="D31" i="33"/>
  <c r="AB22" i="68"/>
  <c r="AC22" i="68" s="1"/>
  <c r="AD22" i="68" s="1"/>
  <c r="AE22" i="68" s="1"/>
  <c r="AF22" i="68" s="1"/>
  <c r="AG22" i="68" s="1"/>
  <c r="AH22" i="68" s="1"/>
  <c r="AA24" i="68"/>
  <c r="AA42" i="68"/>
  <c r="AE102" i="68"/>
  <c r="AF102" i="68" s="1"/>
  <c r="AE58" i="55"/>
  <c r="AE57" i="55" s="1"/>
  <c r="AD67" i="33"/>
  <c r="AE68" i="33"/>
  <c r="W35" i="68"/>
  <c r="W152" i="68" s="1"/>
  <c r="U6" i="64" s="1"/>
  <c r="X5" i="68"/>
  <c r="AD100" i="68"/>
  <c r="AG98" i="68"/>
  <c r="AH98" i="68" s="1"/>
  <c r="AD165" i="55"/>
  <c r="AC164" i="55"/>
  <c r="AD19" i="50"/>
  <c r="AE21" i="50"/>
  <c r="E5" i="64"/>
  <c r="AD41" i="68"/>
  <c r="Z143" i="68"/>
  <c r="Z182" i="68" s="1"/>
  <c r="Z183" i="68" s="1"/>
  <c r="AA179" i="68" s="1"/>
  <c r="AA113" i="68"/>
  <c r="AD9" i="55"/>
  <c r="AD3" i="55" s="1"/>
  <c r="Z107" i="68"/>
  <c r="Z172" i="68" s="1"/>
  <c r="AA77" i="68"/>
  <c r="Y45" i="28"/>
  <c r="X51" i="28"/>
  <c r="X54" i="28" s="1"/>
  <c r="Y39" i="28"/>
  <c r="Y42" i="28"/>
  <c r="Y47" i="28"/>
  <c r="Y44" i="28"/>
  <c r="AA13" i="28"/>
  <c r="AB9" i="28"/>
  <c r="AB20" i="28" s="1"/>
  <c r="AA15" i="28"/>
  <c r="AA10" i="28"/>
  <c r="Z24" i="37"/>
  <c r="AA11" i="28"/>
  <c r="AA14" i="28"/>
  <c r="AA18" i="28"/>
  <c r="AA16" i="28"/>
  <c r="AA12" i="28"/>
  <c r="AA17" i="28"/>
  <c r="AC23" i="36"/>
  <c r="Z37" i="28"/>
  <c r="Y50" i="28"/>
  <c r="Y48" i="28"/>
  <c r="Y40" i="28"/>
  <c r="AA180" i="55"/>
  <c r="V5" i="37"/>
  <c r="Y43" i="28"/>
  <c r="Y41" i="28"/>
  <c r="Z40" i="66"/>
  <c r="Z41" i="66"/>
  <c r="Z39" i="66"/>
  <c r="Z10" i="62"/>
  <c r="Y9" i="26"/>
  <c r="AD14" i="47"/>
  <c r="AC13" i="47"/>
  <c r="AA38" i="66" s="1"/>
  <c r="Z4" i="37"/>
  <c r="AE12" i="33" l="1"/>
  <c r="AE5" i="33" s="1"/>
  <c r="AE8" i="55"/>
  <c r="AM27" i="33"/>
  <c r="AN25" i="55" s="1"/>
  <c r="E25" i="55" s="1"/>
  <c r="AE43" i="33"/>
  <c r="AE41" i="55"/>
  <c r="AE34" i="55" s="1"/>
  <c r="AD36" i="33"/>
  <c r="AA98" i="55"/>
  <c r="AA71" i="55" s="1"/>
  <c r="AA185" i="55" s="1"/>
  <c r="AC22" i="36"/>
  <c r="Z173" i="68"/>
  <c r="AA169" i="68" s="1"/>
  <c r="AN5" i="55"/>
  <c r="E5" i="55" s="1"/>
  <c r="AB112" i="55"/>
  <c r="AB105" i="55" s="1"/>
  <c r="Z32" i="40"/>
  <c r="Z33" i="40" s="1"/>
  <c r="Z34" i="40" s="1"/>
  <c r="Z6" i="40" s="1"/>
  <c r="AC10" i="36" s="1"/>
  <c r="Z129" i="39"/>
  <c r="Z126" i="39" s="1"/>
  <c r="Y6" i="41"/>
  <c r="AB11" i="36" s="1"/>
  <c r="AE16" i="33"/>
  <c r="AF16" i="33" s="1"/>
  <c r="AG14" i="55" s="1"/>
  <c r="AE24" i="55"/>
  <c r="AE26" i="33"/>
  <c r="AH47" i="55"/>
  <c r="AG48" i="33"/>
  <c r="AH51" i="33"/>
  <c r="AG47" i="55"/>
  <c r="AF48" i="33"/>
  <c r="Z71" i="68"/>
  <c r="Z162" i="68" s="1"/>
  <c r="Z163" i="68" s="1"/>
  <c r="AA159" i="68" s="1"/>
  <c r="AC15" i="33"/>
  <c r="AB20" i="66" s="1"/>
  <c r="AC160" i="68"/>
  <c r="AD17" i="55"/>
  <c r="AD13" i="55" s="1"/>
  <c r="C65" i="68"/>
  <c r="D65" i="68" s="1"/>
  <c r="AC65" i="68" s="1"/>
  <c r="AD65" i="68" s="1"/>
  <c r="AE65" i="68" s="1"/>
  <c r="AF65" i="68" s="1"/>
  <c r="AB15" i="33"/>
  <c r="Z88" i="33" s="1"/>
  <c r="C64" i="68"/>
  <c r="D64" i="68" s="1"/>
  <c r="AB64" i="68" s="1"/>
  <c r="AC17" i="55"/>
  <c r="AC13" i="55" s="1"/>
  <c r="AB160" i="68"/>
  <c r="AC59" i="68"/>
  <c r="AD59" i="68" s="1"/>
  <c r="AE59" i="68" s="1"/>
  <c r="AF59" i="68" s="1"/>
  <c r="AG59" i="68" s="1"/>
  <c r="AH59" i="68" s="1"/>
  <c r="AD18" i="33"/>
  <c r="AE18" i="33" s="1"/>
  <c r="AF17" i="55" s="1"/>
  <c r="AD58" i="68"/>
  <c r="AB63" i="68"/>
  <c r="AC63" i="68" s="1"/>
  <c r="AD63" i="68" s="1"/>
  <c r="AE62" i="68"/>
  <c r="AF62" i="68" s="1"/>
  <c r="AG62" i="68" s="1"/>
  <c r="AH62" i="68" s="1"/>
  <c r="AC70" i="55"/>
  <c r="AC14" i="36"/>
  <c r="Z27" i="32"/>
  <c r="AA129" i="39" s="1"/>
  <c r="AA126" i="39" s="1"/>
  <c r="AA41" i="35"/>
  <c r="AA40" i="35" s="1"/>
  <c r="AA7" i="35" s="1"/>
  <c r="AA16" i="35" s="1"/>
  <c r="AD8" i="36" s="1"/>
  <c r="AQ29" i="45"/>
  <c r="AQ5" i="45" s="1"/>
  <c r="Z7" i="30"/>
  <c r="Z16" i="30" s="1"/>
  <c r="AA41" i="30"/>
  <c r="AA21" i="52"/>
  <c r="AA19" i="52" s="1"/>
  <c r="AA6" i="52" s="1"/>
  <c r="AC13" i="36" s="1"/>
  <c r="AB30" i="33"/>
  <c r="AC28" i="55" s="1"/>
  <c r="Z22" i="41"/>
  <c r="AC131" i="55" s="1"/>
  <c r="AC127" i="55" s="1"/>
  <c r="AF19" i="33"/>
  <c r="AG15" i="55" s="1"/>
  <c r="AG20" i="33"/>
  <c r="AH16" i="55" s="1"/>
  <c r="AG16" i="55"/>
  <c r="AF16" i="55"/>
  <c r="D47" i="33"/>
  <c r="AG14" i="33"/>
  <c r="AG10" i="55"/>
  <c r="AJ45" i="33"/>
  <c r="AK45" i="33" s="1"/>
  <c r="AL42" i="55" s="1"/>
  <c r="Z47" i="28"/>
  <c r="Z49" i="28"/>
  <c r="AG4" i="55"/>
  <c r="AF4" i="55"/>
  <c r="AG6" i="33"/>
  <c r="W5" i="37"/>
  <c r="W10" i="26" s="1"/>
  <c r="W9" i="49"/>
  <c r="AD58" i="33"/>
  <c r="AE59" i="33"/>
  <c r="AF59" i="33" s="1"/>
  <c r="AG49" i="55" s="1"/>
  <c r="AH35" i="33"/>
  <c r="AH33" i="55"/>
  <c r="M16" i="63"/>
  <c r="M49" i="63" s="1"/>
  <c r="M30" i="26" s="1"/>
  <c r="M47" i="63"/>
  <c r="M26" i="26" s="1"/>
  <c r="N14" i="63"/>
  <c r="N47" i="63" s="1"/>
  <c r="N26" i="26" s="1"/>
  <c r="AF12" i="55"/>
  <c r="AF9" i="33"/>
  <c r="AG24" i="33"/>
  <c r="AH21" i="55" s="1"/>
  <c r="AJ52" i="55"/>
  <c r="AK62" i="33"/>
  <c r="AG56" i="55"/>
  <c r="AG66" i="33"/>
  <c r="AG25" i="33"/>
  <c r="AH22" i="55" s="1"/>
  <c r="AM54" i="55"/>
  <c r="AM64" i="33"/>
  <c r="AH9" i="55"/>
  <c r="AJ6" i="55"/>
  <c r="X133" i="39"/>
  <c r="AA9" i="36" s="1"/>
  <c r="AA7" i="36" s="1"/>
  <c r="X15" i="37" s="1"/>
  <c r="V25" i="37"/>
  <c r="AN32" i="55"/>
  <c r="E32" i="55" s="1"/>
  <c r="D34" i="33"/>
  <c r="AL55" i="55"/>
  <c r="AL65" i="33"/>
  <c r="AM65" i="33" s="1"/>
  <c r="AN55" i="55" s="1"/>
  <c r="X21" i="66"/>
  <c r="AG33" i="33"/>
  <c r="D17" i="33"/>
  <c r="AA6" i="30"/>
  <c r="AB19" i="30"/>
  <c r="AA31" i="32"/>
  <c r="AR7" i="45"/>
  <c r="AB19" i="35"/>
  <c r="AB18" i="35" s="1"/>
  <c r="AB6" i="35" s="1"/>
  <c r="AG29" i="30"/>
  <c r="AW17" i="45"/>
  <c r="AG29" i="35"/>
  <c r="AN11" i="55"/>
  <c r="E11" i="55" s="1"/>
  <c r="AG20" i="55"/>
  <c r="C105" i="68"/>
  <c r="D105" i="68" s="1"/>
  <c r="AG105" i="68" s="1"/>
  <c r="AH105" i="68" s="1"/>
  <c r="AA26" i="41"/>
  <c r="AD133" i="55" s="1"/>
  <c r="AB23" i="52"/>
  <c r="AC32" i="33"/>
  <c r="AD30" i="55" s="1"/>
  <c r="AA32" i="40"/>
  <c r="AA33" i="40" s="1"/>
  <c r="AA34" i="40" s="1"/>
  <c r="AA6" i="40" s="1"/>
  <c r="AE7" i="50"/>
  <c r="AF9" i="50"/>
  <c r="AB76" i="55"/>
  <c r="AB26" i="50"/>
  <c r="AB38" i="50" s="1"/>
  <c r="AB20" i="36" s="1"/>
  <c r="AC27" i="50"/>
  <c r="AH32" i="30"/>
  <c r="AX20" i="45"/>
  <c r="AH32" i="35"/>
  <c r="AI31" i="30"/>
  <c r="AI31" i="35"/>
  <c r="AY19" i="45"/>
  <c r="AH59" i="55"/>
  <c r="AH69" i="33"/>
  <c r="AI35" i="30"/>
  <c r="AY23" i="45"/>
  <c r="AI35" i="35"/>
  <c r="AC27" i="30"/>
  <c r="AS15" i="45"/>
  <c r="AC27" i="35"/>
  <c r="Z187" i="55"/>
  <c r="Z196" i="55" s="1"/>
  <c r="Z198" i="55" s="1"/>
  <c r="AF24" i="30"/>
  <c r="AV12" i="45"/>
  <c r="AF24" i="35"/>
  <c r="AC44" i="30"/>
  <c r="AC44" i="35"/>
  <c r="AC43" i="35" s="1"/>
  <c r="AC8" i="35" s="1"/>
  <c r="AS32" i="45"/>
  <c r="AB8" i="30"/>
  <c r="AG31" i="55"/>
  <c r="AF33" i="33"/>
  <c r="AK30" i="35"/>
  <c r="BA18" i="45"/>
  <c r="R18" i="45" s="1"/>
  <c r="AB98" i="55"/>
  <c r="Y116" i="39"/>
  <c r="Z25" i="39"/>
  <c r="Z26" i="39" s="1"/>
  <c r="Z6" i="39" s="1"/>
  <c r="Z119" i="39"/>
  <c r="AE189" i="68"/>
  <c r="AC30" i="55"/>
  <c r="AE25" i="68"/>
  <c r="AF25" i="68" s="1"/>
  <c r="AN39" i="55"/>
  <c r="E39" i="55" s="1"/>
  <c r="D41" i="33"/>
  <c r="AM11" i="33"/>
  <c r="E6" i="63"/>
  <c r="F4" i="63" s="1"/>
  <c r="F5" i="63" s="1"/>
  <c r="AI53" i="55"/>
  <c r="E18" i="55"/>
  <c r="AI63" i="33"/>
  <c r="Y16" i="62"/>
  <c r="X89" i="33"/>
  <c r="X22" i="26"/>
  <c r="AK60" i="33"/>
  <c r="AL60" i="33" s="1"/>
  <c r="AM50" i="55" s="1"/>
  <c r="AK50" i="55"/>
  <c r="AA26" i="55"/>
  <c r="AA64" i="55" s="1"/>
  <c r="AA65" i="55"/>
  <c r="AA194" i="55" s="1"/>
  <c r="AK37" i="55"/>
  <c r="AB27" i="55"/>
  <c r="AA28" i="33"/>
  <c r="AA4" i="33" s="1"/>
  <c r="C27" i="68"/>
  <c r="D27" i="68" s="1"/>
  <c r="AA27" i="68" s="1"/>
  <c r="AB27" i="68" s="1"/>
  <c r="AF76" i="33"/>
  <c r="AD26" i="37" s="1"/>
  <c r="AA150" i="68"/>
  <c r="AG151" i="68" s="1"/>
  <c r="AB29" i="33"/>
  <c r="W27" i="26"/>
  <c r="W21" i="26"/>
  <c r="AF187" i="68"/>
  <c r="AF188" i="68"/>
  <c r="AK39" i="33"/>
  <c r="D26" i="68"/>
  <c r="Z26" i="68" s="1"/>
  <c r="AG22" i="55"/>
  <c r="AE3" i="55"/>
  <c r="AF172" i="55"/>
  <c r="AE171" i="55"/>
  <c r="AG104" i="68"/>
  <c r="AH104" i="68" s="1"/>
  <c r="AF8" i="55"/>
  <c r="AF58" i="55"/>
  <c r="AF57" i="55" s="1"/>
  <c r="AE67" i="33"/>
  <c r="AF68" i="33"/>
  <c r="AG68" i="33" s="1"/>
  <c r="AG102" i="68"/>
  <c r="AH102" i="68" s="1"/>
  <c r="AE100" i="68"/>
  <c r="AF100" i="68" s="1"/>
  <c r="AD164" i="55"/>
  <c r="AE165" i="55"/>
  <c r="AC151" i="55"/>
  <c r="AD61" i="68"/>
  <c r="AE61" i="68" s="1"/>
  <c r="AF61" i="68" s="1"/>
  <c r="AG61" i="68" s="1"/>
  <c r="AH61" i="68" s="1"/>
  <c r="AA107" i="68"/>
  <c r="AA172" i="68" s="1"/>
  <c r="AB77" i="68"/>
  <c r="AE41" i="68"/>
  <c r="AD152" i="55"/>
  <c r="AE153" i="55"/>
  <c r="W153" i="68"/>
  <c r="X149" i="68" s="1"/>
  <c r="AF103" i="68"/>
  <c r="AG103" i="68" s="1"/>
  <c r="AH103" i="68" s="1"/>
  <c r="AF12" i="33"/>
  <c r="AG12" i="33" s="1"/>
  <c r="AH12" i="33" s="1"/>
  <c r="AB24" i="68"/>
  <c r="AC24" i="68" s="1"/>
  <c r="AD24" i="68" s="1"/>
  <c r="AE101" i="68"/>
  <c r="AA143" i="68"/>
  <c r="AA182" i="68" s="1"/>
  <c r="AA183" i="68" s="1"/>
  <c r="AB179" i="68" s="1"/>
  <c r="AB113" i="68"/>
  <c r="AE19" i="50"/>
  <c r="AF21" i="50"/>
  <c r="X35" i="68"/>
  <c r="X152" i="68" s="1"/>
  <c r="V6" i="64" s="1"/>
  <c r="Y5" i="68"/>
  <c r="AB42" i="68"/>
  <c r="AA71" i="68"/>
  <c r="AA162" i="68" s="1"/>
  <c r="Y51" i="28"/>
  <c r="Y54" i="28" s="1"/>
  <c r="AB180" i="55"/>
  <c r="Z50" i="28"/>
  <c r="Z48" i="28"/>
  <c r="AA37" i="28"/>
  <c r="Z39" i="28"/>
  <c r="V10" i="26"/>
  <c r="Z42" i="28"/>
  <c r="Z40" i="28"/>
  <c r="Z46" i="28"/>
  <c r="Z43" i="28"/>
  <c r="Z41" i="28"/>
  <c r="Z44" i="28"/>
  <c r="AB18" i="28"/>
  <c r="AB10" i="28"/>
  <c r="AA24" i="37"/>
  <c r="AB14" i="28"/>
  <c r="AC9" i="28"/>
  <c r="AC20" i="28" s="1"/>
  <c r="AB13" i="28"/>
  <c r="AB16" i="28"/>
  <c r="AB12" i="28"/>
  <c r="AB17" i="28"/>
  <c r="AB11" i="28"/>
  <c r="AB15" i="28"/>
  <c r="AD23" i="36"/>
  <c r="Z45" i="28"/>
  <c r="AA40" i="66"/>
  <c r="AA41" i="66"/>
  <c r="AA39" i="66"/>
  <c r="AE14" i="47"/>
  <c r="AD13" i="47"/>
  <c r="AB38" i="66" s="1"/>
  <c r="AA4" i="37"/>
  <c r="AA10" i="62"/>
  <c r="Z9" i="26"/>
  <c r="D27" i="33" l="1"/>
  <c r="AF41" i="55"/>
  <c r="AF34" i="55" s="1"/>
  <c r="AE36" i="33"/>
  <c r="AF43" i="33"/>
  <c r="AD22" i="36"/>
  <c r="AF14" i="55"/>
  <c r="AF13" i="55" s="1"/>
  <c r="AA173" i="68"/>
  <c r="AB169" i="68" s="1"/>
  <c r="AA88" i="33"/>
  <c r="AB5" i="62"/>
  <c r="AD15" i="33"/>
  <c r="AC20" i="66" s="1"/>
  <c r="AC112" i="55"/>
  <c r="AC105" i="55" s="1"/>
  <c r="AG16" i="33"/>
  <c r="AH14" i="55" s="1"/>
  <c r="AF24" i="55"/>
  <c r="AE22" i="33"/>
  <c r="AC35" i="58" s="1"/>
  <c r="AC36" i="58" s="1"/>
  <c r="AC21" i="37" s="1"/>
  <c r="AF26" i="33"/>
  <c r="AE15" i="33"/>
  <c r="C66" i="68"/>
  <c r="D66" i="68" s="1"/>
  <c r="AD66" i="68" s="1"/>
  <c r="AE66" i="68" s="1"/>
  <c r="AF66" i="68" s="1"/>
  <c r="AF18" i="33"/>
  <c r="AG17" i="55" s="1"/>
  <c r="AG13" i="55" s="1"/>
  <c r="AD160" i="68"/>
  <c r="AI51" i="33"/>
  <c r="AJ51" i="33" s="1"/>
  <c r="AH48" i="33"/>
  <c r="AI47" i="55"/>
  <c r="AC64" i="68"/>
  <c r="AD64" i="68" s="1"/>
  <c r="AE64" i="68" s="1"/>
  <c r="AF64" i="68" s="1"/>
  <c r="AG19" i="33"/>
  <c r="AH19" i="33" s="1"/>
  <c r="AE58" i="68"/>
  <c r="AF58" i="68" s="1"/>
  <c r="AG58" i="68" s="1"/>
  <c r="AA20" i="66"/>
  <c r="AA5" i="62"/>
  <c r="C67" i="68"/>
  <c r="D67" i="68" s="1"/>
  <c r="AE67" i="68" s="1"/>
  <c r="AF67" i="68" s="1"/>
  <c r="AE160" i="68"/>
  <c r="AE17" i="55"/>
  <c r="AE13" i="55" s="1"/>
  <c r="C68" i="68"/>
  <c r="D68" i="68" s="1"/>
  <c r="AF68" i="68" s="1"/>
  <c r="AG68" i="68" s="1"/>
  <c r="AH68" i="68" s="1"/>
  <c r="AE63" i="68"/>
  <c r="AF63" i="68" s="1"/>
  <c r="AG63" i="68" s="1"/>
  <c r="AH63" i="68" s="1"/>
  <c r="AD70" i="55"/>
  <c r="AD14" i="36"/>
  <c r="Z6" i="41"/>
  <c r="AC11" i="36" s="1"/>
  <c r="AB21" i="52"/>
  <c r="AB19" i="52" s="1"/>
  <c r="AB6" i="52" s="1"/>
  <c r="AD13" i="36" s="1"/>
  <c r="AA22" i="41"/>
  <c r="AD131" i="55" s="1"/>
  <c r="AD127" i="55" s="1"/>
  <c r="AC30" i="33"/>
  <c r="AD28" i="55" s="1"/>
  <c r="AA24" i="39"/>
  <c r="AR29" i="45"/>
  <c r="AR5" i="45" s="1"/>
  <c r="AE70" i="55" s="1"/>
  <c r="AB41" i="30"/>
  <c r="AA7" i="30"/>
  <c r="AA16" i="30" s="1"/>
  <c r="AA27" i="32"/>
  <c r="AB24" i="39" s="1"/>
  <c r="AB41" i="35"/>
  <c r="AB40" i="35" s="1"/>
  <c r="AB7" i="35" s="1"/>
  <c r="AB16" i="35" s="1"/>
  <c r="AE8" i="36" s="1"/>
  <c r="AK42" i="55"/>
  <c r="AL45" i="33"/>
  <c r="AM42" i="55" s="1"/>
  <c r="AH20" i="33"/>
  <c r="AI20" i="33" s="1"/>
  <c r="AF49" i="55"/>
  <c r="AF48" i="55" s="1"/>
  <c r="AH31" i="55"/>
  <c r="AH10" i="55"/>
  <c r="AH14" i="33"/>
  <c r="AG48" i="55"/>
  <c r="AA43" i="28"/>
  <c r="AA49" i="28"/>
  <c r="AA163" i="68"/>
  <c r="AB159" i="68" s="1"/>
  <c r="AH6" i="33"/>
  <c r="AH4" i="55"/>
  <c r="AF5" i="33"/>
  <c r="X5" i="37"/>
  <c r="X10" i="26" s="1"/>
  <c r="X9" i="49"/>
  <c r="AF58" i="33"/>
  <c r="AG59" i="33"/>
  <c r="AG58" i="33" s="1"/>
  <c r="AE58" i="33"/>
  <c r="M17" i="63"/>
  <c r="N15" i="63" s="1"/>
  <c r="N48" i="63" s="1"/>
  <c r="N31" i="37" s="1"/>
  <c r="N5" i="64" s="1"/>
  <c r="AG9" i="55"/>
  <c r="AH24" i="33"/>
  <c r="AI24" i="33" s="1"/>
  <c r="AJ24" i="33" s="1"/>
  <c r="AK21" i="55" s="1"/>
  <c r="AI33" i="55"/>
  <c r="AI35" i="33"/>
  <c r="AK6" i="55"/>
  <c r="AG12" i="55"/>
  <c r="AG9" i="33"/>
  <c r="AG5" i="33" s="1"/>
  <c r="AJ9" i="55"/>
  <c r="AL52" i="55"/>
  <c r="AL62" i="33"/>
  <c r="AH66" i="33"/>
  <c r="AH56" i="55"/>
  <c r="AH25" i="33"/>
  <c r="AI22" i="55" s="1"/>
  <c r="AN54" i="55"/>
  <c r="E54" i="55" s="1"/>
  <c r="D64" i="33"/>
  <c r="Y21" i="66"/>
  <c r="AB71" i="55"/>
  <c r="AB185" i="55" s="1"/>
  <c r="AC27" i="68"/>
  <c r="AD27" i="68" s="1"/>
  <c r="AE27" i="68" s="1"/>
  <c r="AM55" i="55"/>
  <c r="E55" i="55" s="1"/>
  <c r="D65" i="33"/>
  <c r="AF189" i="68"/>
  <c r="Y133" i="39"/>
  <c r="AB9" i="36" s="1"/>
  <c r="AB7" i="36" s="1"/>
  <c r="Y15" i="37" s="1"/>
  <c r="F48" i="63"/>
  <c r="F31" i="37" s="1"/>
  <c r="F5" i="64" s="1"/>
  <c r="AC76" i="55"/>
  <c r="AJ31" i="30"/>
  <c r="AZ19" i="45"/>
  <c r="AJ31" i="35"/>
  <c r="AJ35" i="30"/>
  <c r="AZ23" i="45"/>
  <c r="AJ35" i="35"/>
  <c r="AH20" i="55"/>
  <c r="AG170" i="68"/>
  <c r="C106" i="68"/>
  <c r="AD44" i="30"/>
  <c r="AT32" i="45"/>
  <c r="AD44" i="35"/>
  <c r="AD43" i="35" s="1"/>
  <c r="AD8" i="35" s="1"/>
  <c r="AC8" i="30"/>
  <c r="AG24" i="30"/>
  <c r="AW12" i="45"/>
  <c r="AG24" i="35"/>
  <c r="AC98" i="55"/>
  <c r="Z116" i="39"/>
  <c r="AA187" i="55"/>
  <c r="AA196" i="55" s="1"/>
  <c r="AA198" i="55" s="1"/>
  <c r="AH29" i="30"/>
  <c r="AH29" i="35"/>
  <c r="AX17" i="45"/>
  <c r="AB26" i="41"/>
  <c r="AE133" i="55" s="1"/>
  <c r="AC23" i="52"/>
  <c r="AD32" i="33"/>
  <c r="AE30" i="55" s="1"/>
  <c r="AG9" i="50"/>
  <c r="AF7" i="50"/>
  <c r="AD112" i="55"/>
  <c r="AD105" i="55" s="1"/>
  <c r="AD10" i="36"/>
  <c r="AD27" i="30"/>
  <c r="AT15" i="45"/>
  <c r="AD27" i="35"/>
  <c r="AB6" i="30"/>
  <c r="AC19" i="30"/>
  <c r="AS7" i="45"/>
  <c r="AB31" i="32"/>
  <c r="AC19" i="35"/>
  <c r="AC18" i="35" s="1"/>
  <c r="AC6" i="35" s="1"/>
  <c r="E22" i="54"/>
  <c r="W25" i="37"/>
  <c r="AI69" i="33"/>
  <c r="AJ69" i="33" s="1"/>
  <c r="AI59" i="55"/>
  <c r="AI32" i="30"/>
  <c r="AY20" i="45"/>
  <c r="AI32" i="35"/>
  <c r="AG66" i="55"/>
  <c r="AG195" i="55" s="1"/>
  <c r="AG19" i="55"/>
  <c r="AC26" i="50"/>
  <c r="AC38" i="50" s="1"/>
  <c r="AC20" i="36" s="1"/>
  <c r="AD27" i="50"/>
  <c r="AH33" i="33"/>
  <c r="AG65" i="68"/>
  <c r="AH65" i="68" s="1"/>
  <c r="AN7" i="55"/>
  <c r="E7" i="55" s="1"/>
  <c r="D11" i="33"/>
  <c r="AM60" i="33"/>
  <c r="AN50" i="55" s="1"/>
  <c r="AG25" i="68"/>
  <c r="AH25" i="68" s="1"/>
  <c r="AJ53" i="55"/>
  <c r="AJ63" i="33"/>
  <c r="AA26" i="68"/>
  <c r="AB26" i="68" s="1"/>
  <c r="AH68" i="33"/>
  <c r="AI68" i="33" s="1"/>
  <c r="AC29" i="33"/>
  <c r="AC27" i="55"/>
  <c r="AB28" i="33"/>
  <c r="AB4" i="33" s="1"/>
  <c r="AG76" i="33"/>
  <c r="AE26" i="37" s="1"/>
  <c r="AB150" i="68"/>
  <c r="AH151" i="68" s="1"/>
  <c r="D151" i="68" s="1"/>
  <c r="C28" i="68"/>
  <c r="D28" i="68" s="1"/>
  <c r="AB28" i="68" s="1"/>
  <c r="AC28" i="68" s="1"/>
  <c r="AG187" i="68"/>
  <c r="AG188" i="68"/>
  <c r="X21" i="26"/>
  <c r="X27" i="26"/>
  <c r="AL37" i="55"/>
  <c r="AL39" i="33"/>
  <c r="Z16" i="62"/>
  <c r="Y89" i="33"/>
  <c r="Y22" i="26"/>
  <c r="AB26" i="55"/>
  <c r="AB64" i="55" s="1"/>
  <c r="AB65" i="55"/>
  <c r="AB194" i="55" s="1"/>
  <c r="AL50" i="55"/>
  <c r="AF3" i="55"/>
  <c r="AD151" i="55"/>
  <c r="AE24" i="68"/>
  <c r="AF24" i="68" s="1"/>
  <c r="AG24" i="68" s="1"/>
  <c r="AH24" i="68" s="1"/>
  <c r="X153" i="68"/>
  <c r="Y149" i="68" s="1"/>
  <c r="AF171" i="55"/>
  <c r="AG172" i="55"/>
  <c r="AI8" i="55"/>
  <c r="AF101" i="68"/>
  <c r="AG101" i="68" s="1"/>
  <c r="AH101" i="68" s="1"/>
  <c r="AG100" i="68"/>
  <c r="AH100" i="68" s="1"/>
  <c r="AI9" i="55"/>
  <c r="AF19" i="50"/>
  <c r="AG21" i="50"/>
  <c r="AB107" i="68"/>
  <c r="AB172" i="68" s="1"/>
  <c r="AC77" i="68"/>
  <c r="AH58" i="55"/>
  <c r="AH57" i="55" s="1"/>
  <c r="AG67" i="33"/>
  <c r="AG8" i="55"/>
  <c r="AI12" i="33"/>
  <c r="AC42" i="68"/>
  <c r="AB71" i="68"/>
  <c r="AB162" i="68" s="1"/>
  <c r="AB143" i="68"/>
  <c r="AB182" i="68" s="1"/>
  <c r="AB183" i="68" s="1"/>
  <c r="AC179" i="68" s="1"/>
  <c r="AC113" i="68"/>
  <c r="F49" i="63"/>
  <c r="F30" i="26" s="1"/>
  <c r="F6" i="63"/>
  <c r="AE164" i="55"/>
  <c r="AF165" i="55"/>
  <c r="AH8" i="55"/>
  <c r="Y35" i="68"/>
  <c r="Y152" i="68" s="1"/>
  <c r="W6" i="64" s="1"/>
  <c r="Z5" i="68"/>
  <c r="AE152" i="55"/>
  <c r="AF153" i="55"/>
  <c r="AF41" i="68"/>
  <c r="AG58" i="55"/>
  <c r="AG57" i="55" s="1"/>
  <c r="AF67" i="33"/>
  <c r="AA42" i="28"/>
  <c r="AA40" i="28"/>
  <c r="AC10" i="28"/>
  <c r="AB24" i="37"/>
  <c r="AC17" i="28"/>
  <c r="AD9" i="28"/>
  <c r="AD20" i="28" s="1"/>
  <c r="AC18" i="28"/>
  <c r="AC15" i="28"/>
  <c r="AC13" i="28"/>
  <c r="AC16" i="28"/>
  <c r="AC14" i="28"/>
  <c r="AC11" i="28"/>
  <c r="AC12" i="28"/>
  <c r="AE23" i="36"/>
  <c r="AA47" i="28"/>
  <c r="Z51" i="28"/>
  <c r="Z54" i="28" s="1"/>
  <c r="Y9" i="49" s="1"/>
  <c r="AA50" i="28"/>
  <c r="AA48" i="28"/>
  <c r="AB37" i="28"/>
  <c r="AC180" i="55"/>
  <c r="AA45" i="28"/>
  <c r="AA39" i="28"/>
  <c r="AA44" i="28"/>
  <c r="AA41" i="28"/>
  <c r="AA46" i="28"/>
  <c r="AA9" i="26"/>
  <c r="AB10" i="62"/>
  <c r="AB40" i="66"/>
  <c r="AB41" i="66"/>
  <c r="AB39" i="66"/>
  <c r="AE13" i="47"/>
  <c r="AC38" i="66" s="1"/>
  <c r="AB4" i="37"/>
  <c r="AF14" i="47"/>
  <c r="AD29" i="33" l="1"/>
  <c r="AH76" i="33"/>
  <c r="AB173" i="68"/>
  <c r="AC169" i="68" s="1"/>
  <c r="AG43" i="33"/>
  <c r="AG41" i="55"/>
  <c r="AG34" i="55" s="1"/>
  <c r="AF36" i="33"/>
  <c r="AC5" i="62"/>
  <c r="AB88" i="33"/>
  <c r="AH16" i="33"/>
  <c r="AI16" i="33" s="1"/>
  <c r="AD5" i="62"/>
  <c r="AD20" i="66"/>
  <c r="C69" i="68"/>
  <c r="D69" i="68" s="1"/>
  <c r="AG69" i="68" s="1"/>
  <c r="AH69" i="68" s="1"/>
  <c r="AH15" i="55"/>
  <c r="AC88" i="33"/>
  <c r="AE22" i="36"/>
  <c r="AB32" i="40"/>
  <c r="AB33" i="40" s="1"/>
  <c r="AB34" i="40" s="1"/>
  <c r="AB6" i="40" s="1"/>
  <c r="AE10" i="36" s="1"/>
  <c r="AB129" i="39"/>
  <c r="AB126" i="39" s="1"/>
  <c r="AA6" i="41"/>
  <c r="AD11" i="36" s="1"/>
  <c r="AF160" i="68"/>
  <c r="AG18" i="33"/>
  <c r="AH18" i="33" s="1"/>
  <c r="AI18" i="33" s="1"/>
  <c r="AJ18" i="33" s="1"/>
  <c r="AF15" i="33"/>
  <c r="AI25" i="33"/>
  <c r="AJ22" i="55" s="1"/>
  <c r="AG24" i="55"/>
  <c r="AF22" i="33"/>
  <c r="AD35" i="58" s="1"/>
  <c r="AD36" i="58" s="1"/>
  <c r="AD21" i="37" s="1"/>
  <c r="AG26" i="33"/>
  <c r="AM45" i="33"/>
  <c r="AN42" i="55" s="1"/>
  <c r="E42" i="55" s="1"/>
  <c r="AK47" i="55"/>
  <c r="AJ48" i="33"/>
  <c r="AK51" i="33"/>
  <c r="AL51" i="33" s="1"/>
  <c r="AJ47" i="55"/>
  <c r="AI48" i="33"/>
  <c r="AG67" i="68"/>
  <c r="AH67" i="68" s="1"/>
  <c r="AG64" i="68"/>
  <c r="AH64" i="68" s="1"/>
  <c r="AH58" i="68"/>
  <c r="AE14" i="36"/>
  <c r="AA25" i="39"/>
  <c r="AA26" i="39" s="1"/>
  <c r="AA119" i="39"/>
  <c r="AC21" i="52"/>
  <c r="AC19" i="52" s="1"/>
  <c r="AC6" i="52" s="1"/>
  <c r="AE13" i="36" s="1"/>
  <c r="AB22" i="41"/>
  <c r="AE131" i="55" s="1"/>
  <c r="AE127" i="55" s="1"/>
  <c r="AD30" i="33"/>
  <c r="AE28" i="55" s="1"/>
  <c r="AC41" i="30"/>
  <c r="AB27" i="32"/>
  <c r="AC129" i="39" s="1"/>
  <c r="AC126" i="39" s="1"/>
  <c r="AB7" i="30"/>
  <c r="AB16" i="30" s="1"/>
  <c r="AS29" i="45"/>
  <c r="AS5" i="45" s="1"/>
  <c r="AC41" i="35"/>
  <c r="AC40" i="35" s="1"/>
  <c r="AC7" i="35" s="1"/>
  <c r="AC16" i="35" s="1"/>
  <c r="AF8" i="36" s="1"/>
  <c r="AI16" i="55"/>
  <c r="AI15" i="55"/>
  <c r="AI19" i="33"/>
  <c r="AB163" i="68"/>
  <c r="AC159" i="68" s="1"/>
  <c r="AJ20" i="33"/>
  <c r="AJ16" i="55"/>
  <c r="AI14" i="33"/>
  <c r="AJ14" i="33" s="1"/>
  <c r="AK10" i="55" s="1"/>
  <c r="AI10" i="55"/>
  <c r="AL6" i="55"/>
  <c r="AB39" i="28"/>
  <c r="AB49" i="28"/>
  <c r="AI14" i="55"/>
  <c r="AI6" i="33"/>
  <c r="AI4" i="55"/>
  <c r="N16" i="63"/>
  <c r="N49" i="63" s="1"/>
  <c r="N30" i="26" s="1"/>
  <c r="AI31" i="55"/>
  <c r="AI21" i="55"/>
  <c r="AH49" i="55"/>
  <c r="AH48" i="55" s="1"/>
  <c r="AH59" i="33"/>
  <c r="AH58" i="33" s="1"/>
  <c r="AJ35" i="33"/>
  <c r="AJ33" i="55"/>
  <c r="AH12" i="55"/>
  <c r="AH3" i="55" s="1"/>
  <c r="AH9" i="33"/>
  <c r="AH5" i="33" s="1"/>
  <c r="AM52" i="55"/>
  <c r="AM62" i="33"/>
  <c r="AI56" i="55"/>
  <c r="AI66" i="33"/>
  <c r="AJ21" i="55"/>
  <c r="AK24" i="33"/>
  <c r="Z21" i="66"/>
  <c r="AI58" i="55"/>
  <c r="AI57" i="55" s="1"/>
  <c r="Z133" i="39"/>
  <c r="AC9" i="36" s="1"/>
  <c r="AC7" i="36" s="1"/>
  <c r="AH67" i="33"/>
  <c r="X25" i="37"/>
  <c r="AB25" i="39"/>
  <c r="AB26" i="39" s="1"/>
  <c r="AB6" i="39" s="1"/>
  <c r="AB119" i="39"/>
  <c r="AI33" i="33"/>
  <c r="D60" i="33"/>
  <c r="AK59" i="55"/>
  <c r="AE27" i="30"/>
  <c r="AU15" i="45"/>
  <c r="AE27" i="35"/>
  <c r="AE44" i="30"/>
  <c r="AU32" i="45"/>
  <c r="AE44" i="35"/>
  <c r="AE43" i="35" s="1"/>
  <c r="AE8" i="35" s="1"/>
  <c r="AD8" i="30"/>
  <c r="E50" i="55"/>
  <c r="AK69" i="33"/>
  <c r="AL59" i="55" s="1"/>
  <c r="AI20" i="55"/>
  <c r="AH170" i="68"/>
  <c r="D170" i="68" s="1"/>
  <c r="AE27" i="50"/>
  <c r="AD26" i="50"/>
  <c r="AD38" i="50" s="1"/>
  <c r="AD20" i="36" s="1"/>
  <c r="AH19" i="55"/>
  <c r="AH66" i="55"/>
  <c r="AH195" i="55" s="1"/>
  <c r="AC31" i="32"/>
  <c r="AC6" i="30"/>
  <c r="AD19" i="30"/>
  <c r="AD19" i="35"/>
  <c r="AD18" i="35" s="1"/>
  <c r="AD6" i="35" s="1"/>
  <c r="AT7" i="45"/>
  <c r="AK31" i="35"/>
  <c r="BA19" i="45"/>
  <c r="R19" i="45" s="1"/>
  <c r="AJ32" i="30"/>
  <c r="AJ32" i="35"/>
  <c r="AZ20" i="45"/>
  <c r="AH24" i="30"/>
  <c r="AX12" i="45"/>
  <c r="AH24" i="35"/>
  <c r="C107" i="68"/>
  <c r="D106" i="68"/>
  <c r="AH106" i="68" s="1"/>
  <c r="AC71" i="55"/>
  <c r="AC185" i="55" s="1"/>
  <c r="AD28" i="68"/>
  <c r="AE28" i="68" s="1"/>
  <c r="AB187" i="55"/>
  <c r="Y25" i="37" s="1"/>
  <c r="AI29" i="30"/>
  <c r="AY17" i="45"/>
  <c r="AI29" i="35"/>
  <c r="AC26" i="68"/>
  <c r="AD26" i="68" s="1"/>
  <c r="AE26" i="68" s="1"/>
  <c r="AJ59" i="55"/>
  <c r="AG7" i="50"/>
  <c r="AH9" i="50"/>
  <c r="AC26" i="41"/>
  <c r="AF133" i="55" s="1"/>
  <c r="AD23" i="52"/>
  <c r="AE32" i="33"/>
  <c r="BA23" i="45"/>
  <c r="R23" i="45" s="1"/>
  <c r="AK35" i="35"/>
  <c r="AG189" i="68"/>
  <c r="AG66" i="68"/>
  <c r="AH66" i="68" s="1"/>
  <c r="AK53" i="55"/>
  <c r="AK63" i="33"/>
  <c r="AC26" i="55"/>
  <c r="AC64" i="55" s="1"/>
  <c r="AC65" i="55"/>
  <c r="AC194" i="55" s="1"/>
  <c r="AD27" i="55"/>
  <c r="AC28" i="33"/>
  <c r="AC4" i="33" s="1"/>
  <c r="C29" i="68"/>
  <c r="D29" i="68" s="1"/>
  <c r="AC29" i="68" s="1"/>
  <c r="AD29" i="68" s="1"/>
  <c r="AE29" i="68" s="1"/>
  <c r="AF26" i="37"/>
  <c r="AC150" i="68"/>
  <c r="AE27" i="55"/>
  <c r="AM37" i="55"/>
  <c r="AH187" i="68"/>
  <c r="AH188" i="68"/>
  <c r="AM39" i="33"/>
  <c r="D39" i="33" s="1"/>
  <c r="AE29" i="33"/>
  <c r="AJ12" i="33"/>
  <c r="AK12" i="33" s="1"/>
  <c r="AL8" i="55" s="1"/>
  <c r="Y27" i="26"/>
  <c r="Y21" i="26"/>
  <c r="AA16" i="62"/>
  <c r="Z89" i="33"/>
  <c r="Z22" i="26"/>
  <c r="AG3" i="55"/>
  <c r="AF27" i="68"/>
  <c r="AG27" i="68" s="1"/>
  <c r="AH172" i="55"/>
  <c r="AG171" i="55"/>
  <c r="AE151" i="55"/>
  <c r="AJ68" i="33"/>
  <c r="AC107" i="68"/>
  <c r="AC172" i="68" s="1"/>
  <c r="AD77" i="68"/>
  <c r="AJ8" i="55"/>
  <c r="AF152" i="55"/>
  <c r="AG153" i="55"/>
  <c r="AF164" i="55"/>
  <c r="AG165" i="55"/>
  <c r="AD42" i="68"/>
  <c r="AC71" i="68"/>
  <c r="AC162" i="68" s="1"/>
  <c r="AK9" i="55"/>
  <c r="AC143" i="68"/>
  <c r="AC182" i="68" s="1"/>
  <c r="AC183" i="68" s="1"/>
  <c r="AD179" i="68" s="1"/>
  <c r="AD113" i="68"/>
  <c r="Z35" i="68"/>
  <c r="Z152" i="68" s="1"/>
  <c r="X6" i="64" s="1"/>
  <c r="AA5" i="68"/>
  <c r="Y153" i="68"/>
  <c r="Z149" i="68" s="1"/>
  <c r="AH21" i="50"/>
  <c r="AG19" i="50"/>
  <c r="AJ58" i="55"/>
  <c r="AJ57" i="55" s="1"/>
  <c r="AI67" i="33"/>
  <c r="F22" i="54"/>
  <c r="G4" i="63"/>
  <c r="AG41" i="68"/>
  <c r="AL9" i="55"/>
  <c r="AB41" i="28"/>
  <c r="AB43" i="28"/>
  <c r="AB46" i="28"/>
  <c r="AB45" i="28"/>
  <c r="AA51" i="28"/>
  <c r="AA54" i="28" s="1"/>
  <c r="AC24" i="37"/>
  <c r="AD16" i="28"/>
  <c r="AD11" i="28"/>
  <c r="AE9" i="28"/>
  <c r="AE20" i="28" s="1"/>
  <c r="AD10" i="28"/>
  <c r="AD17" i="28"/>
  <c r="AD12" i="28"/>
  <c r="AD13" i="28"/>
  <c r="AD18" i="28"/>
  <c r="AD15" i="28"/>
  <c r="AD14" i="28"/>
  <c r="AF23" i="36"/>
  <c r="AC37" i="28"/>
  <c r="AB50" i="28"/>
  <c r="AB48" i="28"/>
  <c r="AD180" i="55"/>
  <c r="AB40" i="28"/>
  <c r="AB44" i="28"/>
  <c r="Y5" i="37"/>
  <c r="AB47" i="28"/>
  <c r="AB42" i="28"/>
  <c r="AC41" i="66"/>
  <c r="AC39" i="66"/>
  <c r="AC40" i="66"/>
  <c r="AC10" i="62"/>
  <c r="AB9" i="26"/>
  <c r="AF13" i="47"/>
  <c r="AD38" i="66" s="1"/>
  <c r="AC4" i="37"/>
  <c r="AG14" i="47"/>
  <c r="AC173" i="68" l="1"/>
  <c r="AD169" i="68" s="1"/>
  <c r="AC24" i="39"/>
  <c r="AA21" i="66"/>
  <c r="Z15" i="37"/>
  <c r="AH43" i="33"/>
  <c r="AI43" i="33" s="1"/>
  <c r="AH41" i="55"/>
  <c r="AG36" i="33"/>
  <c r="AF22" i="36"/>
  <c r="AD28" i="33"/>
  <c r="AD4" i="33" s="1"/>
  <c r="AB22" i="26" s="1"/>
  <c r="AJ25" i="33"/>
  <c r="AK22" i="55" s="1"/>
  <c r="AH17" i="55"/>
  <c r="AH13" i="55" s="1"/>
  <c r="AI17" i="55"/>
  <c r="AI13" i="55" s="1"/>
  <c r="D45" i="33"/>
  <c r="AE112" i="55"/>
  <c r="AE105" i="55" s="1"/>
  <c r="AD150" i="68"/>
  <c r="AJ17" i="55"/>
  <c r="AI76" i="33"/>
  <c r="AG26" i="37" s="1"/>
  <c r="AK18" i="33"/>
  <c r="AL18" i="33" s="1"/>
  <c r="AM18" i="33" s="1"/>
  <c r="AN17" i="55" s="1"/>
  <c r="AG160" i="68"/>
  <c r="C30" i="68"/>
  <c r="D30" i="68" s="1"/>
  <c r="AD30" i="68" s="1"/>
  <c r="AE30" i="68" s="1"/>
  <c r="AF30" i="68" s="1"/>
  <c r="AH15" i="33"/>
  <c r="AG15" i="33"/>
  <c r="AD88" i="33"/>
  <c r="AE20" i="66"/>
  <c r="AE5" i="62"/>
  <c r="C70" i="68"/>
  <c r="D70" i="68" s="1"/>
  <c r="AH70" i="68" s="1"/>
  <c r="AH24" i="55"/>
  <c r="AG22" i="33"/>
  <c r="AH26" i="33"/>
  <c r="AM47" i="55"/>
  <c r="AL48" i="33"/>
  <c r="AK48" i="33"/>
  <c r="AL47" i="55"/>
  <c r="AM51" i="33"/>
  <c r="AB6" i="41"/>
  <c r="AE11" i="36" s="1"/>
  <c r="AF70" i="55"/>
  <c r="AF14" i="36"/>
  <c r="AD21" i="52"/>
  <c r="AD19" i="52" s="1"/>
  <c r="AD6" i="52" s="1"/>
  <c r="AF13" i="36" s="1"/>
  <c r="AE30" i="33"/>
  <c r="AF28" i="55" s="1"/>
  <c r="AC22" i="41"/>
  <c r="AF131" i="55" s="1"/>
  <c r="AF127" i="55" s="1"/>
  <c r="AD98" i="55"/>
  <c r="AA116" i="39"/>
  <c r="AC27" i="32"/>
  <c r="AD129" i="39" s="1"/>
  <c r="AD126" i="39" s="1"/>
  <c r="AD41" i="30"/>
  <c r="AD41" i="35"/>
  <c r="AD40" i="35" s="1"/>
  <c r="AD7" i="35" s="1"/>
  <c r="AD16" i="35" s="1"/>
  <c r="AG8" i="36" s="1"/>
  <c r="AT29" i="45"/>
  <c r="AT5" i="45" s="1"/>
  <c r="AC7" i="30"/>
  <c r="AC16" i="30" s="1"/>
  <c r="AA6" i="39"/>
  <c r="AD76" i="55"/>
  <c r="AC32" i="40"/>
  <c r="AC33" i="40" s="1"/>
  <c r="AC34" i="40" s="1"/>
  <c r="AC163" i="68"/>
  <c r="AD159" i="68" s="1"/>
  <c r="AJ15" i="55"/>
  <c r="AJ19" i="33"/>
  <c r="AK16" i="55"/>
  <c r="AK20" i="33"/>
  <c r="AK14" i="33"/>
  <c r="AL10" i="55" s="1"/>
  <c r="N17" i="63"/>
  <c r="O15" i="63" s="1"/>
  <c r="O48" i="63" s="1"/>
  <c r="O31" i="37" s="1"/>
  <c r="O5" i="64" s="1"/>
  <c r="AM6" i="55"/>
  <c r="AJ10" i="55"/>
  <c r="AC41" i="28"/>
  <c r="AC49" i="28"/>
  <c r="AJ16" i="33"/>
  <c r="AI15" i="33"/>
  <c r="AJ14" i="55"/>
  <c r="AJ4" i="55"/>
  <c r="AJ6" i="33"/>
  <c r="AK6" i="33" s="1"/>
  <c r="Z5" i="37"/>
  <c r="Z10" i="26" s="1"/>
  <c r="Z9" i="49"/>
  <c r="AI59" i="33"/>
  <c r="AI58" i="33" s="1"/>
  <c r="AI49" i="55"/>
  <c r="AI48" i="55" s="1"/>
  <c r="AJ31" i="55"/>
  <c r="AK35" i="33"/>
  <c r="AK33" i="33" s="1"/>
  <c r="AK33" i="55"/>
  <c r="AN6" i="55"/>
  <c r="AI12" i="55"/>
  <c r="AI3" i="55" s="1"/>
  <c r="AI9" i="33"/>
  <c r="AI5" i="33" s="1"/>
  <c r="AN52" i="55"/>
  <c r="E52" i="55" s="1"/>
  <c r="D62" i="33"/>
  <c r="AJ56" i="55"/>
  <c r="AJ66" i="33"/>
  <c r="AL21" i="55"/>
  <c r="AL24" i="33"/>
  <c r="AL69" i="33"/>
  <c r="AM59" i="55" s="1"/>
  <c r="AK8" i="55"/>
  <c r="AH27" i="68"/>
  <c r="AB196" i="55"/>
  <c r="AB198" i="55" s="1"/>
  <c r="AK32" i="35"/>
  <c r="BA20" i="45"/>
  <c r="R20" i="45" s="1"/>
  <c r="AF26" i="68"/>
  <c r="AG26" i="68" s="1"/>
  <c r="AH26" i="68" s="1"/>
  <c r="AF32" i="33"/>
  <c r="AG30" i="55" s="1"/>
  <c r="AF30" i="55"/>
  <c r="AI19" i="55"/>
  <c r="AI66" i="55"/>
  <c r="AF28" i="68"/>
  <c r="AG28" i="68" s="1"/>
  <c r="AH28" i="68" s="1"/>
  <c r="AF27" i="50"/>
  <c r="AE26" i="50"/>
  <c r="AE38" i="50" s="1"/>
  <c r="AE20" i="36" s="1"/>
  <c r="AF27" i="30"/>
  <c r="AV15" i="45"/>
  <c r="AF27" i="35"/>
  <c r="AJ20" i="55"/>
  <c r="AC25" i="39"/>
  <c r="AC26" i="39" s="1"/>
  <c r="AC6" i="39" s="1"/>
  <c r="AC119" i="39"/>
  <c r="AI24" i="30"/>
  <c r="AY12" i="45"/>
  <c r="AI24" i="35"/>
  <c r="AJ33" i="33"/>
  <c r="AD31" i="32"/>
  <c r="AD6" i="30"/>
  <c r="AE19" i="30"/>
  <c r="AU7" i="45"/>
  <c r="AE19" i="35"/>
  <c r="AE18" i="35" s="1"/>
  <c r="AE6" i="35" s="1"/>
  <c r="AD26" i="41"/>
  <c r="AG133" i="55" s="1"/>
  <c r="AE23" i="52"/>
  <c r="AE98" i="55"/>
  <c r="AB116" i="39"/>
  <c r="AH7" i="50"/>
  <c r="AI9" i="50"/>
  <c r="AJ29" i="30"/>
  <c r="AZ17" i="45"/>
  <c r="AJ29" i="35"/>
  <c r="AE76" i="55"/>
  <c r="AF44" i="30"/>
  <c r="AV32" i="45"/>
  <c r="AF44" i="35"/>
  <c r="AF43" i="35" s="1"/>
  <c r="AF8" i="35" s="1"/>
  <c r="AE8" i="30"/>
  <c r="AC187" i="55"/>
  <c r="AC196" i="55" s="1"/>
  <c r="AC198" i="55" s="1"/>
  <c r="AK17" i="55"/>
  <c r="AL53" i="55"/>
  <c r="AL63" i="33"/>
  <c r="Z27" i="26"/>
  <c r="Z21" i="26"/>
  <c r="AL12" i="33"/>
  <c r="AM12" i="33" s="1"/>
  <c r="AN8" i="55" s="1"/>
  <c r="AF29" i="68"/>
  <c r="AH189" i="68"/>
  <c r="AA89" i="33"/>
  <c r="AB16" i="62"/>
  <c r="AA22" i="26"/>
  <c r="AD26" i="55"/>
  <c r="AD64" i="55" s="1"/>
  <c r="AD65" i="55"/>
  <c r="AD194" i="55" s="1"/>
  <c r="Z153" i="68"/>
  <c r="AA149" i="68" s="1"/>
  <c r="AE26" i="55"/>
  <c r="AE64" i="55" s="1"/>
  <c r="AE65" i="55"/>
  <c r="AE194" i="55" s="1"/>
  <c r="AF29" i="33"/>
  <c r="AG29" i="33" s="1"/>
  <c r="AF27" i="55"/>
  <c r="AN37" i="55"/>
  <c r="AF151" i="55"/>
  <c r="AI172" i="55"/>
  <c r="AH171" i="55"/>
  <c r="AD107" i="68"/>
  <c r="AD172" i="68" s="1"/>
  <c r="AE77" i="68"/>
  <c r="G48" i="63"/>
  <c r="G31" i="37" s="1"/>
  <c r="G5" i="63"/>
  <c r="G49" i="63" s="1"/>
  <c r="G30" i="26" s="1"/>
  <c r="AK58" i="55"/>
  <c r="AK57" i="55" s="1"/>
  <c r="AJ67" i="33"/>
  <c r="AM9" i="55"/>
  <c r="AA35" i="68"/>
  <c r="AA152" i="68" s="1"/>
  <c r="Y6" i="64" s="1"/>
  <c r="AB5" i="68"/>
  <c r="AG152" i="55"/>
  <c r="AH153" i="55"/>
  <c r="AI21" i="50"/>
  <c r="AH19" i="50"/>
  <c r="AE42" i="68"/>
  <c r="AD71" i="68"/>
  <c r="AD162" i="68" s="1"/>
  <c r="AK68" i="33"/>
  <c r="AH41" i="68"/>
  <c r="AD143" i="68"/>
  <c r="AD182" i="68" s="1"/>
  <c r="AD183" i="68" s="1"/>
  <c r="AE179" i="68" s="1"/>
  <c r="AE113" i="68"/>
  <c r="AG164" i="55"/>
  <c r="AH165" i="55"/>
  <c r="AC45" i="28"/>
  <c r="AC47" i="28"/>
  <c r="AC44" i="28"/>
  <c r="AC46" i="28"/>
  <c r="AC39" i="28"/>
  <c r="AC42" i="28"/>
  <c r="AC43" i="28"/>
  <c r="AD37" i="28"/>
  <c r="AC50" i="28"/>
  <c r="AC48" i="28"/>
  <c r="AB51" i="28"/>
  <c r="AB54" i="28" s="1"/>
  <c r="AA9" i="49" s="1"/>
  <c r="AD24" i="37"/>
  <c r="AE15" i="28"/>
  <c r="AE11" i="28"/>
  <c r="AF9" i="28"/>
  <c r="AF20" i="28" s="1"/>
  <c r="AE13" i="28"/>
  <c r="AE14" i="28"/>
  <c r="AE18" i="28"/>
  <c r="AE17" i="28"/>
  <c r="AE10" i="28"/>
  <c r="AE16" i="28"/>
  <c r="AE12" i="28"/>
  <c r="AG23" i="36"/>
  <c r="AC40" i="28"/>
  <c r="Y10" i="26"/>
  <c r="AE180" i="55"/>
  <c r="AD41" i="66"/>
  <c r="AD39" i="66"/>
  <c r="AD40" i="66"/>
  <c r="AG13" i="47"/>
  <c r="AE38" i="66" s="1"/>
  <c r="AD4" i="37"/>
  <c r="AH14" i="47"/>
  <c r="AD10" i="62"/>
  <c r="AC9" i="26"/>
  <c r="AD173" i="68" l="1"/>
  <c r="AE169" i="68" s="1"/>
  <c r="D18" i="33"/>
  <c r="AD71" i="55"/>
  <c r="AD185" i="55" s="1"/>
  <c r="AG22" i="36"/>
  <c r="AC16" i="62"/>
  <c r="AK25" i="33"/>
  <c r="AL22" i="55" s="1"/>
  <c r="AJ43" i="33"/>
  <c r="AK41" i="55" s="1"/>
  <c r="AK34" i="55" s="1"/>
  <c r="AJ41" i="55"/>
  <c r="AJ34" i="55" s="1"/>
  <c r="AI36" i="33"/>
  <c r="AH34" i="55"/>
  <c r="AI41" i="55"/>
  <c r="AI34" i="55" s="1"/>
  <c r="AH36" i="33"/>
  <c r="AB89" i="33"/>
  <c r="AL17" i="55"/>
  <c r="AM17" i="55"/>
  <c r="AG30" i="68"/>
  <c r="AH30" i="68" s="1"/>
  <c r="E6" i="55"/>
  <c r="C71" i="68"/>
  <c r="AI24" i="55"/>
  <c r="AH22" i="33"/>
  <c r="AF88" i="33" s="1"/>
  <c r="AI26" i="33"/>
  <c r="AH160" i="68"/>
  <c r="D160" i="68" s="1"/>
  <c r="AE35" i="58"/>
  <c r="AE36" i="58" s="1"/>
  <c r="AE21" i="37" s="1"/>
  <c r="AE88" i="33"/>
  <c r="AF20" i="66"/>
  <c r="AF5" i="62"/>
  <c r="D51" i="33"/>
  <c r="AM48" i="33"/>
  <c r="D48" i="33" s="1"/>
  <c r="B8" i="53" s="1"/>
  <c r="AN47" i="55"/>
  <c r="E47" i="55" s="1"/>
  <c r="AJ76" i="33"/>
  <c r="AH26" i="37" s="1"/>
  <c r="C32" i="68"/>
  <c r="D32" i="68" s="1"/>
  <c r="AF32" i="68" s="1"/>
  <c r="AG32" i="68" s="1"/>
  <c r="AH32" i="68" s="1"/>
  <c r="C31" i="68"/>
  <c r="D31" i="68" s="1"/>
  <c r="AE31" i="68" s="1"/>
  <c r="AF31" i="68" s="1"/>
  <c r="AG31" i="68" s="1"/>
  <c r="AH31" i="68" s="1"/>
  <c r="AE150" i="68"/>
  <c r="AE28" i="33"/>
  <c r="AE4" i="33" s="1"/>
  <c r="AA133" i="39"/>
  <c r="AD9" i="36" s="1"/>
  <c r="AD7" i="36" s="1"/>
  <c r="AA15" i="37" s="1"/>
  <c r="AC6" i="41"/>
  <c r="AF11" i="36" s="1"/>
  <c r="AG70" i="55"/>
  <c r="AG14" i="36"/>
  <c r="AD7" i="30"/>
  <c r="AD16" i="30" s="1"/>
  <c r="AE41" i="30"/>
  <c r="AU29" i="45"/>
  <c r="AU5" i="45" s="1"/>
  <c r="AE41" i="35"/>
  <c r="AE40" i="35" s="1"/>
  <c r="AE7" i="35" s="1"/>
  <c r="AE16" i="35" s="1"/>
  <c r="AH8" i="36" s="1"/>
  <c r="AD27" i="32"/>
  <c r="AE129" i="39" s="1"/>
  <c r="AE126" i="39" s="1"/>
  <c r="AE24" i="39"/>
  <c r="AC6" i="40"/>
  <c r="AF10" i="36" s="1"/>
  <c r="AF112" i="55"/>
  <c r="AF105" i="55" s="1"/>
  <c r="AE21" i="52"/>
  <c r="AE19" i="52" s="1"/>
  <c r="AE6" i="52" s="1"/>
  <c r="AG13" i="36" s="1"/>
  <c r="AD24" i="39"/>
  <c r="AF30" i="33"/>
  <c r="AG28" i="55" s="1"/>
  <c r="AD22" i="41"/>
  <c r="AG131" i="55" s="1"/>
  <c r="AG127" i="55" s="1"/>
  <c r="AD32" i="40"/>
  <c r="AD33" i="40" s="1"/>
  <c r="AD34" i="40" s="1"/>
  <c r="AL14" i="33"/>
  <c r="AM10" i="55" s="1"/>
  <c r="AD163" i="68"/>
  <c r="AE159" i="68" s="1"/>
  <c r="AJ13" i="55"/>
  <c r="AK19" i="33"/>
  <c r="AL15" i="55" s="1"/>
  <c r="AK15" i="55"/>
  <c r="AL16" i="55"/>
  <c r="AL20" i="33"/>
  <c r="AD43" i="28"/>
  <c r="AD49" i="28"/>
  <c r="AK16" i="33"/>
  <c r="AJ15" i="33"/>
  <c r="AK14" i="55"/>
  <c r="AL6" i="33"/>
  <c r="AM6" i="33" s="1"/>
  <c r="AL4" i="55"/>
  <c r="AK4" i="55"/>
  <c r="AK31" i="55"/>
  <c r="D10" i="33"/>
  <c r="AJ59" i="33"/>
  <c r="AJ58" i="33" s="1"/>
  <c r="AJ49" i="55"/>
  <c r="AJ48" i="55" s="1"/>
  <c r="AL33" i="55"/>
  <c r="AL31" i="55" s="1"/>
  <c r="AL35" i="33"/>
  <c r="AL33" i="33" s="1"/>
  <c r="AJ9" i="33"/>
  <c r="AJ5" i="33" s="1"/>
  <c r="AJ12" i="55"/>
  <c r="AJ3" i="55" s="1"/>
  <c r="AM8" i="55"/>
  <c r="E8" i="55" s="1"/>
  <c r="AD187" i="55"/>
  <c r="AA25" i="37" s="1"/>
  <c r="AK56" i="55"/>
  <c r="AK66" i="33"/>
  <c r="AM21" i="55"/>
  <c r="AM24" i="33"/>
  <c r="AN21" i="55" s="1"/>
  <c r="AM69" i="33"/>
  <c r="AN59" i="55" s="1"/>
  <c r="E59" i="55" s="1"/>
  <c r="G6" i="63"/>
  <c r="H4" i="63" s="1"/>
  <c r="AK20" i="55"/>
  <c r="AL20" i="55"/>
  <c r="AF98" i="55"/>
  <c r="AC116" i="39"/>
  <c r="AG27" i="30"/>
  <c r="AG27" i="35"/>
  <c r="AW15" i="45"/>
  <c r="AJ24" i="30"/>
  <c r="AZ12" i="45"/>
  <c r="AJ24" i="35"/>
  <c r="AE71" i="55"/>
  <c r="AE185" i="55" s="1"/>
  <c r="AE187" i="55" s="1"/>
  <c r="AE196" i="55" s="1"/>
  <c r="O16" i="63"/>
  <c r="O49" i="63" s="1"/>
  <c r="O30" i="26" s="1"/>
  <c r="AG44" i="30"/>
  <c r="AG44" i="35"/>
  <c r="AG43" i="35" s="1"/>
  <c r="AG8" i="35" s="1"/>
  <c r="AW32" i="45"/>
  <c r="AF8" i="30"/>
  <c r="AG27" i="50"/>
  <c r="AF26" i="50"/>
  <c r="AF38" i="50" s="1"/>
  <c r="AF20" i="36" s="1"/>
  <c r="AB133" i="39"/>
  <c r="AE9" i="36" s="1"/>
  <c r="AE7" i="36" s="1"/>
  <c r="AF76" i="55"/>
  <c r="Z25" i="37"/>
  <c r="AK29" i="35"/>
  <c r="BA17" i="45"/>
  <c r="R17" i="45" s="1"/>
  <c r="AE6" i="30"/>
  <c r="AF19" i="30"/>
  <c r="AE31" i="32"/>
  <c r="AF19" i="35"/>
  <c r="AF18" i="35" s="1"/>
  <c r="AF6" i="35" s="1"/>
  <c r="AV7" i="45"/>
  <c r="AI7" i="50"/>
  <c r="AJ9" i="50"/>
  <c r="AJ66" i="55"/>
  <c r="AJ195" i="55" s="1"/>
  <c r="AJ19" i="55"/>
  <c r="AE26" i="41"/>
  <c r="AH133" i="55" s="1"/>
  <c r="AF23" i="52"/>
  <c r="AG32" i="33"/>
  <c r="AI195" i="55"/>
  <c r="E195" i="55" s="1"/>
  <c r="C8" i="69" a="1"/>
  <c r="AM63" i="33"/>
  <c r="AM53" i="55"/>
  <c r="AH27" i="55"/>
  <c r="AH29" i="33"/>
  <c r="AB21" i="26"/>
  <c r="AB27" i="26"/>
  <c r="AF26" i="55"/>
  <c r="AF64" i="55" s="1"/>
  <c r="AF65" i="55"/>
  <c r="AF194" i="55" s="1"/>
  <c r="D12" i="33"/>
  <c r="E37" i="55"/>
  <c r="AG27" i="55"/>
  <c r="AA27" i="26"/>
  <c r="AA21" i="26"/>
  <c r="AG29" i="68"/>
  <c r="AH29" i="68" s="1"/>
  <c r="AA153" i="68"/>
  <c r="AB149" i="68" s="1"/>
  <c r="AJ172" i="55"/>
  <c r="AI171" i="55"/>
  <c r="G5" i="64"/>
  <c r="AE107" i="68"/>
  <c r="AE172" i="68" s="1"/>
  <c r="AF77" i="68"/>
  <c r="AH164" i="55"/>
  <c r="AI165" i="55"/>
  <c r="AF42" i="68"/>
  <c r="AE71" i="68"/>
  <c r="AE162" i="68" s="1"/>
  <c r="AH152" i="55"/>
  <c r="AI153" i="55"/>
  <c r="AE143" i="68"/>
  <c r="AE182" i="68" s="1"/>
  <c r="AE183" i="68" s="1"/>
  <c r="AF179" i="68" s="1"/>
  <c r="AF113" i="68"/>
  <c r="AG151" i="55"/>
  <c r="AL58" i="55"/>
  <c r="AL57" i="55" s="1"/>
  <c r="AK67" i="33"/>
  <c r="AL68" i="33"/>
  <c r="AB35" i="68"/>
  <c r="AB152" i="68" s="1"/>
  <c r="Z6" i="64" s="1"/>
  <c r="AC5" i="68"/>
  <c r="AJ21" i="50"/>
  <c r="AI19" i="50"/>
  <c r="AD40" i="28"/>
  <c r="AD41" i="28"/>
  <c r="AD39" i="28"/>
  <c r="AD45" i="28"/>
  <c r="AD47" i="28"/>
  <c r="AD44" i="28"/>
  <c r="AD42" i="28"/>
  <c r="AC51" i="28"/>
  <c r="AC54" i="28" s="1"/>
  <c r="AF14" i="28"/>
  <c r="AG9" i="28"/>
  <c r="AG20" i="28" s="1"/>
  <c r="AE24" i="37"/>
  <c r="AF18" i="28"/>
  <c r="AF13" i="28"/>
  <c r="AF16" i="28"/>
  <c r="AF12" i="28"/>
  <c r="AF10" i="28"/>
  <c r="AF15" i="28"/>
  <c r="AF11" i="28"/>
  <c r="AF17" i="28"/>
  <c r="AH23" i="36"/>
  <c r="AF180" i="55"/>
  <c r="AA5" i="37"/>
  <c r="AE37" i="28"/>
  <c r="AD50" i="28"/>
  <c r="AD48" i="28"/>
  <c r="AD46" i="28"/>
  <c r="AE4" i="37"/>
  <c r="AI14" i="47"/>
  <c r="AH13" i="47"/>
  <c r="AF38" i="66" s="1"/>
  <c r="AE10" i="62"/>
  <c r="AD9" i="26"/>
  <c r="AE41" i="66"/>
  <c r="AE39" i="66"/>
  <c r="AE40" i="66"/>
  <c r="AE173" i="68" l="1"/>
  <c r="AF169" i="68" s="1"/>
  <c r="AL25" i="33"/>
  <c r="AM22" i="55" s="1"/>
  <c r="AC21" i="66"/>
  <c r="AB15" i="37"/>
  <c r="AK43" i="33"/>
  <c r="AL43" i="33" s="1"/>
  <c r="AM43" i="33" s="1"/>
  <c r="AM36" i="33" s="1"/>
  <c r="AJ36" i="33"/>
  <c r="AE32" i="40"/>
  <c r="AE33" i="40" s="1"/>
  <c r="AE34" i="40" s="1"/>
  <c r="AH112" i="55" s="1"/>
  <c r="AH105" i="55" s="1"/>
  <c r="AH22" i="36"/>
  <c r="E17" i="55"/>
  <c r="AC89" i="33"/>
  <c r="AG5" i="62"/>
  <c r="AD16" i="62"/>
  <c r="AJ24" i="55"/>
  <c r="AJ26" i="33"/>
  <c r="AK26" i="33" s="1"/>
  <c r="AL24" i="55" s="1"/>
  <c r="AI22" i="33"/>
  <c r="AH5" i="62" s="1"/>
  <c r="AF35" i="58"/>
  <c r="AF36" i="58" s="1"/>
  <c r="AF21" i="37" s="1"/>
  <c r="B21" i="37" s="1"/>
  <c r="AG20" i="66"/>
  <c r="AF150" i="68"/>
  <c r="AE25" i="39"/>
  <c r="AE26" i="39" s="1"/>
  <c r="AE6" i="39" s="1"/>
  <c r="AB21" i="66"/>
  <c r="AE163" i="68"/>
  <c r="AF159" i="68" s="1"/>
  <c r="AE119" i="39"/>
  <c r="AH98" i="55" s="1"/>
  <c r="AK76" i="33"/>
  <c r="AI26" i="37" s="1"/>
  <c r="AF28" i="33"/>
  <c r="AF4" i="33" s="1"/>
  <c r="AD22" i="26" s="1"/>
  <c r="C33" i="68"/>
  <c r="D33" i="68" s="1"/>
  <c r="AG33" i="68" s="1"/>
  <c r="AH33" i="68" s="1"/>
  <c r="AD6" i="41"/>
  <c r="AG11" i="36" s="1"/>
  <c r="AH14" i="36"/>
  <c r="AH70" i="55"/>
  <c r="AD119" i="39"/>
  <c r="AD25" i="39"/>
  <c r="AD26" i="39" s="1"/>
  <c r="AE7" i="30"/>
  <c r="AE16" i="30" s="1"/>
  <c r="AE27" i="32"/>
  <c r="AF129" i="39" s="1"/>
  <c r="AF126" i="39" s="1"/>
  <c r="AF41" i="30"/>
  <c r="AF41" i="35"/>
  <c r="AF40" i="35" s="1"/>
  <c r="AF7" i="35" s="1"/>
  <c r="AF16" i="35" s="1"/>
  <c r="AI8" i="36" s="1"/>
  <c r="AV29" i="45"/>
  <c r="AV5" i="45" s="1"/>
  <c r="AD6" i="40"/>
  <c r="AG10" i="36" s="1"/>
  <c r="AG112" i="55"/>
  <c r="AG105" i="55" s="1"/>
  <c r="AF21" i="52"/>
  <c r="AF19" i="52" s="1"/>
  <c r="AF6" i="52" s="1"/>
  <c r="AH13" i="36" s="1"/>
  <c r="AE22" i="41"/>
  <c r="AH131" i="55" s="1"/>
  <c r="AH127" i="55" s="1"/>
  <c r="AG30" i="33"/>
  <c r="AH28" i="55" s="1"/>
  <c r="AM14" i="33"/>
  <c r="AL19" i="33"/>
  <c r="AM19" i="33" s="1"/>
  <c r="AN15" i="55" s="1"/>
  <c r="AK13" i="55"/>
  <c r="AM16" i="55"/>
  <c r="AM20" i="33"/>
  <c r="AN16" i="55" s="1"/>
  <c r="AK9" i="33"/>
  <c r="AK5" i="33" s="1"/>
  <c r="AK15" i="33"/>
  <c r="AL14" i="55"/>
  <c r="AL13" i="55" s="1"/>
  <c r="AL16" i="33"/>
  <c r="AE43" i="28"/>
  <c r="AE49" i="28"/>
  <c r="AN4" i="55"/>
  <c r="D6" i="33"/>
  <c r="AM4" i="55"/>
  <c r="AB5" i="37"/>
  <c r="AB10" i="26" s="1"/>
  <c r="AB9" i="49"/>
  <c r="AD196" i="55"/>
  <c r="AD198" i="55" s="1"/>
  <c r="AK49" i="55"/>
  <c r="AK48" i="55" s="1"/>
  <c r="AK59" i="33"/>
  <c r="AK58" i="33" s="1"/>
  <c r="AM35" i="33"/>
  <c r="AM33" i="55"/>
  <c r="AM31" i="55" s="1"/>
  <c r="AK12" i="55"/>
  <c r="AK3" i="55" s="1"/>
  <c r="D69" i="33"/>
  <c r="E21" i="55"/>
  <c r="AL56" i="55"/>
  <c r="AL66" i="33"/>
  <c r="AM20" i="55"/>
  <c r="AM66" i="55" s="1"/>
  <c r="AM195" i="55" s="1"/>
  <c r="G22" i="54"/>
  <c r="D24" i="33"/>
  <c r="AB25" i="37"/>
  <c r="C8" i="69"/>
  <c r="D8" i="69" s="1"/>
  <c r="AF26" i="41"/>
  <c r="AI133" i="55" s="1"/>
  <c r="AG23" i="52"/>
  <c r="AH32" i="33"/>
  <c r="AI30" i="55" s="1"/>
  <c r="AL66" i="55"/>
  <c r="AL195" i="55" s="1"/>
  <c r="AL19" i="55"/>
  <c r="AH30" i="55"/>
  <c r="AH27" i="50"/>
  <c r="AG26" i="50"/>
  <c r="AG38" i="50" s="1"/>
  <c r="AG20" i="36" s="1"/>
  <c r="AF6" i="30"/>
  <c r="AG19" i="30"/>
  <c r="AF31" i="32"/>
  <c r="AG19" i="35"/>
  <c r="AG18" i="35" s="1"/>
  <c r="AG6" i="35" s="1"/>
  <c r="AW7" i="45"/>
  <c r="AK24" i="35"/>
  <c r="BA12" i="45"/>
  <c r="R12" i="45" s="1"/>
  <c r="AH27" i="30"/>
  <c r="AH27" i="35"/>
  <c r="AX15" i="45"/>
  <c r="AH44" i="30"/>
  <c r="AH44" i="35"/>
  <c r="AH43" i="35" s="1"/>
  <c r="AH8" i="35" s="1"/>
  <c r="AX32" i="45"/>
  <c r="AG8" i="30"/>
  <c r="AK19" i="55"/>
  <c r="AK66" i="55"/>
  <c r="AK195" i="55" s="1"/>
  <c r="O17" i="63"/>
  <c r="P15" i="63" s="1"/>
  <c r="P16" i="63" s="1"/>
  <c r="P49" i="63" s="1"/>
  <c r="P30" i="26" s="1"/>
  <c r="AC133" i="39"/>
  <c r="AF9" i="36" s="1"/>
  <c r="AF7" i="36" s="1"/>
  <c r="AC15" i="37" s="1"/>
  <c r="AK9" i="50"/>
  <c r="AJ7" i="50"/>
  <c r="AF71" i="55"/>
  <c r="AF185" i="55" s="1"/>
  <c r="AF187" i="55" s="1"/>
  <c r="AF196" i="55" s="1"/>
  <c r="D63" i="33"/>
  <c r="AN53" i="55"/>
  <c r="AI27" i="55"/>
  <c r="AI29" i="33"/>
  <c r="AG26" i="55"/>
  <c r="AG64" i="55" s="1"/>
  <c r="AG65" i="55"/>
  <c r="AG194" i="55" s="1"/>
  <c r="AC22" i="26"/>
  <c r="AE198" i="55"/>
  <c r="AH151" i="55"/>
  <c r="AK172" i="55"/>
  <c r="AJ171" i="55"/>
  <c r="AC35" i="68"/>
  <c r="AC152" i="68" s="1"/>
  <c r="AA6" i="64" s="1"/>
  <c r="AD5" i="68"/>
  <c r="AJ153" i="55"/>
  <c r="AI152" i="55"/>
  <c r="AJ165" i="55"/>
  <c r="AI164" i="55"/>
  <c r="AB153" i="68"/>
  <c r="AC149" i="68" s="1"/>
  <c r="H48" i="63"/>
  <c r="H31" i="37" s="1"/>
  <c r="H5" i="64" s="1"/>
  <c r="H5" i="63"/>
  <c r="H49" i="63" s="1"/>
  <c r="H30" i="26" s="1"/>
  <c r="AK21" i="50"/>
  <c r="AJ19" i="50"/>
  <c r="AM58" i="55"/>
  <c r="AM57" i="55" s="1"/>
  <c r="AL67" i="33"/>
  <c r="AG42" i="68"/>
  <c r="AF71" i="68"/>
  <c r="AF162" i="68" s="1"/>
  <c r="AF143" i="68"/>
  <c r="AF182" i="68" s="1"/>
  <c r="AF183" i="68" s="1"/>
  <c r="AG179" i="68" s="1"/>
  <c r="AG113" i="68"/>
  <c r="AN9" i="55"/>
  <c r="D13" i="33"/>
  <c r="AM68" i="33"/>
  <c r="AF107" i="68"/>
  <c r="AF172" i="68" s="1"/>
  <c r="AG77" i="68"/>
  <c r="AD51" i="28"/>
  <c r="AD54" i="28" s="1"/>
  <c r="AE47" i="28"/>
  <c r="AE41" i="28"/>
  <c r="AE39" i="28"/>
  <c r="AE40" i="28"/>
  <c r="AE44" i="28"/>
  <c r="AE50" i="28"/>
  <c r="AE48" i="28"/>
  <c r="AF37" i="28"/>
  <c r="AE42" i="28"/>
  <c r="AE45" i="28"/>
  <c r="AA10" i="26"/>
  <c r="AG17" i="28"/>
  <c r="AG13" i="28"/>
  <c r="AH9" i="28"/>
  <c r="AH20" i="28" s="1"/>
  <c r="AF24" i="37"/>
  <c r="AG10" i="28"/>
  <c r="AG12" i="28"/>
  <c r="AG15" i="28"/>
  <c r="AG18" i="28"/>
  <c r="AG14" i="28"/>
  <c r="AG11" i="28"/>
  <c r="AG16" i="28"/>
  <c r="AI23" i="36"/>
  <c r="AE46" i="28"/>
  <c r="AG180" i="55"/>
  <c r="AF41" i="66"/>
  <c r="AF39" i="66"/>
  <c r="AF40" i="66"/>
  <c r="AF4" i="37"/>
  <c r="AJ14" i="47"/>
  <c r="AI13" i="47"/>
  <c r="AG38" i="66" s="1"/>
  <c r="AF10" i="62"/>
  <c r="AE9" i="26"/>
  <c r="AK36" i="33" l="1"/>
  <c r="AF173" i="68"/>
  <c r="AG169" i="68" s="1"/>
  <c r="AM25" i="33"/>
  <c r="AN22" i="55" s="1"/>
  <c r="D43" i="33"/>
  <c r="AM41" i="55"/>
  <c r="AM34" i="55" s="1"/>
  <c r="AL41" i="55"/>
  <c r="AL34" i="55" s="1"/>
  <c r="AN41" i="55"/>
  <c r="AL36" i="33"/>
  <c r="D36" i="33" s="1"/>
  <c r="B7" i="53" s="1"/>
  <c r="AE16" i="62"/>
  <c r="AE6" i="40"/>
  <c r="AH10" i="36" s="1"/>
  <c r="AF163" i="68"/>
  <c r="AG159" i="68" s="1"/>
  <c r="AI22" i="36"/>
  <c r="AG88" i="33"/>
  <c r="AH76" i="55"/>
  <c r="AH71" i="55" s="1"/>
  <c r="AH20" i="66"/>
  <c r="AF32" i="40"/>
  <c r="AF33" i="40" s="1"/>
  <c r="AF34" i="40" s="1"/>
  <c r="AF6" i="40" s="1"/>
  <c r="AI10" i="36" s="1"/>
  <c r="AF24" i="39"/>
  <c r="AF119" i="39" s="1"/>
  <c r="AF116" i="39" s="1"/>
  <c r="AL26" i="33"/>
  <c r="AM24" i="55" s="1"/>
  <c r="AK22" i="33"/>
  <c r="AI88" i="33" s="1"/>
  <c r="AD89" i="33"/>
  <c r="AK24" i="55"/>
  <c r="AJ22" i="33"/>
  <c r="AI5" i="62" s="1"/>
  <c r="AG28" i="33"/>
  <c r="AE89" i="33" s="1"/>
  <c r="AE116" i="39"/>
  <c r="AE133" i="39" s="1"/>
  <c r="AH9" i="36" s="1"/>
  <c r="AL76" i="33"/>
  <c r="AJ26" i="37" s="1"/>
  <c r="AH65" i="55"/>
  <c r="AH194" i="55" s="1"/>
  <c r="AG150" i="68"/>
  <c r="AI70" i="55"/>
  <c r="AI14" i="36"/>
  <c r="AE6" i="41"/>
  <c r="AH11" i="36" s="1"/>
  <c r="C34" i="68"/>
  <c r="D34" i="68" s="1"/>
  <c r="AH34" i="68" s="1"/>
  <c r="AG21" i="52"/>
  <c r="AG19" i="52" s="1"/>
  <c r="AG6" i="52" s="1"/>
  <c r="AI13" i="36" s="1"/>
  <c r="AH30" i="33"/>
  <c r="AI28" i="55" s="1"/>
  <c r="AI26" i="55" s="1"/>
  <c r="AI64" i="55" s="1"/>
  <c r="AF22" i="41"/>
  <c r="AI131" i="55" s="1"/>
  <c r="AI127" i="55" s="1"/>
  <c r="AD6" i="39"/>
  <c r="AG76" i="55"/>
  <c r="AD116" i="39"/>
  <c r="AG98" i="55"/>
  <c r="AF27" i="32"/>
  <c r="AG41" i="30"/>
  <c r="AG41" i="35"/>
  <c r="AG40" i="35" s="1"/>
  <c r="AG7" i="35" s="1"/>
  <c r="AG16" i="35" s="1"/>
  <c r="AJ8" i="36" s="1"/>
  <c r="AW29" i="45"/>
  <c r="AW5" i="45" s="1"/>
  <c r="AF7" i="30"/>
  <c r="AF16" i="30" s="1"/>
  <c r="AL12" i="55"/>
  <c r="AL3" i="55" s="1"/>
  <c r="AL9" i="33"/>
  <c r="AM9" i="33" s="1"/>
  <c r="AN12" i="55" s="1"/>
  <c r="AN10" i="55"/>
  <c r="E10" i="55" s="1"/>
  <c r="D14" i="33"/>
  <c r="AM15" i="55"/>
  <c r="E15" i="55" s="1"/>
  <c r="D19" i="33"/>
  <c r="E16" i="55"/>
  <c r="D20" i="33"/>
  <c r="AL59" i="33"/>
  <c r="AM49" i="55" s="1"/>
  <c r="AM14" i="55"/>
  <c r="AL15" i="33"/>
  <c r="AM16" i="33"/>
  <c r="E4" i="55"/>
  <c r="AF47" i="28"/>
  <c r="AF49" i="28"/>
  <c r="AC5" i="37"/>
  <c r="AC10" i="26" s="1"/>
  <c r="AC9" i="49"/>
  <c r="AL49" i="55"/>
  <c r="AL48" i="55" s="1"/>
  <c r="AM33" i="33"/>
  <c r="D33" i="33" s="1"/>
  <c r="B6" i="53" s="1"/>
  <c r="D35" i="33"/>
  <c r="AN33" i="55"/>
  <c r="E33" i="55" s="1"/>
  <c r="E31" i="55" s="1"/>
  <c r="AN20" i="55"/>
  <c r="AM56" i="55"/>
  <c r="AM66" i="33"/>
  <c r="D66" i="33" s="1"/>
  <c r="AM19" i="55"/>
  <c r="P48" i="63"/>
  <c r="P31" i="37" s="1"/>
  <c r="P5" i="64" s="1"/>
  <c r="AD21" i="66"/>
  <c r="AG26" i="41"/>
  <c r="AJ133" i="55" s="1"/>
  <c r="AH23" i="52"/>
  <c r="AI32" i="33"/>
  <c r="AJ30" i="55" s="1"/>
  <c r="D38" i="69"/>
  <c r="E8" i="69"/>
  <c r="F8" i="69" s="1"/>
  <c r="AG6" i="30"/>
  <c r="AH19" i="30"/>
  <c r="AG31" i="32"/>
  <c r="AX7" i="45"/>
  <c r="AH19" i="35"/>
  <c r="AH18" i="35" s="1"/>
  <c r="AH6" i="35" s="1"/>
  <c r="AH26" i="55"/>
  <c r="AH64" i="55" s="1"/>
  <c r="AI44" i="30"/>
  <c r="AI44" i="35"/>
  <c r="AI43" i="35" s="1"/>
  <c r="AI8" i="35" s="1"/>
  <c r="AY32" i="45"/>
  <c r="AH8" i="30"/>
  <c r="AI27" i="50"/>
  <c r="AH26" i="50"/>
  <c r="AH38" i="50" s="1"/>
  <c r="AH20" i="36" s="1"/>
  <c r="AI27" i="30"/>
  <c r="AY15" i="45"/>
  <c r="AI27" i="35"/>
  <c r="AC25" i="37"/>
  <c r="AK7" i="50"/>
  <c r="AL9" i="50"/>
  <c r="E53" i="55"/>
  <c r="AD21" i="26"/>
  <c r="AD27" i="26"/>
  <c r="AJ29" i="33"/>
  <c r="AK29" i="33" s="1"/>
  <c r="AJ27" i="55"/>
  <c r="AC27" i="26"/>
  <c r="AC21" i="26"/>
  <c r="AF198" i="55"/>
  <c r="AL172" i="55"/>
  <c r="AK171" i="55"/>
  <c r="AK165" i="55"/>
  <c r="AJ164" i="55"/>
  <c r="AI151" i="55"/>
  <c r="AN58" i="55"/>
  <c r="AM67" i="33"/>
  <c r="D68" i="33"/>
  <c r="AK153" i="55"/>
  <c r="AJ152" i="55"/>
  <c r="E22" i="55"/>
  <c r="D25" i="33"/>
  <c r="AD35" i="68"/>
  <c r="AD152" i="68" s="1"/>
  <c r="AB6" i="64" s="1"/>
  <c r="AE5" i="68"/>
  <c r="AG143" i="68"/>
  <c r="AG182" i="68" s="1"/>
  <c r="AG183" i="68" s="1"/>
  <c r="AH179" i="68" s="1"/>
  <c r="AH113" i="68"/>
  <c r="AH143" i="68" s="1"/>
  <c r="AH182" i="68" s="1"/>
  <c r="AK19" i="50"/>
  <c r="AL21" i="50"/>
  <c r="P17" i="63"/>
  <c r="AH42" i="68"/>
  <c r="AH71" i="68" s="1"/>
  <c r="AH162" i="68" s="1"/>
  <c r="AG71" i="68"/>
  <c r="AG162" i="68" s="1"/>
  <c r="AG107" i="68"/>
  <c r="AG172" i="68" s="1"/>
  <c r="AH77" i="68"/>
  <c r="AH107" i="68" s="1"/>
  <c r="AH172" i="68" s="1"/>
  <c r="E9" i="55"/>
  <c r="AC153" i="68"/>
  <c r="AD149" i="68" s="1"/>
  <c r="H6" i="63"/>
  <c r="AF39" i="28"/>
  <c r="AF44" i="28"/>
  <c r="AF40" i="28"/>
  <c r="AF43" i="28"/>
  <c r="AE51" i="28"/>
  <c r="AE54" i="28" s="1"/>
  <c r="AF50" i="28"/>
  <c r="AF48" i="28"/>
  <c r="AG37" i="28"/>
  <c r="AI9" i="28"/>
  <c r="AI20" i="28" s="1"/>
  <c r="AG24" i="37"/>
  <c r="AH18" i="28"/>
  <c r="AH15" i="28"/>
  <c r="AH12" i="28"/>
  <c r="AH10" i="28"/>
  <c r="AH11" i="28"/>
  <c r="AH16" i="28"/>
  <c r="AH14" i="28"/>
  <c r="AH17" i="28"/>
  <c r="AH13" i="28"/>
  <c r="AJ23" i="36"/>
  <c r="AF41" i="28"/>
  <c r="AF42" i="28"/>
  <c r="AF46" i="28"/>
  <c r="AF45" i="28"/>
  <c r="AH180" i="55"/>
  <c r="AG41" i="66"/>
  <c r="AG40" i="66"/>
  <c r="AG39" i="66"/>
  <c r="AK14" i="47"/>
  <c r="AJ13" i="47"/>
  <c r="AH38" i="66" s="1"/>
  <c r="AG4" i="37"/>
  <c r="AG10" i="62"/>
  <c r="AF9" i="26"/>
  <c r="E41" i="55" l="1"/>
  <c r="E34" i="55" s="1"/>
  <c r="AG173" i="68"/>
  <c r="AH169" i="68" s="1"/>
  <c r="AH173" i="68" s="1"/>
  <c r="AN34" i="55"/>
  <c r="AF16" i="62"/>
  <c r="AG4" i="33"/>
  <c r="AE22" i="26" s="1"/>
  <c r="AE27" i="26" s="1"/>
  <c r="AI112" i="55"/>
  <c r="AI105" i="55" s="1"/>
  <c r="AG163" i="68"/>
  <c r="AH159" i="68" s="1"/>
  <c r="AH163" i="68" s="1"/>
  <c r="AI65" i="55"/>
  <c r="AI194" i="55" s="1"/>
  <c r="E194" i="55" s="1"/>
  <c r="AL22" i="33"/>
  <c r="AJ20" i="66"/>
  <c r="AM26" i="33"/>
  <c r="AN24" i="55" s="1"/>
  <c r="E24" i="55" s="1"/>
  <c r="AJ5" i="62"/>
  <c r="AF25" i="39"/>
  <c r="AF26" i="39" s="1"/>
  <c r="AL58" i="33"/>
  <c r="AM48" i="55"/>
  <c r="AJ22" i="36"/>
  <c r="AH88" i="33"/>
  <c r="AG32" i="40"/>
  <c r="AG33" i="40" s="1"/>
  <c r="AG34" i="40" s="1"/>
  <c r="AG6" i="40" s="1"/>
  <c r="AJ10" i="36" s="1"/>
  <c r="AG129" i="39"/>
  <c r="AG126" i="39" s="1"/>
  <c r="AI20" i="66"/>
  <c r="AI98" i="55"/>
  <c r="AN3" i="55"/>
  <c r="AF6" i="41"/>
  <c r="AI11" i="36" s="1"/>
  <c r="D9" i="33"/>
  <c r="AL5" i="33"/>
  <c r="AM12" i="55"/>
  <c r="AM3" i="55" s="1"/>
  <c r="AH150" i="68"/>
  <c r="D150" i="68" s="1"/>
  <c r="AD133" i="39"/>
  <c r="AG9" i="36" s="1"/>
  <c r="AG7" i="36" s="1"/>
  <c r="AM76" i="33"/>
  <c r="D76" i="33" s="1"/>
  <c r="AM59" i="33"/>
  <c r="AM58" i="33" s="1"/>
  <c r="AG24" i="39"/>
  <c r="AG119" i="39" s="1"/>
  <c r="C35" i="68"/>
  <c r="AH28" i="33"/>
  <c r="AF89" i="33" s="1"/>
  <c r="AG71" i="55"/>
  <c r="AG185" i="55" s="1"/>
  <c r="AG187" i="55" s="1"/>
  <c r="AG196" i="55" s="1"/>
  <c r="AG198" i="55" s="1"/>
  <c r="AJ70" i="55"/>
  <c r="AJ14" i="36"/>
  <c r="AG27" i="32"/>
  <c r="AH129" i="39" s="1"/>
  <c r="AH126" i="39" s="1"/>
  <c r="AH41" i="30"/>
  <c r="AG7" i="30"/>
  <c r="AG16" i="30" s="1"/>
  <c r="AH41" i="35"/>
  <c r="AH40" i="35" s="1"/>
  <c r="AH7" i="35" s="1"/>
  <c r="AH16" i="35" s="1"/>
  <c r="AK8" i="36" s="1"/>
  <c r="AX29" i="45"/>
  <c r="AX5" i="45" s="1"/>
  <c r="AK14" i="36" s="1"/>
  <c r="AH21" i="52"/>
  <c r="AH19" i="52" s="1"/>
  <c r="AH6" i="52" s="1"/>
  <c r="AJ13" i="36" s="1"/>
  <c r="AG22" i="41"/>
  <c r="AJ131" i="55" s="1"/>
  <c r="AJ127" i="55" s="1"/>
  <c r="AI30" i="33"/>
  <c r="AJ28" i="55" s="1"/>
  <c r="AJ65" i="55" s="1"/>
  <c r="AJ194" i="55" s="1"/>
  <c r="AM5" i="33"/>
  <c r="AM13" i="55"/>
  <c r="AG47" i="28"/>
  <c r="AG49" i="28"/>
  <c r="AN14" i="55"/>
  <c r="AM15" i="33"/>
  <c r="D15" i="33" s="1"/>
  <c r="B3" i="53" s="1"/>
  <c r="D16" i="33"/>
  <c r="AD5" i="37"/>
  <c r="AD10" i="26" s="1"/>
  <c r="AD9" i="49"/>
  <c r="AN31" i="55"/>
  <c r="D23" i="33"/>
  <c r="AH7" i="36"/>
  <c r="AE15" i="37" s="1"/>
  <c r="AN56" i="55"/>
  <c r="AJ44" i="30"/>
  <c r="AJ44" i="35"/>
  <c r="AJ43" i="35" s="1"/>
  <c r="AJ8" i="35" s="1"/>
  <c r="AZ32" i="45"/>
  <c r="AI8" i="30"/>
  <c r="AH26" i="41"/>
  <c r="AK133" i="55" s="1"/>
  <c r="AI23" i="52"/>
  <c r="AJ32" i="33"/>
  <c r="AK30" i="55" s="1"/>
  <c r="E38" i="69"/>
  <c r="G8" i="69"/>
  <c r="H8" i="69" s="1"/>
  <c r="I8" i="69" s="1"/>
  <c r="AJ27" i="30"/>
  <c r="AZ15" i="45"/>
  <c r="AJ27" i="35"/>
  <c r="AN66" i="55"/>
  <c r="AN195" i="55" s="1"/>
  <c r="AN19" i="55"/>
  <c r="E20" i="55"/>
  <c r="E66" i="55" s="1"/>
  <c r="AD153" i="68"/>
  <c r="AE149" i="68" s="1"/>
  <c r="AL7" i="50"/>
  <c r="AM9" i="50"/>
  <c r="AI19" i="30"/>
  <c r="AH6" i="30"/>
  <c r="AH31" i="32"/>
  <c r="AI19" i="35"/>
  <c r="AI18" i="35" s="1"/>
  <c r="AI6" i="35" s="1"/>
  <c r="AY7" i="45"/>
  <c r="D162" i="68"/>
  <c r="D163" i="68" s="1"/>
  <c r="AI26" i="50"/>
  <c r="AI38" i="50" s="1"/>
  <c r="AI20" i="36" s="1"/>
  <c r="AJ27" i="50"/>
  <c r="AH185" i="55"/>
  <c r="AH187" i="55" s="1"/>
  <c r="AH196" i="55" s="1"/>
  <c r="AL27" i="55"/>
  <c r="AL29" i="33"/>
  <c r="AM29" i="33" s="1"/>
  <c r="AK27" i="55"/>
  <c r="AH183" i="68"/>
  <c r="D172" i="68"/>
  <c r="D173" i="68" s="1"/>
  <c r="AM172" i="55"/>
  <c r="AL171" i="55"/>
  <c r="Q15" i="63"/>
  <c r="AE35" i="68"/>
  <c r="AE152" i="68" s="1"/>
  <c r="AC6" i="64" s="1"/>
  <c r="AF5" i="68"/>
  <c r="D67" i="33"/>
  <c r="B10" i="53" s="1"/>
  <c r="AL19" i="50"/>
  <c r="AM21" i="50"/>
  <c r="AN57" i="55"/>
  <c r="E58" i="55"/>
  <c r="E57" i="55" s="1"/>
  <c r="AL165" i="55"/>
  <c r="AK164" i="55"/>
  <c r="AJ151" i="55"/>
  <c r="H22" i="54"/>
  <c r="I4" i="63"/>
  <c r="D182" i="68"/>
  <c r="D183" i="68" s="1"/>
  <c r="AL153" i="55"/>
  <c r="AK152" i="55"/>
  <c r="AG45" i="28"/>
  <c r="AG46" i="28"/>
  <c r="AG40" i="28"/>
  <c r="AG44" i="28"/>
  <c r="AG43" i="28"/>
  <c r="AG39" i="28"/>
  <c r="AG42" i="28"/>
  <c r="AG41" i="28"/>
  <c r="AF51" i="28"/>
  <c r="AF54" i="28" s="1"/>
  <c r="AI10" i="28"/>
  <c r="AJ9" i="28"/>
  <c r="AJ20" i="28" s="1"/>
  <c r="AI15" i="28"/>
  <c r="AH24" i="37"/>
  <c r="AI13" i="28"/>
  <c r="AI11" i="28"/>
  <c r="AI16" i="28"/>
  <c r="AI14" i="28"/>
  <c r="AI18" i="28"/>
  <c r="AI12" i="28"/>
  <c r="AI17" i="28"/>
  <c r="AK23" i="36"/>
  <c r="AI180" i="55"/>
  <c r="AH37" i="28"/>
  <c r="AG50" i="28"/>
  <c r="AG48" i="28"/>
  <c r="AH10" i="62"/>
  <c r="AG9" i="26"/>
  <c r="AH40" i="66"/>
  <c r="AH41" i="66"/>
  <c r="AH39" i="66"/>
  <c r="AL14" i="47"/>
  <c r="AK13" i="47"/>
  <c r="AI38" i="66" s="1"/>
  <c r="AH4" i="37"/>
  <c r="AE21" i="26" l="1"/>
  <c r="AE21" i="66"/>
  <c r="AD15" i="37"/>
  <c r="AJ112" i="55"/>
  <c r="AJ105" i="55" s="1"/>
  <c r="D26" i="33"/>
  <c r="AM22" i="33"/>
  <c r="D22" i="33" s="1"/>
  <c r="B4" i="53" s="1"/>
  <c r="AJ88" i="33"/>
  <c r="D58" i="33"/>
  <c r="B9" i="53" s="1"/>
  <c r="AN49" i="55"/>
  <c r="E49" i="55" s="1"/>
  <c r="D59" i="33"/>
  <c r="AF6" i="39"/>
  <c r="AF133" i="39" s="1"/>
  <c r="AI9" i="36" s="1"/>
  <c r="AI7" i="36" s="1"/>
  <c r="AI76" i="55"/>
  <c r="AI71" i="55" s="1"/>
  <c r="AI185" i="55" s="1"/>
  <c r="AI187" i="55" s="1"/>
  <c r="AI196" i="55" s="1"/>
  <c r="AK22" i="36"/>
  <c r="AK20" i="66"/>
  <c r="AK5" i="62"/>
  <c r="AG16" i="62"/>
  <c r="D5" i="33"/>
  <c r="B2" i="53" s="1"/>
  <c r="E12" i="55"/>
  <c r="E3" i="55" s="1"/>
  <c r="AJ26" i="55"/>
  <c r="AJ64" i="55" s="1"/>
  <c r="AG25" i="39"/>
  <c r="AG26" i="39" s="1"/>
  <c r="AG6" i="39" s="1"/>
  <c r="AD25" i="37"/>
  <c r="AK26" i="37"/>
  <c r="B26" i="37" s="1"/>
  <c r="AK70" i="55"/>
  <c r="AH4" i="33"/>
  <c r="AF22" i="26" s="1"/>
  <c r="AF27" i="26" s="1"/>
  <c r="AH27" i="32"/>
  <c r="AI129" i="39" s="1"/>
  <c r="AI126" i="39" s="1"/>
  <c r="AH7" i="30"/>
  <c r="AH16" i="30" s="1"/>
  <c r="AI41" i="30"/>
  <c r="AI41" i="35"/>
  <c r="AI40" i="35" s="1"/>
  <c r="AI7" i="35" s="1"/>
  <c r="AI16" i="35" s="1"/>
  <c r="AL8" i="36" s="1"/>
  <c r="AY29" i="45"/>
  <c r="AY5" i="45" s="1"/>
  <c r="AI21" i="52"/>
  <c r="AI19" i="52" s="1"/>
  <c r="AI6" i="52" s="1"/>
  <c r="AK13" i="36" s="1"/>
  <c r="AH22" i="41"/>
  <c r="AK131" i="55" s="1"/>
  <c r="AK127" i="55" s="1"/>
  <c r="AJ30" i="33"/>
  <c r="AK28" i="55" s="1"/>
  <c r="AK26" i="55" s="1"/>
  <c r="AK64" i="55" s="1"/>
  <c r="AG6" i="41"/>
  <c r="AJ11" i="36" s="1"/>
  <c r="AI28" i="33"/>
  <c r="AI4" i="33" s="1"/>
  <c r="AG22" i="26" s="1"/>
  <c r="AG21" i="26" s="1"/>
  <c r="AH32" i="40"/>
  <c r="AH33" i="40" s="1"/>
  <c r="AH34" i="40" s="1"/>
  <c r="AH6" i="40" s="1"/>
  <c r="AK10" i="36" s="1"/>
  <c r="AH24" i="39"/>
  <c r="AN76" i="33"/>
  <c r="AH42" i="28"/>
  <c r="AH49" i="28"/>
  <c r="E14" i="55"/>
  <c r="E13" i="55" s="1"/>
  <c r="AN13" i="55"/>
  <c r="AF21" i="66"/>
  <c r="AE5" i="37"/>
  <c r="AE10" i="26" s="1"/>
  <c r="AE9" i="49"/>
  <c r="E56" i="55"/>
  <c r="E19" i="55"/>
  <c r="AE25" i="37"/>
  <c r="AJ26" i="50"/>
  <c r="AJ38" i="50" s="1"/>
  <c r="AJ20" i="36" s="1"/>
  <c r="AK27" i="50"/>
  <c r="AI26" i="41"/>
  <c r="AL133" i="55" s="1"/>
  <c r="AJ23" i="52"/>
  <c r="AK32" i="33"/>
  <c r="AK44" i="35"/>
  <c r="AK43" i="35" s="1"/>
  <c r="AK8" i="35" s="1"/>
  <c r="B8" i="35" s="1"/>
  <c r="BA32" i="45"/>
  <c r="R32" i="45" s="1"/>
  <c r="AJ8" i="30"/>
  <c r="BA15" i="45"/>
  <c r="R15" i="45" s="1"/>
  <c r="AK27" i="35"/>
  <c r="AG116" i="39"/>
  <c r="AJ98" i="55"/>
  <c r="AI31" i="32"/>
  <c r="AI6" i="30"/>
  <c r="AJ19" i="30"/>
  <c r="AJ19" i="35"/>
  <c r="AJ18" i="35" s="1"/>
  <c r="AJ6" i="35" s="1"/>
  <c r="AZ7" i="45"/>
  <c r="AN9" i="50"/>
  <c r="AM7" i="50"/>
  <c r="J8" i="69"/>
  <c r="K8" i="69" s="1"/>
  <c r="AN27" i="55"/>
  <c r="D29" i="33"/>
  <c r="AM27" i="55"/>
  <c r="AH198" i="55"/>
  <c r="AE153" i="68"/>
  <c r="AF149" i="68" s="1"/>
  <c r="AN172" i="55"/>
  <c r="AM171" i="55"/>
  <c r="AK151" i="55"/>
  <c r="I48" i="63"/>
  <c r="I31" i="37" s="1"/>
  <c r="I5" i="64" s="1"/>
  <c r="I5" i="63"/>
  <c r="I49" i="63" s="1"/>
  <c r="I30" i="26" s="1"/>
  <c r="AF35" i="68"/>
  <c r="AF152" i="68" s="1"/>
  <c r="AD6" i="64" s="1"/>
  <c r="AG5" i="68"/>
  <c r="AL164" i="55"/>
  <c r="AM165" i="55"/>
  <c r="AM19" i="50"/>
  <c r="AN21" i="50"/>
  <c r="Q48" i="63"/>
  <c r="Q31" i="37" s="1"/>
  <c r="Q5" i="64" s="1"/>
  <c r="Q16" i="63"/>
  <c r="AL152" i="55"/>
  <c r="AM153" i="55"/>
  <c r="AH40" i="28"/>
  <c r="AG51" i="28"/>
  <c r="AG54" i="28" s="1"/>
  <c r="AF9" i="49" s="1"/>
  <c r="AH41" i="28"/>
  <c r="AH43" i="28"/>
  <c r="AH44" i="28"/>
  <c r="AH39" i="28"/>
  <c r="AH46" i="28"/>
  <c r="AH47" i="28"/>
  <c r="AH45" i="28"/>
  <c r="AI24" i="37"/>
  <c r="AJ13" i="28"/>
  <c r="AJ14" i="28"/>
  <c r="AJ18" i="28"/>
  <c r="AK9" i="28"/>
  <c r="AJ10" i="28"/>
  <c r="AJ15" i="28"/>
  <c r="AJ12" i="28"/>
  <c r="AJ17" i="28"/>
  <c r="AJ11" i="28"/>
  <c r="AJ16" i="28"/>
  <c r="AL23" i="36"/>
  <c r="AJ180" i="55"/>
  <c r="AH50" i="28"/>
  <c r="AH48" i="28"/>
  <c r="AI37" i="28"/>
  <c r="AI40" i="66"/>
  <c r="AI41" i="66"/>
  <c r="AI39" i="66"/>
  <c r="AL13" i="47"/>
  <c r="AJ38" i="66" s="1"/>
  <c r="AM14" i="47"/>
  <c r="AI4" i="37"/>
  <c r="AI10" i="62"/>
  <c r="AH9" i="26"/>
  <c r="AL22" i="36" l="1"/>
  <c r="AG21" i="66"/>
  <c r="AF15" i="37"/>
  <c r="AL5" i="62"/>
  <c r="C5" i="62" s="1"/>
  <c r="AL20" i="66"/>
  <c r="AK88" i="33"/>
  <c r="AI24" i="39"/>
  <c r="AI25" i="39" s="1"/>
  <c r="AI26" i="39" s="1"/>
  <c r="AI6" i="39" s="1"/>
  <c r="AI32" i="40"/>
  <c r="AI33" i="40" s="1"/>
  <c r="AI34" i="40" s="1"/>
  <c r="AI6" i="40" s="1"/>
  <c r="AL10" i="36" s="1"/>
  <c r="AJ76" i="55"/>
  <c r="AJ71" i="55" s="1"/>
  <c r="AJ185" i="55" s="1"/>
  <c r="AJ187" i="55" s="1"/>
  <c r="E48" i="55"/>
  <c r="AN48" i="55"/>
  <c r="C20" i="66"/>
  <c r="AK65" i="55"/>
  <c r="AK194" i="55" s="1"/>
  <c r="AG89" i="33"/>
  <c r="AF21" i="26"/>
  <c r="AH119" i="39"/>
  <c r="AH116" i="39" s="1"/>
  <c r="AH25" i="39"/>
  <c r="AH26" i="39" s="1"/>
  <c r="AH6" i="39" s="1"/>
  <c r="C58" i="63"/>
  <c r="C30" i="63" s="1"/>
  <c r="W25" i="63" s="1"/>
  <c r="W47" i="63" s="1"/>
  <c r="W26" i="26" s="1"/>
  <c r="AG27" i="26"/>
  <c r="AH6" i="41"/>
  <c r="AK11" i="36" s="1"/>
  <c r="AJ28" i="33"/>
  <c r="AH89" i="33" s="1"/>
  <c r="AO76" i="33"/>
  <c r="AL70" i="55"/>
  <c r="AL14" i="36"/>
  <c r="AI27" i="32"/>
  <c r="AJ129" i="39" s="1"/>
  <c r="AJ126" i="39" s="1"/>
  <c r="AJ41" i="30"/>
  <c r="AI7" i="30"/>
  <c r="AI16" i="30" s="1"/>
  <c r="AJ41" i="35"/>
  <c r="AJ40" i="35" s="1"/>
  <c r="AJ7" i="35" s="1"/>
  <c r="AJ16" i="35" s="1"/>
  <c r="AM8" i="36" s="1"/>
  <c r="AZ29" i="45"/>
  <c r="AZ5" i="45" s="1"/>
  <c r="AM70" i="55" s="1"/>
  <c r="AK112" i="55"/>
  <c r="AK105" i="55" s="1"/>
  <c r="AH16" i="62"/>
  <c r="AJ21" i="52"/>
  <c r="AJ19" i="52" s="1"/>
  <c r="AJ6" i="52" s="1"/>
  <c r="AL13" i="36" s="1"/>
  <c r="AI22" i="41"/>
  <c r="AL131" i="55" s="1"/>
  <c r="AL127" i="55" s="1"/>
  <c r="AK30" i="33"/>
  <c r="AL28" i="55" s="1"/>
  <c r="AL9" i="28"/>
  <c r="AL20" i="28" s="1"/>
  <c r="AK20" i="28"/>
  <c r="AF25" i="37"/>
  <c r="AI47" i="28"/>
  <c r="AI49" i="28"/>
  <c r="AG133" i="39"/>
  <c r="AJ9" i="36" s="1"/>
  <c r="AJ7" i="36" s="1"/>
  <c r="AN7" i="50"/>
  <c r="E9" i="50"/>
  <c r="E7" i="50" s="1"/>
  <c r="AL27" i="50"/>
  <c r="AK26" i="50"/>
  <c r="AK38" i="50" s="1"/>
  <c r="AK20" i="36" s="1"/>
  <c r="AL30" i="55"/>
  <c r="AJ31" i="32"/>
  <c r="AJ6" i="30"/>
  <c r="AK19" i="35"/>
  <c r="AK18" i="35" s="1"/>
  <c r="AK6" i="35" s="1"/>
  <c r="B6" i="35" s="1"/>
  <c r="BA7" i="45"/>
  <c r="R7" i="45" s="1"/>
  <c r="AJ26" i="41"/>
  <c r="AM133" i="55" s="1"/>
  <c r="AK23" i="52"/>
  <c r="AL32" i="33"/>
  <c r="AM30" i="55" s="1"/>
  <c r="AJ24" i="39"/>
  <c r="L8" i="69"/>
  <c r="M8" i="69" s="1"/>
  <c r="E27" i="55"/>
  <c r="AL151" i="55"/>
  <c r="AN171" i="55"/>
  <c r="E172" i="55"/>
  <c r="E171" i="55" s="1"/>
  <c r="AF5" i="37"/>
  <c r="AG35" i="68"/>
  <c r="AG152" i="68" s="1"/>
  <c r="AE6" i="64" s="1"/>
  <c r="AH5" i="68"/>
  <c r="AH35" i="68" s="1"/>
  <c r="AH152" i="68" s="1"/>
  <c r="AN19" i="50"/>
  <c r="E21" i="50"/>
  <c r="E19" i="50" s="1"/>
  <c r="AF153" i="68"/>
  <c r="AG149" i="68" s="1"/>
  <c r="I6" i="63"/>
  <c r="AM152" i="55"/>
  <c r="AN153" i="55"/>
  <c r="Q49" i="63"/>
  <c r="Q30" i="26" s="1"/>
  <c r="Q17" i="63"/>
  <c r="AM164" i="55"/>
  <c r="AN165" i="55"/>
  <c r="AH51" i="28"/>
  <c r="AH54" i="28" s="1"/>
  <c r="AG9" i="49" s="1"/>
  <c r="AI39" i="28"/>
  <c r="AI40" i="28"/>
  <c r="AI50" i="28"/>
  <c r="AI48" i="28"/>
  <c r="AJ37" i="28"/>
  <c r="AI45" i="28"/>
  <c r="AK180" i="55"/>
  <c r="AI44" i="28"/>
  <c r="AI41" i="28"/>
  <c r="AI42" i="28"/>
  <c r="AK17" i="28"/>
  <c r="AJ24" i="37"/>
  <c r="AK13" i="28"/>
  <c r="AK10" i="28"/>
  <c r="AK11" i="28"/>
  <c r="AK12" i="28"/>
  <c r="AK16" i="28"/>
  <c r="AK18" i="28"/>
  <c r="AK15" i="28"/>
  <c r="AK14" i="28"/>
  <c r="AM23" i="36"/>
  <c r="AI46" i="28"/>
  <c r="AI43" i="28"/>
  <c r="AM13" i="47"/>
  <c r="AK38" i="66" s="1"/>
  <c r="AJ4" i="37"/>
  <c r="AN14" i="47"/>
  <c r="AJ40" i="66"/>
  <c r="AJ41" i="66"/>
  <c r="AJ39" i="66"/>
  <c r="AI9" i="26"/>
  <c r="AJ10" i="62"/>
  <c r="AH21" i="66" l="1"/>
  <c r="AG15" i="37"/>
  <c r="AI119" i="39"/>
  <c r="AI116" i="39" s="1"/>
  <c r="AL112" i="55"/>
  <c r="AL105" i="55" s="1"/>
  <c r="AL11" i="28"/>
  <c r="AK98" i="55"/>
  <c r="AL12" i="28"/>
  <c r="AM22" i="36"/>
  <c r="AL18" i="28"/>
  <c r="AK76" i="55"/>
  <c r="AL10" i="28"/>
  <c r="AI16" i="62"/>
  <c r="W26" i="63"/>
  <c r="W48" i="63" s="1"/>
  <c r="W31" i="37" s="1"/>
  <c r="W5" i="64" s="1"/>
  <c r="X25" i="63"/>
  <c r="X47" i="63" s="1"/>
  <c r="X26" i="26" s="1"/>
  <c r="AP76" i="33"/>
  <c r="AK28" i="33"/>
  <c r="AJ16" i="62" s="1"/>
  <c r="AJ4" i="33"/>
  <c r="AH22" i="26" s="1"/>
  <c r="AH27" i="26" s="1"/>
  <c r="AM14" i="36"/>
  <c r="AI6" i="41"/>
  <c r="AL11" i="36" s="1"/>
  <c r="AJ7" i="30"/>
  <c r="AJ27" i="32"/>
  <c r="AK129" i="39" s="1"/>
  <c r="BA29" i="45"/>
  <c r="R29" i="45" s="1"/>
  <c r="AK41" i="35"/>
  <c r="AK40" i="35" s="1"/>
  <c r="AK7" i="35" s="1"/>
  <c r="B7" i="35" s="1"/>
  <c r="AK21" i="52"/>
  <c r="AJ22" i="41"/>
  <c r="AM131" i="55" s="1"/>
  <c r="AM127" i="55" s="1"/>
  <c r="AL30" i="33"/>
  <c r="AM28" i="55" s="1"/>
  <c r="AM26" i="55" s="1"/>
  <c r="AM64" i="55" s="1"/>
  <c r="AJ32" i="40"/>
  <c r="AJ33" i="40" s="1"/>
  <c r="AJ34" i="40" s="1"/>
  <c r="AJ16" i="30"/>
  <c r="AJ44" i="28"/>
  <c r="AJ49" i="28"/>
  <c r="AJ196" i="55"/>
  <c r="AJ198" i="55" s="1"/>
  <c r="AG25" i="37"/>
  <c r="AK26" i="41"/>
  <c r="AL23" i="52"/>
  <c r="C23" i="52" s="1"/>
  <c r="AM32" i="33"/>
  <c r="AL65" i="55"/>
  <c r="AL194" i="55" s="1"/>
  <c r="AL26" i="55"/>
  <c r="AL64" i="55" s="1"/>
  <c r="AL76" i="55"/>
  <c r="AM27" i="50"/>
  <c r="AL26" i="50"/>
  <c r="AL38" i="50" s="1"/>
  <c r="AL20" i="36" s="1"/>
  <c r="AJ25" i="39"/>
  <c r="AJ26" i="39" s="1"/>
  <c r="AJ6" i="39" s="1"/>
  <c r="AJ119" i="39"/>
  <c r="AH133" i="39"/>
  <c r="AK9" i="36" s="1"/>
  <c r="AK7" i="36" s="1"/>
  <c r="N8" i="69"/>
  <c r="AI198" i="55"/>
  <c r="E196" i="55"/>
  <c r="AF10" i="26"/>
  <c r="AJ45" i="28"/>
  <c r="AG153" i="68"/>
  <c r="AH149" i="68" s="1"/>
  <c r="AH153" i="68" s="1"/>
  <c r="AN164" i="55"/>
  <c r="E165" i="55"/>
  <c r="E164" i="55" s="1"/>
  <c r="AF6" i="64"/>
  <c r="D152" i="68"/>
  <c r="D153" i="68" s="1"/>
  <c r="R15" i="63"/>
  <c r="AN152" i="55"/>
  <c r="E153" i="55"/>
  <c r="E152" i="55" s="1"/>
  <c r="AM151" i="55"/>
  <c r="J4" i="63"/>
  <c r="I22" i="54"/>
  <c r="AG5" i="37"/>
  <c r="AG10" i="26" s="1"/>
  <c r="AJ46" i="28"/>
  <c r="AJ40" i="28"/>
  <c r="AJ43" i="28"/>
  <c r="AJ41" i="28"/>
  <c r="AJ47" i="28"/>
  <c r="AJ39" i="28"/>
  <c r="AI51" i="28"/>
  <c r="AI54" i="28" s="1"/>
  <c r="AH9" i="49" s="1"/>
  <c r="AJ42" i="28"/>
  <c r="AK24" i="37"/>
  <c r="B24" i="37" s="1"/>
  <c r="AL13" i="28"/>
  <c r="AL16" i="28"/>
  <c r="AL17" i="28"/>
  <c r="AL14" i="28"/>
  <c r="AL15" i="28"/>
  <c r="AN23" i="36"/>
  <c r="C23" i="36" s="1"/>
  <c r="B23" i="53" s="1"/>
  <c r="AL180" i="55"/>
  <c r="AK37" i="28"/>
  <c r="AJ48" i="28"/>
  <c r="AJ50" i="28"/>
  <c r="AK40" i="66"/>
  <c r="AK41" i="66"/>
  <c r="AK39" i="66"/>
  <c r="AN13" i="47"/>
  <c r="AL38" i="66" s="1"/>
  <c r="AK4" i="37"/>
  <c r="AJ9" i="26"/>
  <c r="AK10" i="62"/>
  <c r="AN22" i="36" l="1"/>
  <c r="AI21" i="66"/>
  <c r="AH15" i="37"/>
  <c r="AL98" i="55"/>
  <c r="AL71" i="55" s="1"/>
  <c r="AL185" i="55" s="1"/>
  <c r="AL187" i="55" s="1"/>
  <c r="AL196" i="55" s="1"/>
  <c r="AL198" i="55" s="1"/>
  <c r="AK24" i="39"/>
  <c r="AK119" i="39" s="1"/>
  <c r="AK32" i="40"/>
  <c r="AK33" i="40" s="1"/>
  <c r="AK71" i="55"/>
  <c r="AK185" i="55" s="1"/>
  <c r="AK187" i="55" s="1"/>
  <c r="AH25" i="37" s="1"/>
  <c r="AK126" i="39"/>
  <c r="B126" i="39" s="1"/>
  <c r="B129" i="39"/>
  <c r="BA5" i="45"/>
  <c r="R5" i="45" s="1"/>
  <c r="AH21" i="26"/>
  <c r="W27" i="63"/>
  <c r="W49" i="63" s="1"/>
  <c r="W30" i="26" s="1"/>
  <c r="AK4" i="33"/>
  <c r="AI22" i="26" s="1"/>
  <c r="AI89" i="33"/>
  <c r="AJ6" i="41"/>
  <c r="AM11" i="36" s="1"/>
  <c r="AL28" i="33"/>
  <c r="AL4" i="33" s="1"/>
  <c r="AJ22" i="26" s="1"/>
  <c r="AL21" i="52"/>
  <c r="C21" i="52" s="1"/>
  <c r="AK22" i="41"/>
  <c r="AK6" i="41" s="1"/>
  <c r="AM30" i="33"/>
  <c r="AM65" i="55"/>
  <c r="AM194" i="55" s="1"/>
  <c r="AK19" i="52"/>
  <c r="AK6" i="52" s="1"/>
  <c r="AM13" i="36" s="1"/>
  <c r="AQ76" i="33"/>
  <c r="AK16" i="35"/>
  <c r="B16" i="35" s="1"/>
  <c r="AJ6" i="40"/>
  <c r="AM10" i="36" s="1"/>
  <c r="AM112" i="55"/>
  <c r="AM105" i="55" s="1"/>
  <c r="AK45" i="28"/>
  <c r="AK49" i="28"/>
  <c r="AI133" i="39"/>
  <c r="AL9" i="36" s="1"/>
  <c r="AL7" i="36" s="1"/>
  <c r="B32" i="40"/>
  <c r="AN27" i="50"/>
  <c r="AM26" i="50"/>
  <c r="AM38" i="50" s="1"/>
  <c r="AM20" i="36" s="1"/>
  <c r="AN133" i="55"/>
  <c r="E133" i="55" s="1"/>
  <c r="B26" i="41"/>
  <c r="AM98" i="55"/>
  <c r="AJ116" i="39"/>
  <c r="AJ133" i="39" s="1"/>
  <c r="AM9" i="36" s="1"/>
  <c r="AM76" i="55"/>
  <c r="AN30" i="55"/>
  <c r="E30" i="55" s="1"/>
  <c r="D32" i="33"/>
  <c r="AK25" i="39"/>
  <c r="B24" i="39"/>
  <c r="O8" i="69"/>
  <c r="E198" i="55"/>
  <c r="AN151" i="55"/>
  <c r="E151" i="55"/>
  <c r="J48" i="63"/>
  <c r="J31" i="37" s="1"/>
  <c r="J5" i="64" s="1"/>
  <c r="J5" i="63"/>
  <c r="J49" i="63" s="1"/>
  <c r="J30" i="26" s="1"/>
  <c r="R48" i="63"/>
  <c r="R31" i="37" s="1"/>
  <c r="R5" i="64" s="1"/>
  <c r="R16" i="63"/>
  <c r="R49" i="63" s="1"/>
  <c r="R30" i="26" s="1"/>
  <c r="AH5" i="37"/>
  <c r="AJ51" i="28"/>
  <c r="AJ54" i="28" s="1"/>
  <c r="AI9" i="49" s="1"/>
  <c r="AK40" i="28"/>
  <c r="AK47" i="28"/>
  <c r="AK44" i="28"/>
  <c r="AM180" i="55"/>
  <c r="AL37" i="28"/>
  <c r="AK50" i="28"/>
  <c r="AK48" i="28"/>
  <c r="AK42" i="28"/>
  <c r="AK39" i="28"/>
  <c r="AK46" i="28"/>
  <c r="AK43" i="28"/>
  <c r="AK41" i="28"/>
  <c r="AL41" i="66"/>
  <c r="C41" i="66" s="1"/>
  <c r="AL39" i="66"/>
  <c r="C39" i="66" s="1"/>
  <c r="AL40" i="66"/>
  <c r="C40" i="66" s="1"/>
  <c r="C38" i="66"/>
  <c r="AL10" i="62"/>
  <c r="AK11" i="62" s="1"/>
  <c r="AK9" i="26"/>
  <c r="B9" i="26" s="1"/>
  <c r="B4" i="37"/>
  <c r="AJ21" i="66" l="1"/>
  <c r="AI15" i="37"/>
  <c r="AN14" i="36"/>
  <c r="C14" i="36" s="1"/>
  <c r="AK196" i="55"/>
  <c r="AK198" i="55" s="1"/>
  <c r="AJ89" i="33"/>
  <c r="AN8" i="36"/>
  <c r="C8" i="36" s="1"/>
  <c r="AK16" i="62"/>
  <c r="AN70" i="55"/>
  <c r="E70" i="55" s="1"/>
  <c r="AL19" i="52"/>
  <c r="AL6" i="52" s="1"/>
  <c r="C6" i="52" s="1"/>
  <c r="W28" i="63"/>
  <c r="X26" i="63" s="1"/>
  <c r="X27" i="63" s="1"/>
  <c r="AI21" i="26"/>
  <c r="AI27" i="26"/>
  <c r="AN28" i="55"/>
  <c r="E28" i="55" s="1"/>
  <c r="E26" i="55" s="1"/>
  <c r="E64" i="55" s="1"/>
  <c r="D30" i="33"/>
  <c r="AN131" i="55"/>
  <c r="E131" i="55" s="1"/>
  <c r="E127" i="55" s="1"/>
  <c r="B22" i="41"/>
  <c r="AM28" i="33"/>
  <c r="AR76" i="33"/>
  <c r="AM7" i="36"/>
  <c r="AL41" i="28"/>
  <c r="AL49" i="28"/>
  <c r="AJ21" i="26"/>
  <c r="AJ27" i="26"/>
  <c r="AM71" i="55"/>
  <c r="AM185" i="55" s="1"/>
  <c r="AM187" i="55" s="1"/>
  <c r="AI25" i="37"/>
  <c r="AN98" i="55"/>
  <c r="E98" i="55" s="1"/>
  <c r="AK116" i="39"/>
  <c r="B116" i="39" s="1"/>
  <c r="B119" i="39"/>
  <c r="AN26" i="50"/>
  <c r="AN38" i="50" s="1"/>
  <c r="AN20" i="36" s="1"/>
  <c r="C20" i="36" s="1"/>
  <c r="B21" i="53" s="1"/>
  <c r="E27" i="50"/>
  <c r="E26" i="50" s="1"/>
  <c r="E38" i="50" s="1"/>
  <c r="AK26" i="39"/>
  <c r="AK6" i="39" s="1"/>
  <c r="B6" i="39" s="1"/>
  <c r="B25" i="39"/>
  <c r="AN11" i="36"/>
  <c r="C11" i="36" s="1"/>
  <c r="B6" i="41"/>
  <c r="AK34" i="40"/>
  <c r="AK6" i="40" s="1"/>
  <c r="B33" i="40"/>
  <c r="P8" i="69"/>
  <c r="J6" i="63"/>
  <c r="K4" i="63" s="1"/>
  <c r="AH10" i="26"/>
  <c r="AI5" i="37"/>
  <c r="AL45" i="28"/>
  <c r="R17" i="63"/>
  <c r="AL39" i="28"/>
  <c r="AK51" i="28"/>
  <c r="AK54" i="28" s="1"/>
  <c r="AJ9" i="49" s="1"/>
  <c r="AL50" i="28"/>
  <c r="AL48" i="28"/>
  <c r="AL42" i="28"/>
  <c r="AL46" i="28"/>
  <c r="AL40" i="28"/>
  <c r="AN180" i="55"/>
  <c r="C22" i="36"/>
  <c r="B18" i="53" s="1"/>
  <c r="AL44" i="28"/>
  <c r="AL47" i="28"/>
  <c r="AL43" i="28"/>
  <c r="AF11" i="62"/>
  <c r="AL11" i="62"/>
  <c r="D11" i="62"/>
  <c r="D7" i="62" s="1"/>
  <c r="F11" i="62"/>
  <c r="G11" i="62"/>
  <c r="E11" i="62"/>
  <c r="I11" i="62"/>
  <c r="H11" i="62"/>
  <c r="J11" i="62"/>
  <c r="L11" i="62"/>
  <c r="M11" i="62"/>
  <c r="K11" i="62"/>
  <c r="N11" i="62"/>
  <c r="P11" i="62"/>
  <c r="O11" i="62"/>
  <c r="T11" i="62"/>
  <c r="Q11" i="62"/>
  <c r="R11" i="62"/>
  <c r="S11" i="62"/>
  <c r="V11" i="62"/>
  <c r="U11" i="62"/>
  <c r="AA11" i="62"/>
  <c r="W11" i="62"/>
  <c r="X11" i="62"/>
  <c r="Y11" i="62"/>
  <c r="Z11" i="62"/>
  <c r="AD11" i="62"/>
  <c r="AC11" i="62"/>
  <c r="AE11" i="62"/>
  <c r="AB11" i="62"/>
  <c r="AJ11" i="62"/>
  <c r="AI11" i="62"/>
  <c r="AH11" i="62"/>
  <c r="AG11" i="62"/>
  <c r="AK21" i="66" l="1"/>
  <c r="AJ15" i="37"/>
  <c r="B15" i="53"/>
  <c r="C19" i="52"/>
  <c r="E65" i="55"/>
  <c r="AN65" i="55"/>
  <c r="AN194" i="55" s="1"/>
  <c r="X48" i="63"/>
  <c r="X31" i="37" s="1"/>
  <c r="X5" i="64" s="1"/>
  <c r="AN26" i="55"/>
  <c r="AN64" i="55" s="1"/>
  <c r="AN127" i="55"/>
  <c r="AM4" i="33"/>
  <c r="D28" i="33"/>
  <c r="AL16" i="62"/>
  <c r="C16" i="62" s="1"/>
  <c r="AK89" i="33"/>
  <c r="AJ25" i="37"/>
  <c r="AM196" i="55"/>
  <c r="AM198" i="55" s="1"/>
  <c r="AN76" i="55"/>
  <c r="B26" i="39"/>
  <c r="AN112" i="55"/>
  <c r="B34" i="40"/>
  <c r="J22" i="54"/>
  <c r="AN13" i="36"/>
  <c r="C13" i="36" s="1"/>
  <c r="X49" i="63"/>
  <c r="X30" i="26" s="1"/>
  <c r="X28" i="63"/>
  <c r="Q8" i="69"/>
  <c r="AI10" i="26"/>
  <c r="S15" i="63"/>
  <c r="K48" i="63"/>
  <c r="K31" i="37" s="1"/>
  <c r="K5" i="64" s="1"/>
  <c r="K5" i="63"/>
  <c r="AJ5" i="37"/>
  <c r="AJ10" i="26" s="1"/>
  <c r="AL51" i="28"/>
  <c r="AL54" i="28" s="1"/>
  <c r="E180" i="55"/>
  <c r="D8" i="62"/>
  <c r="D4" i="33" l="1"/>
  <c r="C23" i="58" s="1"/>
  <c r="C25" i="58" s="1"/>
  <c r="B5" i="53"/>
  <c r="B12" i="53" s="1"/>
  <c r="AK22" i="26"/>
  <c r="C59" i="63"/>
  <c r="AK5" i="37"/>
  <c r="AK9" i="49"/>
  <c r="AN10" i="36"/>
  <c r="C10" i="36" s="1"/>
  <c r="B6" i="40"/>
  <c r="AN105" i="55"/>
  <c r="E112" i="55"/>
  <c r="E105" i="55" s="1"/>
  <c r="AK133" i="39"/>
  <c r="B133" i="39" s="1"/>
  <c r="AN71" i="55"/>
  <c r="E76" i="55"/>
  <c r="E71" i="55" s="1"/>
  <c r="Y26" i="63"/>
  <c r="Y48" i="63" s="1"/>
  <c r="Y31" i="37" s="1"/>
  <c r="Y5" i="64" s="1"/>
  <c r="R8" i="69"/>
  <c r="K49" i="63"/>
  <c r="K30" i="26" s="1"/>
  <c r="K6" i="63"/>
  <c r="S48" i="63"/>
  <c r="S31" i="37" s="1"/>
  <c r="S5" i="64" s="1"/>
  <c r="S16" i="63"/>
  <c r="E4" i="62"/>
  <c r="C12" i="54"/>
  <c r="C60" i="63" l="1"/>
  <c r="C42" i="63"/>
  <c r="AG36" i="63" s="1"/>
  <c r="AK21" i="26"/>
  <c r="B21" i="26" s="1"/>
  <c r="B22" i="26"/>
  <c r="AK27" i="26"/>
  <c r="B27" i="26" s="1"/>
  <c r="D20" i="37"/>
  <c r="M20" i="37"/>
  <c r="E20" i="37"/>
  <c r="F20" i="37"/>
  <c r="G20" i="37"/>
  <c r="R20" i="37"/>
  <c r="U20" i="37"/>
  <c r="Y20" i="37"/>
  <c r="I20" i="37"/>
  <c r="AE20" i="37"/>
  <c r="X20" i="37"/>
  <c r="AG20" i="37"/>
  <c r="AJ20" i="37"/>
  <c r="AF20" i="37"/>
  <c r="Z20" i="37"/>
  <c r="H20" i="37"/>
  <c r="W20" i="37"/>
  <c r="N20" i="37"/>
  <c r="Q20" i="37"/>
  <c r="AC20" i="37"/>
  <c r="P20" i="37"/>
  <c r="C29" i="58"/>
  <c r="V20" i="37"/>
  <c r="K20" i="37"/>
  <c r="AK20" i="37"/>
  <c r="O20" i="37"/>
  <c r="C20" i="37"/>
  <c r="T20" i="37"/>
  <c r="AI20" i="37"/>
  <c r="AD20" i="37"/>
  <c r="AB20" i="37"/>
  <c r="AH20" i="37"/>
  <c r="L20" i="37"/>
  <c r="J20" i="37"/>
  <c r="AA20" i="37"/>
  <c r="S20" i="37"/>
  <c r="AK10" i="26"/>
  <c r="B10" i="26" s="1"/>
  <c r="B5" i="37"/>
  <c r="E185" i="55"/>
  <c r="E187" i="55" s="1"/>
  <c r="AN185" i="55"/>
  <c r="AN187" i="55" s="1"/>
  <c r="AN9" i="36"/>
  <c r="S8" i="69"/>
  <c r="Y27" i="63"/>
  <c r="Y49" i="63" s="1"/>
  <c r="Y30" i="26" s="1"/>
  <c r="S49" i="63"/>
  <c r="S30" i="26" s="1"/>
  <c r="S17" i="63"/>
  <c r="L4" i="63"/>
  <c r="K22" i="54"/>
  <c r="E6" i="62"/>
  <c r="B20" i="37" l="1"/>
  <c r="AG47" i="63"/>
  <c r="AG26" i="26" s="1"/>
  <c r="B26" i="26" s="1"/>
  <c r="AG37" i="63"/>
  <c r="C9" i="36"/>
  <c r="AN7" i="36"/>
  <c r="AK15" i="37" s="1"/>
  <c r="AK25" i="37"/>
  <c r="B25" i="37" s="1"/>
  <c r="AN196" i="55"/>
  <c r="AN198" i="55" s="1"/>
  <c r="Y28" i="63"/>
  <c r="T8" i="69"/>
  <c r="L48" i="63"/>
  <c r="L31" i="37" s="1"/>
  <c r="L5" i="64" s="1"/>
  <c r="L5" i="63"/>
  <c r="L49" i="63" s="1"/>
  <c r="L30" i="26" s="1"/>
  <c r="T15" i="63"/>
  <c r="E7" i="62"/>
  <c r="E8" i="62" s="1"/>
  <c r="B16" i="53" l="1"/>
  <c r="B24" i="53" s="1"/>
  <c r="C24" i="36"/>
  <c r="D19" i="36" s="1"/>
  <c r="AG48" i="63"/>
  <c r="AG31" i="37" s="1"/>
  <c r="AG5" i="64" s="1"/>
  <c r="AG38" i="63"/>
  <c r="B15" i="37"/>
  <c r="AL21" i="66"/>
  <c r="C21" i="66" s="1"/>
  <c r="U8" i="69"/>
  <c r="Z26" i="63"/>
  <c r="T48" i="63"/>
  <c r="T31" i="37" s="1"/>
  <c r="T5" i="64" s="1"/>
  <c r="T16" i="63"/>
  <c r="T49" i="63" s="1"/>
  <c r="T30" i="26" s="1"/>
  <c r="L6" i="63"/>
  <c r="F4" i="62"/>
  <c r="D12" i="54"/>
  <c r="D23" i="36" l="1"/>
  <c r="D22" i="36"/>
  <c r="D20" i="36"/>
  <c r="D18" i="36"/>
  <c r="D21" i="36"/>
  <c r="AG49" i="63"/>
  <c r="AG30" i="26" s="1"/>
  <c r="AG39" i="63"/>
  <c r="AH37" i="63" s="1"/>
  <c r="AH38" i="63" s="1"/>
  <c r="AH49" i="63" s="1"/>
  <c r="AH30" i="26" s="1"/>
  <c r="D12" i="36"/>
  <c r="D17" i="36"/>
  <c r="D11" i="36"/>
  <c r="D14" i="36"/>
  <c r="D8" i="36"/>
  <c r="D15" i="36"/>
  <c r="D16" i="36"/>
  <c r="D13" i="36"/>
  <c r="D10" i="36"/>
  <c r="D9" i="36"/>
  <c r="Z48" i="63"/>
  <c r="Z31" i="37" s="1"/>
  <c r="Z5" i="64" s="1"/>
  <c r="Z27" i="63"/>
  <c r="V8" i="69"/>
  <c r="L22" i="54"/>
  <c r="M6" i="63"/>
  <c r="T17" i="63"/>
  <c r="F6" i="62"/>
  <c r="F7" i="62" s="1"/>
  <c r="AH48" i="63" l="1"/>
  <c r="AH31" i="37" s="1"/>
  <c r="AH5" i="64" s="1"/>
  <c r="AH39" i="63"/>
  <c r="AI37" i="63" s="1"/>
  <c r="AI38" i="63" s="1"/>
  <c r="D24" i="36"/>
  <c r="W8" i="69"/>
  <c r="Z49" i="63"/>
  <c r="Z30" i="26" s="1"/>
  <c r="Z28" i="63"/>
  <c r="U15" i="63"/>
  <c r="M22" i="54"/>
  <c r="N6" i="63"/>
  <c r="F8" i="62"/>
  <c r="AI48" i="63" l="1"/>
  <c r="AI31" i="37" s="1"/>
  <c r="AI5" i="64" s="1"/>
  <c r="AI49" i="63"/>
  <c r="AI30" i="26" s="1"/>
  <c r="AI39" i="63"/>
  <c r="AJ37" i="63" s="1"/>
  <c r="AJ48" i="63" s="1"/>
  <c r="AJ31" i="37" s="1"/>
  <c r="AJ5" i="64" s="1"/>
  <c r="AA26" i="63"/>
  <c r="X8" i="69"/>
  <c r="U48" i="63"/>
  <c r="U31" i="37" s="1"/>
  <c r="U5" i="64" s="1"/>
  <c r="U16" i="63"/>
  <c r="U49" i="63" s="1"/>
  <c r="U30" i="26" s="1"/>
  <c r="N22" i="54"/>
  <c r="O6" i="63"/>
  <c r="E12" i="54"/>
  <c r="G4" i="62"/>
  <c r="AJ38" i="63" l="1"/>
  <c r="AJ49" i="63" s="1"/>
  <c r="AJ30" i="26" s="1"/>
  <c r="Y8" i="69"/>
  <c r="AA48" i="63"/>
  <c r="AA31" i="37" s="1"/>
  <c r="AA5" i="64" s="1"/>
  <c r="AA27" i="63"/>
  <c r="U17" i="63"/>
  <c r="O22" i="54"/>
  <c r="P6" i="63"/>
  <c r="G6" i="62"/>
  <c r="G7" i="62" s="1"/>
  <c r="AJ39" i="63" l="1"/>
  <c r="AK37" i="63" s="1"/>
  <c r="AK48" i="63" s="1"/>
  <c r="AK31" i="37" s="1"/>
  <c r="AA49" i="63"/>
  <c r="AA30" i="26" s="1"/>
  <c r="AA28" i="63"/>
  <c r="Z8" i="69"/>
  <c r="P22" i="54"/>
  <c r="Q6" i="63"/>
  <c r="V15" i="63"/>
  <c r="G8" i="62"/>
  <c r="AK38" i="63" l="1"/>
  <c r="AK49" i="63" s="1"/>
  <c r="AK30" i="26" s="1"/>
  <c r="AA8" i="69"/>
  <c r="AB26" i="63"/>
  <c r="V48" i="63"/>
  <c r="V31" i="37" s="1"/>
  <c r="V5" i="64" s="1"/>
  <c r="V16" i="63"/>
  <c r="V49" i="63" s="1"/>
  <c r="V30" i="26" s="1"/>
  <c r="AK5" i="64"/>
  <c r="R6" i="63"/>
  <c r="Q22" i="54"/>
  <c r="F12" i="54"/>
  <c r="H4" i="62"/>
  <c r="AK39" i="63" l="1"/>
  <c r="AB48" i="63"/>
  <c r="AB31" i="37" s="1"/>
  <c r="AB5" i="64" s="1"/>
  <c r="AB27" i="63"/>
  <c r="AB49" i="63" s="1"/>
  <c r="AB30" i="26" s="1"/>
  <c r="AB8" i="69"/>
  <c r="V17" i="63"/>
  <c r="W17" i="63" s="1"/>
  <c r="X17" i="63" s="1"/>
  <c r="Y17" i="63" s="1"/>
  <c r="Z17" i="63" s="1"/>
  <c r="AA17" i="63" s="1"/>
  <c r="AB17" i="63" s="1"/>
  <c r="AC17" i="63" s="1"/>
  <c r="AD17" i="63" s="1"/>
  <c r="AE17" i="63" s="1"/>
  <c r="AF17" i="63" s="1"/>
  <c r="AG17" i="63" s="1"/>
  <c r="AH17" i="63" s="1"/>
  <c r="AI17" i="63" s="1"/>
  <c r="AJ17" i="63" s="1"/>
  <c r="AK17" i="63" s="1"/>
  <c r="R22" i="54"/>
  <c r="S6" i="63"/>
  <c r="H6" i="62"/>
  <c r="H7" i="62" s="1"/>
  <c r="H8" i="62" s="1"/>
  <c r="AB28" i="63" l="1"/>
  <c r="AC26" i="63" s="1"/>
  <c r="AC8" i="69"/>
  <c r="S22" i="54"/>
  <c r="T6" i="63"/>
  <c r="G12" i="54"/>
  <c r="I4" i="62"/>
  <c r="AC48" i="63" l="1"/>
  <c r="AC31" i="37" s="1"/>
  <c r="AC5" i="64" s="1"/>
  <c r="AC27" i="63"/>
  <c r="AD8" i="69"/>
  <c r="T22" i="54"/>
  <c r="U6" i="63"/>
  <c r="I6" i="62"/>
  <c r="I7" i="62" s="1"/>
  <c r="AE8" i="69" l="1"/>
  <c r="AC49" i="63"/>
  <c r="AC30" i="26" s="1"/>
  <c r="AC28" i="63"/>
  <c r="U22" i="54"/>
  <c r="V6" i="63"/>
  <c r="I8" i="62"/>
  <c r="H12" i="54" s="1"/>
  <c r="AD26" i="63" l="1"/>
  <c r="AF8" i="69"/>
  <c r="V22" i="54"/>
  <c r="W6" i="63"/>
  <c r="J4" i="62"/>
  <c r="J6" i="62" s="1"/>
  <c r="J7" i="62" s="1"/>
  <c r="AG8" i="69" l="1"/>
  <c r="AD48" i="63"/>
  <c r="AD31" i="37" s="1"/>
  <c r="AD5" i="64" s="1"/>
  <c r="AD27" i="63"/>
  <c r="W22" i="54"/>
  <c r="X6" i="63"/>
  <c r="J8" i="62"/>
  <c r="AD49" i="63" l="1"/>
  <c r="AD30" i="26" s="1"/>
  <c r="AD28" i="63"/>
  <c r="X22" i="54"/>
  <c r="Y6" i="63"/>
  <c r="K4" i="62"/>
  <c r="I12" i="54"/>
  <c r="AE26" i="63" l="1"/>
  <c r="Z6" i="63"/>
  <c r="Y22" i="54"/>
  <c r="K6" i="62"/>
  <c r="AE27" i="63" l="1"/>
  <c r="AE48" i="63"/>
  <c r="AE31" i="37" s="1"/>
  <c r="Z22" i="54"/>
  <c r="AA6" i="63"/>
  <c r="K7" i="62"/>
  <c r="AE49" i="63" l="1"/>
  <c r="AE30" i="26" s="1"/>
  <c r="AE28" i="63"/>
  <c r="AE5" i="64"/>
  <c r="AA22" i="54"/>
  <c r="AB6" i="63"/>
  <c r="K8" i="62"/>
  <c r="L4" i="62" s="1"/>
  <c r="AF26" i="63" l="1"/>
  <c r="AB22" i="54"/>
  <c r="AC6" i="63"/>
  <c r="J12" i="54"/>
  <c r="L6" i="62"/>
  <c r="AF27" i="63" l="1"/>
  <c r="AF48" i="63"/>
  <c r="AF31" i="37" s="1"/>
  <c r="AC22" i="54"/>
  <c r="AD6" i="63"/>
  <c r="L7" i="62"/>
  <c r="AF49" i="63" l="1"/>
  <c r="AF30" i="26" s="1"/>
  <c r="B30" i="26" s="1"/>
  <c r="AF28" i="63"/>
  <c r="AG28" i="63" s="1"/>
  <c r="AH28" i="63" s="1"/>
  <c r="AI28" i="63" s="1"/>
  <c r="AJ28" i="63" s="1"/>
  <c r="AK28" i="63" s="1"/>
  <c r="AF5" i="64"/>
  <c r="B31" i="37"/>
  <c r="AD22" i="54"/>
  <c r="AE6" i="63"/>
  <c r="L8" i="62"/>
  <c r="AE22" i="54" l="1"/>
  <c r="AF6" i="63"/>
  <c r="M4" i="62"/>
  <c r="K12" i="54"/>
  <c r="AF22" i="54" l="1"/>
  <c r="AG6" i="63"/>
  <c r="M6" i="62"/>
  <c r="AH6" i="63" l="1"/>
  <c r="AG22" i="54"/>
  <c r="M7" i="62"/>
  <c r="AH22" i="54" l="1"/>
  <c r="AI6" i="63"/>
  <c r="M8" i="62"/>
  <c r="AI22" i="54" l="1"/>
  <c r="AJ6" i="63"/>
  <c r="N4" i="62"/>
  <c r="L12" i="54"/>
  <c r="AJ22" i="54" l="1"/>
  <c r="AK6" i="63"/>
  <c r="AK22" i="54" s="1"/>
  <c r="N6" i="62"/>
  <c r="N7" i="62" s="1"/>
  <c r="N8" i="62" l="1"/>
  <c r="M12" i="54" s="1"/>
  <c r="O4" i="62" l="1"/>
  <c r="O6" i="62" s="1"/>
  <c r="O7" i="62" s="1"/>
  <c r="O8" i="62" l="1"/>
  <c r="P4" i="62" l="1"/>
  <c r="P6" i="62" s="1"/>
  <c r="P7" i="62" s="1"/>
  <c r="N12" i="54"/>
  <c r="P8" i="62" l="1"/>
  <c r="Q4" i="62" s="1"/>
  <c r="O12" i="54" l="1"/>
  <c r="Q6" i="62"/>
  <c r="Q7" i="62" l="1"/>
  <c r="Q8" i="62" l="1"/>
  <c r="P12" i="54" l="1"/>
  <c r="R4" i="62"/>
  <c r="R6" i="62" l="1"/>
  <c r="R7" i="62" s="1"/>
  <c r="R8" i="62" l="1"/>
  <c r="S4" i="62" l="1"/>
  <c r="Q12" i="54"/>
  <c r="S6" i="62" l="1"/>
  <c r="S7" i="62" s="1"/>
  <c r="S8" i="62" l="1"/>
  <c r="T4" i="62" l="1"/>
  <c r="R12" i="54"/>
  <c r="T6" i="62" l="1"/>
  <c r="T7" i="62" s="1"/>
  <c r="T8" i="62" l="1"/>
  <c r="U4" i="62" l="1"/>
  <c r="S12" i="54"/>
  <c r="U6" i="62" l="1"/>
  <c r="U7" i="62" l="1"/>
  <c r="U8" i="62" l="1"/>
  <c r="V4" i="62" l="1"/>
  <c r="T12" i="54"/>
  <c r="V6" i="62" l="1"/>
  <c r="V7" i="62" s="1"/>
  <c r="V8" i="62" l="1"/>
  <c r="W4" i="62" l="1"/>
  <c r="U12" i="54"/>
  <c r="W6" i="62" l="1"/>
  <c r="W7" i="62" l="1"/>
  <c r="W8" i="62" l="1"/>
  <c r="V12" i="54" l="1"/>
  <c r="X4" i="62"/>
  <c r="X6" i="62" l="1"/>
  <c r="X7" i="62" s="1"/>
  <c r="X8" i="62" l="1"/>
  <c r="W12" i="54" s="1"/>
  <c r="Y4" i="62" l="1"/>
  <c r="Y6" i="62" s="1"/>
  <c r="Y7" i="62" l="1"/>
  <c r="Y8" i="62" l="1"/>
  <c r="Z4" i="62" l="1"/>
  <c r="X12" i="54"/>
  <c r="Z6" i="62" l="1"/>
  <c r="Z7" i="62" l="1"/>
  <c r="Z8" i="62" l="1"/>
  <c r="AA4" i="62" l="1"/>
  <c r="Y12" i="54"/>
  <c r="AA6" i="62" l="1"/>
  <c r="AA7" i="62" l="1"/>
  <c r="AA8" i="62" l="1"/>
  <c r="AB4" i="62" l="1"/>
  <c r="Z12" i="54"/>
  <c r="AB6" i="62" l="1"/>
  <c r="AB7" i="62" s="1"/>
  <c r="AB8" i="62" l="1"/>
  <c r="AC4" i="62" l="1"/>
  <c r="AA12" i="54"/>
  <c r="AC6" i="62" l="1"/>
  <c r="AC7" i="62" s="1"/>
  <c r="AC8" i="62" l="1"/>
  <c r="AD4" i="62" s="1"/>
  <c r="AB12" i="54" l="1"/>
  <c r="AD6" i="62"/>
  <c r="AD7" i="62" s="1"/>
  <c r="AD8" i="62" l="1"/>
  <c r="AC12" i="54" l="1"/>
  <c r="AE4" i="62"/>
  <c r="AE6" i="62" l="1"/>
  <c r="AE7" i="62" s="1"/>
  <c r="AE8" i="62" l="1"/>
  <c r="AD12" i="54" l="1"/>
  <c r="AF4" i="62"/>
  <c r="AF6" i="62" l="1"/>
  <c r="AF7" i="62" s="1"/>
  <c r="AF8" i="62" l="1"/>
  <c r="AE12" i="54" l="1"/>
  <c r="AG4" i="62"/>
  <c r="AG6" i="62" l="1"/>
  <c r="AG7" i="62" l="1"/>
  <c r="AG8" i="62" l="1"/>
  <c r="AF12" i="54" s="1"/>
  <c r="AH4" i="62" l="1"/>
  <c r="AH6" i="62" s="1"/>
  <c r="AH7" i="62" l="1"/>
  <c r="AH8" i="62" l="1"/>
  <c r="AI4" i="62" s="1"/>
  <c r="AG12" i="54" l="1"/>
  <c r="AI6" i="62"/>
  <c r="AI7" i="62" l="1"/>
  <c r="AI8" i="62" l="1"/>
  <c r="AJ4" i="62" l="1"/>
  <c r="AH12" i="54"/>
  <c r="AJ6" i="62" l="1"/>
  <c r="AJ7" i="62" s="1"/>
  <c r="AJ8" i="62" l="1"/>
  <c r="AK4" i="62" l="1"/>
  <c r="AI12" i="54"/>
  <c r="AK6" i="62" l="1"/>
  <c r="AK7" i="62" s="1"/>
  <c r="AK8" i="62" l="1"/>
  <c r="AL4" i="62" l="1"/>
  <c r="AJ12" i="54"/>
  <c r="AL6" i="62" l="1"/>
  <c r="C6" i="62" l="1"/>
  <c r="AL7" i="62"/>
  <c r="AL8" i="62" s="1"/>
  <c r="AK12" i="54" s="1"/>
  <c r="C7" i="62" l="1"/>
  <c r="C8" i="62" s="1"/>
  <c r="D11" i="49" l="1"/>
  <c r="E13" i="49" s="1"/>
  <c r="E14" i="49" s="1"/>
  <c r="E16" i="37" s="1"/>
  <c r="E21" i="62"/>
  <c r="D3" i="37"/>
  <c r="D21" i="62"/>
  <c r="C11" i="49" l="1"/>
  <c r="D13" i="49" s="1"/>
  <c r="D14" i="49" s="1"/>
  <c r="D16" i="37" s="1"/>
  <c r="D30" i="62"/>
  <c r="C10" i="37"/>
  <c r="C9" i="37"/>
  <c r="F190" i="55"/>
  <c r="F189" i="55"/>
  <c r="C8" i="37"/>
  <c r="D8" i="37"/>
  <c r="E30" i="62"/>
  <c r="G190" i="55"/>
  <c r="G189" i="55"/>
  <c r="D9" i="37"/>
  <c r="D10" i="37"/>
  <c r="C8" i="26"/>
  <c r="C7" i="26" s="1"/>
  <c r="C7" i="37" l="1"/>
  <c r="C9" i="54"/>
  <c r="G192" i="55"/>
  <c r="G200" i="55" s="1"/>
  <c r="D8" i="26"/>
  <c r="D7" i="37"/>
  <c r="F192" i="55"/>
  <c r="F200" i="55" l="1"/>
  <c r="D7" i="26"/>
  <c r="D16" i="26"/>
  <c r="D12" i="37"/>
  <c r="C16" i="26"/>
  <c r="C12" i="37"/>
  <c r="D9" i="54"/>
  <c r="C2" i="26"/>
  <c r="D2" i="26" l="1"/>
  <c r="AK3" i="37" l="1"/>
  <c r="AL21" i="62"/>
  <c r="AL22" i="62" s="1"/>
  <c r="AK11" i="49"/>
  <c r="AN190" i="55" l="1"/>
  <c r="AK8" i="37"/>
  <c r="AL30" i="62"/>
  <c r="AL31" i="62" s="1"/>
  <c r="AN189" i="55"/>
  <c r="AK9" i="37"/>
  <c r="AK10" i="37"/>
  <c r="AJ11" i="49"/>
  <c r="AK13" i="49" s="1"/>
  <c r="AK14" i="49" s="1"/>
  <c r="AK16" i="37" s="1"/>
  <c r="AK21" i="62"/>
  <c r="AK22" i="62" s="1"/>
  <c r="AJ3" i="37"/>
  <c r="AN192" i="55" l="1"/>
  <c r="AN200" i="55" s="1"/>
  <c r="AJ8" i="37"/>
  <c r="AJ9" i="37"/>
  <c r="AK30" i="62"/>
  <c r="AK31" i="62" s="1"/>
  <c r="AJ10" i="37"/>
  <c r="AM190" i="55"/>
  <c r="AM189" i="55"/>
  <c r="AJ21" i="62"/>
  <c r="AJ22" i="62" s="1"/>
  <c r="AI11" i="49"/>
  <c r="AJ13" i="49" s="1"/>
  <c r="AJ14" i="49" s="1"/>
  <c r="AJ16" i="37" s="1"/>
  <c r="AI3" i="37"/>
  <c r="AK7" i="37"/>
  <c r="AM192" i="55" l="1"/>
  <c r="AM200" i="55" s="1"/>
  <c r="AK16" i="26"/>
  <c r="AK12" i="37"/>
  <c r="AI8" i="37"/>
  <c r="AL190" i="55"/>
  <c r="AJ30" i="62"/>
  <c r="AJ31" i="62" s="1"/>
  <c r="AI10" i="37"/>
  <c r="AL189" i="55"/>
  <c r="AI9" i="37"/>
  <c r="AJ7" i="37"/>
  <c r="AH11" i="49"/>
  <c r="AI13" i="49" s="1"/>
  <c r="AI14" i="49" s="1"/>
  <c r="AI16" i="37" s="1"/>
  <c r="AH3" i="37"/>
  <c r="AI21" i="62"/>
  <c r="AI22" i="62" s="1"/>
  <c r="AL192" i="55" l="1"/>
  <c r="AL200" i="55" s="1"/>
  <c r="AG11" i="49"/>
  <c r="AH13" i="49" s="1"/>
  <c r="AH14" i="49" s="1"/>
  <c r="AH16" i="37" s="1"/>
  <c r="AH21" i="62"/>
  <c r="AH22" i="62" s="1"/>
  <c r="AG3" i="37"/>
  <c r="AI7" i="37"/>
  <c r="AK190" i="55"/>
  <c r="AH10" i="37"/>
  <c r="AH8" i="37"/>
  <c r="AI30" i="62"/>
  <c r="AI31" i="62" s="1"/>
  <c r="AH9" i="37"/>
  <c r="AK189" i="55"/>
  <c r="AJ16" i="26"/>
  <c r="AJ12" i="37"/>
  <c r="AH30" i="62" l="1"/>
  <c r="AH31" i="62" s="1"/>
  <c r="AJ190" i="55"/>
  <c r="AG10" i="37"/>
  <c r="AG8" i="37"/>
  <c r="AJ189" i="55"/>
  <c r="AG9" i="37"/>
  <c r="AI16" i="26"/>
  <c r="AI12" i="37"/>
  <c r="AK192" i="55"/>
  <c r="AK200" i="55" s="1"/>
  <c r="AH7" i="37"/>
  <c r="AG21" i="62"/>
  <c r="AG22" i="62" s="1"/>
  <c r="AF11" i="49"/>
  <c r="AG13" i="49" s="1"/>
  <c r="AG14" i="49" s="1"/>
  <c r="AG16" i="37" s="1"/>
  <c r="AF3" i="37"/>
  <c r="AJ192" i="55" l="1"/>
  <c r="AJ200" i="55" s="1"/>
  <c r="AE11" i="49"/>
  <c r="AF13" i="49" s="1"/>
  <c r="AF14" i="49" s="1"/>
  <c r="AF16" i="37" s="1"/>
  <c r="AE3" i="37"/>
  <c r="AF21" i="62"/>
  <c r="AF22" i="62" s="1"/>
  <c r="AH16" i="26"/>
  <c r="AH12" i="37"/>
  <c r="AG7" i="37"/>
  <c r="AG30" i="62"/>
  <c r="AG31" i="62" s="1"/>
  <c r="AF9" i="37"/>
  <c r="AF10" i="37"/>
  <c r="AI190" i="55"/>
  <c r="AI189" i="55"/>
  <c r="AF8" i="37"/>
  <c r="AF7" i="37" l="1"/>
  <c r="AF16" i="26" s="1"/>
  <c r="AI192" i="55"/>
  <c r="AI200" i="55" s="1"/>
  <c r="AE9" i="37"/>
  <c r="AE10" i="37"/>
  <c r="AH190" i="55"/>
  <c r="AE8" i="37"/>
  <c r="AF30" i="62"/>
  <c r="AF31" i="62" s="1"/>
  <c r="AH189" i="55"/>
  <c r="AD11" i="49"/>
  <c r="AE13" i="49" s="1"/>
  <c r="AE14" i="49" s="1"/>
  <c r="AE16" i="37" s="1"/>
  <c r="AE21" i="62"/>
  <c r="AE22" i="62" s="1"/>
  <c r="AD3" i="37"/>
  <c r="AG16" i="26"/>
  <c r="AG12" i="37"/>
  <c r="AE7" i="37" l="1"/>
  <c r="AE16" i="26" s="1"/>
  <c r="AF12" i="37"/>
  <c r="AH192" i="55"/>
  <c r="AH200" i="55" s="1"/>
  <c r="AD21" i="62"/>
  <c r="AD22" i="62" s="1"/>
  <c r="AC11" i="49"/>
  <c r="AD13" i="49" s="1"/>
  <c r="AD14" i="49" s="1"/>
  <c r="AD16" i="37" s="1"/>
  <c r="AC3" i="37"/>
  <c r="AD9" i="37"/>
  <c r="AD8" i="37"/>
  <c r="AE30" i="62"/>
  <c r="AE31" i="62" s="1"/>
  <c r="AD10" i="37"/>
  <c r="AG189" i="55"/>
  <c r="AG190" i="55"/>
  <c r="AE12" i="37" l="1"/>
  <c r="AD7" i="37"/>
  <c r="AD16" i="26" s="1"/>
  <c r="AC9" i="37"/>
  <c r="AD30" i="62"/>
  <c r="AD31" i="62" s="1"/>
  <c r="AC8" i="37"/>
  <c r="AF190" i="55"/>
  <c r="AC10" i="37"/>
  <c r="AF189" i="55"/>
  <c r="AC21" i="62"/>
  <c r="AC22" i="62" s="1"/>
  <c r="AB11" i="49"/>
  <c r="AC13" i="49" s="1"/>
  <c r="AC14" i="49" s="1"/>
  <c r="AC16" i="37" s="1"/>
  <c r="AB3" i="37"/>
  <c r="AG192" i="55"/>
  <c r="AG200" i="55" s="1"/>
  <c r="AD12" i="37" l="1"/>
  <c r="AF192" i="55"/>
  <c r="AF200" i="55" s="1"/>
  <c r="AC30" i="62"/>
  <c r="AC31" i="62" s="1"/>
  <c r="AE190" i="55"/>
  <c r="AE189" i="55"/>
  <c r="AB10" i="37"/>
  <c r="AB8" i="37"/>
  <c r="AB9" i="37"/>
  <c r="AC7" i="37"/>
  <c r="AA3" i="37"/>
  <c r="AA11" i="49"/>
  <c r="AB13" i="49" s="1"/>
  <c r="AB14" i="49" s="1"/>
  <c r="AB16" i="37" s="1"/>
  <c r="AB21" i="62"/>
  <c r="AB22" i="62" s="1"/>
  <c r="AE192" i="55" l="1"/>
  <c r="AE200" i="55" s="1"/>
  <c r="AB7" i="37"/>
  <c r="AA8" i="37"/>
  <c r="AA10" i="37"/>
  <c r="AB30" i="62"/>
  <c r="AB31" i="62" s="1"/>
  <c r="AA9" i="37"/>
  <c r="AD189" i="55"/>
  <c r="AD190" i="55"/>
  <c r="AA21" i="62"/>
  <c r="AA22" i="62" s="1"/>
  <c r="Z3" i="37"/>
  <c r="Z11" i="49"/>
  <c r="AA13" i="49" s="1"/>
  <c r="AA14" i="49" s="1"/>
  <c r="AA16" i="37" s="1"/>
  <c r="AC16" i="26"/>
  <c r="AC12" i="37"/>
  <c r="AC190" i="55" l="1"/>
  <c r="Z10" i="37"/>
  <c r="Z9" i="37"/>
  <c r="Z8" i="37"/>
  <c r="AC189" i="55"/>
  <c r="AA30" i="62"/>
  <c r="AA31" i="62" s="1"/>
  <c r="AD192" i="55"/>
  <c r="AD200" i="55" s="1"/>
  <c r="Y11" i="49"/>
  <c r="Z13" i="49" s="1"/>
  <c r="Z14" i="49" s="1"/>
  <c r="Z16" i="37" s="1"/>
  <c r="Z21" i="62"/>
  <c r="Z22" i="62" s="1"/>
  <c r="Y3" i="37"/>
  <c r="AA7" i="37"/>
  <c r="AB16" i="26"/>
  <c r="AB12" i="37"/>
  <c r="AC192" i="55" l="1"/>
  <c r="AC200" i="55" s="1"/>
  <c r="Z7" i="37"/>
  <c r="Y9" i="37"/>
  <c r="Y8" i="37"/>
  <c r="Z30" i="62"/>
  <c r="Z31" i="62" s="1"/>
  <c r="Y10" i="37"/>
  <c r="AB190" i="55"/>
  <c r="AB189" i="55"/>
  <c r="AA16" i="26"/>
  <c r="AA12" i="37"/>
  <c r="X11" i="49"/>
  <c r="Y13" i="49" s="1"/>
  <c r="Y14" i="49" s="1"/>
  <c r="Y16" i="37" s="1"/>
  <c r="X3" i="37"/>
  <c r="Y21" i="62"/>
  <c r="Y22" i="62" s="1"/>
  <c r="AB192" i="55" l="1"/>
  <c r="AB200" i="55" s="1"/>
  <c r="Z16" i="26"/>
  <c r="Z12" i="37"/>
  <c r="X8" i="37"/>
  <c r="Y30" i="62"/>
  <c r="Y31" i="62" s="1"/>
  <c r="X10" i="37"/>
  <c r="AA189" i="55"/>
  <c r="X9" i="37"/>
  <c r="AA190" i="55"/>
  <c r="W11" i="49"/>
  <c r="X13" i="49" s="1"/>
  <c r="X14" i="49" s="1"/>
  <c r="X16" i="37" s="1"/>
  <c r="W3" i="37"/>
  <c r="X21" i="62"/>
  <c r="X22" i="62" s="1"/>
  <c r="Y7" i="37"/>
  <c r="Y16" i="26" l="1"/>
  <c r="Y12" i="37"/>
  <c r="W10" i="37"/>
  <c r="Z189" i="55"/>
  <c r="Z190" i="55"/>
  <c r="W9" i="37"/>
  <c r="X30" i="62"/>
  <c r="X31" i="62" s="1"/>
  <c r="W8" i="37"/>
  <c r="X7" i="37"/>
  <c r="AA192" i="55"/>
  <c r="AA200" i="55" s="1"/>
  <c r="V11" i="49"/>
  <c r="W13" i="49" s="1"/>
  <c r="W14" i="49" s="1"/>
  <c r="W16" i="37" s="1"/>
  <c r="W21" i="62"/>
  <c r="W22" i="62" s="1"/>
  <c r="V3" i="37"/>
  <c r="W7" i="37" l="1"/>
  <c r="W16" i="26" s="1"/>
  <c r="Z192" i="55"/>
  <c r="Z200" i="55" s="1"/>
  <c r="V21" i="62"/>
  <c r="V22" i="62" s="1"/>
  <c r="U3" i="37"/>
  <c r="U11" i="49"/>
  <c r="V13" i="49" s="1"/>
  <c r="V14" i="49" s="1"/>
  <c r="V16" i="37" s="1"/>
  <c r="X16" i="26"/>
  <c r="X12" i="37"/>
  <c r="V10" i="37"/>
  <c r="V8" i="37"/>
  <c r="Y190" i="55"/>
  <c r="Y189" i="55"/>
  <c r="V9" i="37"/>
  <c r="W30" i="62"/>
  <c r="W31" i="62" s="1"/>
  <c r="W12" i="37" l="1"/>
  <c r="Y192" i="55"/>
  <c r="Y200" i="55" s="1"/>
  <c r="T3" i="37"/>
  <c r="T11" i="49"/>
  <c r="U13" i="49" s="1"/>
  <c r="U14" i="49" s="1"/>
  <c r="U16" i="37" s="1"/>
  <c r="U21" i="62"/>
  <c r="U22" i="62" s="1"/>
  <c r="V30" i="62"/>
  <c r="V31" i="62" s="1"/>
  <c r="U8" i="37"/>
  <c r="U9" i="37"/>
  <c r="X190" i="55"/>
  <c r="U10" i="37"/>
  <c r="X189" i="55"/>
  <c r="V7" i="37"/>
  <c r="X192" i="55" l="1"/>
  <c r="X200" i="55" s="1"/>
  <c r="S11" i="49"/>
  <c r="T13" i="49" s="1"/>
  <c r="T14" i="49" s="1"/>
  <c r="T16" i="37" s="1"/>
  <c r="T21" i="62"/>
  <c r="T22" i="62" s="1"/>
  <c r="S3" i="37"/>
  <c r="V16" i="26"/>
  <c r="V12" i="37"/>
  <c r="T9" i="37"/>
  <c r="W190" i="55"/>
  <c r="T10" i="37"/>
  <c r="U30" i="62"/>
  <c r="U31" i="62" s="1"/>
  <c r="W189" i="55"/>
  <c r="T8" i="37"/>
  <c r="U7" i="37"/>
  <c r="W192" i="55" l="1"/>
  <c r="W200" i="55" s="1"/>
  <c r="T7" i="37"/>
  <c r="V189" i="55"/>
  <c r="S9" i="37"/>
  <c r="V190" i="55"/>
  <c r="S8" i="37"/>
  <c r="T30" i="62"/>
  <c r="T31" i="62" s="1"/>
  <c r="S10" i="37"/>
  <c r="R11" i="49"/>
  <c r="S13" i="49" s="1"/>
  <c r="S14" i="49" s="1"/>
  <c r="S16" i="37" s="1"/>
  <c r="R3" i="37"/>
  <c r="S21" i="62"/>
  <c r="S22" i="62" s="1"/>
  <c r="U16" i="26"/>
  <c r="U12" i="37"/>
  <c r="T16" i="26" l="1"/>
  <c r="T12" i="37"/>
  <c r="U189" i="55"/>
  <c r="R8" i="37"/>
  <c r="R10" i="37"/>
  <c r="S30" i="62"/>
  <c r="S31" i="62" s="1"/>
  <c r="U190" i="55"/>
  <c r="R9" i="37"/>
  <c r="S7" i="37"/>
  <c r="V192" i="55"/>
  <c r="V200" i="55" s="1"/>
  <c r="Q3" i="37"/>
  <c r="Q11" i="49"/>
  <c r="R13" i="49" s="1"/>
  <c r="R14" i="49" s="1"/>
  <c r="R16" i="37" s="1"/>
  <c r="R21" i="62"/>
  <c r="R22" i="62" s="1"/>
  <c r="P11" i="49" l="1"/>
  <c r="Q13" i="49" s="1"/>
  <c r="Q14" i="49" s="1"/>
  <c r="Q16" i="37" s="1"/>
  <c r="P3" i="37"/>
  <c r="Q21" i="62"/>
  <c r="Q22" i="62" s="1"/>
  <c r="R7" i="37"/>
  <c r="Q9" i="37"/>
  <c r="T189" i="55"/>
  <c r="Q10" i="37"/>
  <c r="Q8" i="37"/>
  <c r="T190" i="55"/>
  <c r="R30" i="62"/>
  <c r="R31" i="62" s="1"/>
  <c r="S16" i="26"/>
  <c r="S12" i="37"/>
  <c r="U192" i="55"/>
  <c r="U200" i="55" s="1"/>
  <c r="T192" i="55" l="1"/>
  <c r="T200" i="55" s="1"/>
  <c r="Q30" i="62"/>
  <c r="Q31" i="62" s="1"/>
  <c r="S190" i="55"/>
  <c r="S189" i="55"/>
  <c r="P8" i="37"/>
  <c r="P10" i="37"/>
  <c r="P9" i="37"/>
  <c r="R16" i="26"/>
  <c r="R12" i="37"/>
  <c r="Q7" i="37"/>
  <c r="O11" i="49"/>
  <c r="P13" i="49" s="1"/>
  <c r="P14" i="49" s="1"/>
  <c r="P16" i="37" s="1"/>
  <c r="P21" i="62"/>
  <c r="P22" i="62" s="1"/>
  <c r="O3" i="37"/>
  <c r="S192" i="55" l="1"/>
  <c r="S200" i="55" s="1"/>
  <c r="O21" i="62"/>
  <c r="O22" i="62" s="1"/>
  <c r="N11" i="49"/>
  <c r="O13" i="49" s="1"/>
  <c r="O14" i="49" s="1"/>
  <c r="O16" i="37" s="1"/>
  <c r="N3" i="37"/>
  <c r="P7" i="37"/>
  <c r="P30" i="62"/>
  <c r="P31" i="62" s="1"/>
  <c r="O10" i="37"/>
  <c r="O8" i="37"/>
  <c r="R190" i="55"/>
  <c r="O9" i="37"/>
  <c r="R189" i="55"/>
  <c r="Q16" i="26"/>
  <c r="Q12" i="37"/>
  <c r="R192" i="55" l="1"/>
  <c r="R200" i="55" s="1"/>
  <c r="P16" i="26"/>
  <c r="P12" i="37"/>
  <c r="Q190" i="55"/>
  <c r="N10" i="37"/>
  <c r="N9" i="37"/>
  <c r="N8" i="37"/>
  <c r="Q189" i="55"/>
  <c r="O30" i="62"/>
  <c r="O31" i="62" s="1"/>
  <c r="O7" i="37"/>
  <c r="M3" i="37"/>
  <c r="M11" i="49"/>
  <c r="N13" i="49" s="1"/>
  <c r="N14" i="49" s="1"/>
  <c r="N16" i="37" s="1"/>
  <c r="N21" i="62"/>
  <c r="N22" i="62" s="1"/>
  <c r="Q192" i="55" l="1"/>
  <c r="Q200" i="55" s="1"/>
  <c r="N7" i="37"/>
  <c r="N16" i="26" s="1"/>
  <c r="M21" i="62"/>
  <c r="M22" i="62" s="1"/>
  <c r="L11" i="49"/>
  <c r="M13" i="49" s="1"/>
  <c r="M14" i="49" s="1"/>
  <c r="M16" i="37" s="1"/>
  <c r="L3" i="37"/>
  <c r="O16" i="26"/>
  <c r="O12" i="37"/>
  <c r="P190" i="55"/>
  <c r="N30" i="62"/>
  <c r="N31" i="62" s="1"/>
  <c r="M8" i="37"/>
  <c r="M10" i="37"/>
  <c r="P189" i="55"/>
  <c r="M9" i="37"/>
  <c r="N12" i="37"/>
  <c r="L8" i="37" l="1"/>
  <c r="M30" i="62"/>
  <c r="M31" i="62" s="1"/>
  <c r="O189" i="55"/>
  <c r="L9" i="37"/>
  <c r="O190" i="55"/>
  <c r="L10" i="37"/>
  <c r="P192" i="55"/>
  <c r="P200" i="55" s="1"/>
  <c r="M7" i="37"/>
  <c r="L21" i="62"/>
  <c r="L22" i="62" s="1"/>
  <c r="K11" i="49"/>
  <c r="L13" i="49" s="1"/>
  <c r="L14" i="49" s="1"/>
  <c r="L16" i="37" s="1"/>
  <c r="K3" i="37"/>
  <c r="O192" i="55" l="1"/>
  <c r="O200" i="55" s="1"/>
  <c r="J11" i="49"/>
  <c r="K13" i="49" s="1"/>
  <c r="K14" i="49" s="1"/>
  <c r="K16" i="37" s="1"/>
  <c r="J3" i="37"/>
  <c r="K21" i="62"/>
  <c r="K22" i="62" s="1"/>
  <c r="M16" i="26"/>
  <c r="M12" i="37"/>
  <c r="L7" i="37"/>
  <c r="K10" i="37"/>
  <c r="K9" i="37"/>
  <c r="N190" i="55"/>
  <c r="N189" i="55"/>
  <c r="K8" i="37"/>
  <c r="L30" i="62"/>
  <c r="L31" i="62" s="1"/>
  <c r="K7" i="37" l="1"/>
  <c r="N192" i="55"/>
  <c r="N200" i="55" s="1"/>
  <c r="I11" i="49"/>
  <c r="J13" i="49" s="1"/>
  <c r="J14" i="49" s="1"/>
  <c r="J16" i="37" s="1"/>
  <c r="I3" i="37"/>
  <c r="J21" i="62"/>
  <c r="J22" i="62" s="1"/>
  <c r="K30" i="62"/>
  <c r="K31" i="62" s="1"/>
  <c r="M189" i="55"/>
  <c r="J10" i="37"/>
  <c r="J9" i="37"/>
  <c r="J8" i="37"/>
  <c r="M190" i="55"/>
  <c r="L16" i="26"/>
  <c r="L12" i="37"/>
  <c r="J7" i="37" l="1"/>
  <c r="K16" i="26"/>
  <c r="K12" i="37"/>
  <c r="I8" i="37"/>
  <c r="L189" i="55"/>
  <c r="I10" i="37"/>
  <c r="I9" i="37"/>
  <c r="L190" i="55"/>
  <c r="J30" i="62"/>
  <c r="J31" i="62" s="1"/>
  <c r="H11" i="49"/>
  <c r="I13" i="49" s="1"/>
  <c r="I14" i="49" s="1"/>
  <c r="I16" i="37" s="1"/>
  <c r="H3" i="37"/>
  <c r="I21" i="62"/>
  <c r="I22" i="62" s="1"/>
  <c r="M192" i="55"/>
  <c r="M200" i="55" s="1"/>
  <c r="J16" i="26" l="1"/>
  <c r="J12" i="37"/>
  <c r="H9" i="37"/>
  <c r="I30" i="62"/>
  <c r="I31" i="62" s="1"/>
  <c r="H10" i="37"/>
  <c r="K190" i="55"/>
  <c r="K189" i="55"/>
  <c r="H8" i="37"/>
  <c r="L192" i="55"/>
  <c r="L200" i="55" s="1"/>
  <c r="I7" i="37"/>
  <c r="G3" i="37"/>
  <c r="G11" i="49"/>
  <c r="H13" i="49" s="1"/>
  <c r="H14" i="49" s="1"/>
  <c r="H16" i="37" s="1"/>
  <c r="H21" i="62"/>
  <c r="H22" i="62" s="1"/>
  <c r="H7" i="37" l="1"/>
  <c r="H16" i="26" s="1"/>
  <c r="K192" i="55"/>
  <c r="K200" i="55" s="1"/>
  <c r="G21" i="62"/>
  <c r="G22" i="62" s="1"/>
  <c r="F11" i="49"/>
  <c r="G13" i="49" s="1"/>
  <c r="G14" i="49" s="1"/>
  <c r="G16" i="37" s="1"/>
  <c r="F3" i="37"/>
  <c r="I16" i="26"/>
  <c r="I12" i="37"/>
  <c r="J189" i="55"/>
  <c r="G10" i="37"/>
  <c r="J190" i="55"/>
  <c r="G8" i="37"/>
  <c r="G9" i="37"/>
  <c r="H30" i="62"/>
  <c r="H31" i="62" s="1"/>
  <c r="H12" i="37" l="1"/>
  <c r="G7" i="37"/>
  <c r="G30" i="62"/>
  <c r="G31" i="62" s="1"/>
  <c r="F8" i="37"/>
  <c r="F10" i="37"/>
  <c r="I190" i="55"/>
  <c r="I189" i="55"/>
  <c r="F9" i="37"/>
  <c r="E11" i="49"/>
  <c r="F13" i="49" s="1"/>
  <c r="F14" i="49" s="1"/>
  <c r="F16" i="37" s="1"/>
  <c r="B16" i="37" s="1"/>
  <c r="E3" i="37"/>
  <c r="F21" i="62"/>
  <c r="J192" i="55"/>
  <c r="J200" i="55" s="1"/>
  <c r="I192" i="55" l="1"/>
  <c r="I200" i="55" s="1"/>
  <c r="H189" i="55"/>
  <c r="E10" i="37"/>
  <c r="B10" i="37" s="1"/>
  <c r="F30" i="62"/>
  <c r="E8" i="37"/>
  <c r="H190" i="55"/>
  <c r="E190" i="55" s="1"/>
  <c r="E9" i="37"/>
  <c r="B9" i="37" s="1"/>
  <c r="F7" i="37"/>
  <c r="E8" i="26"/>
  <c r="D22" i="62"/>
  <c r="D18" i="62" s="1"/>
  <c r="E22" i="62"/>
  <c r="F22" i="62"/>
  <c r="G16" i="26"/>
  <c r="G12" i="37"/>
  <c r="AC17" i="37" l="1"/>
  <c r="AC14" i="37" s="1"/>
  <c r="Q17" i="37"/>
  <c r="Q14" i="37" s="1"/>
  <c r="J17" i="37"/>
  <c r="J14" i="37" s="1"/>
  <c r="S17" i="37"/>
  <c r="S14" i="37" s="1"/>
  <c r="M17" i="37"/>
  <c r="M14" i="37" s="1"/>
  <c r="AJ17" i="37"/>
  <c r="AJ14" i="37" s="1"/>
  <c r="AG17" i="37"/>
  <c r="AG14" i="37" s="1"/>
  <c r="R17" i="37"/>
  <c r="R14" i="37" s="1"/>
  <c r="I17" i="37"/>
  <c r="I14" i="37" s="1"/>
  <c r="U17" i="37"/>
  <c r="U14" i="37" s="1"/>
  <c r="W17" i="37"/>
  <c r="W14" i="37" s="1"/>
  <c r="G17" i="37"/>
  <c r="G14" i="37" s="1"/>
  <c r="G14" i="26" s="1"/>
  <c r="N17" i="37"/>
  <c r="N14" i="37" s="1"/>
  <c r="AA17" i="37"/>
  <c r="AA14" i="37" s="1"/>
  <c r="AH17" i="37"/>
  <c r="AH14" i="37" s="1"/>
  <c r="AF17" i="37"/>
  <c r="AF14" i="37" s="1"/>
  <c r="O17" i="37"/>
  <c r="O14" i="37" s="1"/>
  <c r="AD17" i="37"/>
  <c r="AD14" i="37" s="1"/>
  <c r="D17" i="37"/>
  <c r="D14" i="37" s="1"/>
  <c r="C17" i="37"/>
  <c r="V17" i="37"/>
  <c r="V14" i="37" s="1"/>
  <c r="Y17" i="37"/>
  <c r="Y14" i="37" s="1"/>
  <c r="AI17" i="37"/>
  <c r="AI14" i="37" s="1"/>
  <c r="Z17" i="37"/>
  <c r="Z14" i="37" s="1"/>
  <c r="AE17" i="37"/>
  <c r="AE14" i="37" s="1"/>
  <c r="P17" i="37"/>
  <c r="P14" i="37" s="1"/>
  <c r="H17" i="37"/>
  <c r="H14" i="37" s="1"/>
  <c r="K17" i="37"/>
  <c r="K14" i="37" s="1"/>
  <c r="X17" i="37"/>
  <c r="X14" i="37" s="1"/>
  <c r="F17" i="37"/>
  <c r="F14" i="37" s="1"/>
  <c r="F14" i="26" s="1"/>
  <c r="AB17" i="37"/>
  <c r="AB14" i="37" s="1"/>
  <c r="T17" i="37"/>
  <c r="T14" i="37" s="1"/>
  <c r="AK17" i="37"/>
  <c r="AK14" i="37" s="1"/>
  <c r="E17" i="37"/>
  <c r="E14" i="37" s="1"/>
  <c r="E14" i="26" s="1"/>
  <c r="L17" i="37"/>
  <c r="L14" i="37" s="1"/>
  <c r="E31" i="62"/>
  <c r="F31" i="62"/>
  <c r="D31" i="62"/>
  <c r="D27" i="62" s="1"/>
  <c r="D19" i="62"/>
  <c r="C30" i="37"/>
  <c r="B8" i="37"/>
  <c r="E7" i="37"/>
  <c r="E7" i="26"/>
  <c r="F8" i="26"/>
  <c r="E9" i="54"/>
  <c r="F16" i="26"/>
  <c r="F12" i="37"/>
  <c r="H192" i="55"/>
  <c r="E189" i="55"/>
  <c r="F9" i="54" l="1"/>
  <c r="Y14" i="26"/>
  <c r="Y27" i="37"/>
  <c r="Y3" i="64" s="1"/>
  <c r="Y8" i="64" s="1"/>
  <c r="AA14" i="26"/>
  <c r="AA27" i="37"/>
  <c r="AA3" i="64" s="1"/>
  <c r="AA8" i="64" s="1"/>
  <c r="AJ14" i="26"/>
  <c r="AJ27" i="37"/>
  <c r="AJ3" i="64" s="1"/>
  <c r="AJ8" i="64" s="1"/>
  <c r="V14" i="26"/>
  <c r="V27" i="37"/>
  <c r="V3" i="64" s="1"/>
  <c r="V8" i="64" s="1"/>
  <c r="M14" i="26"/>
  <c r="M27" i="37"/>
  <c r="M3" i="64" s="1"/>
  <c r="M8" i="64" s="1"/>
  <c r="S14" i="26"/>
  <c r="S27" i="37"/>
  <c r="D28" i="62"/>
  <c r="C38" i="37"/>
  <c r="H14" i="26"/>
  <c r="H27" i="37"/>
  <c r="H3" i="64" s="1"/>
  <c r="H8" i="64" s="1"/>
  <c r="D14" i="26"/>
  <c r="D27" i="37"/>
  <c r="D3" i="64" s="1"/>
  <c r="D8" i="64" s="1"/>
  <c r="W14" i="26"/>
  <c r="W27" i="37"/>
  <c r="W3" i="64" s="1"/>
  <c r="W8" i="64" s="1"/>
  <c r="J14" i="26"/>
  <c r="J27" i="37"/>
  <c r="J3" i="64" s="1"/>
  <c r="J8" i="64" s="1"/>
  <c r="G8" i="26"/>
  <c r="F7" i="26"/>
  <c r="K14" i="26"/>
  <c r="K27" i="37"/>
  <c r="K3" i="64" s="1"/>
  <c r="K8" i="64" s="1"/>
  <c r="E16" i="26"/>
  <c r="B16" i="26" s="1"/>
  <c r="B7" i="37"/>
  <c r="E12" i="37"/>
  <c r="P14" i="26"/>
  <c r="P27" i="37"/>
  <c r="AD14" i="26"/>
  <c r="AD27" i="37"/>
  <c r="AD3" i="64" s="1"/>
  <c r="AD8" i="64" s="1"/>
  <c r="U14" i="26"/>
  <c r="U27" i="37"/>
  <c r="U3" i="64" s="1"/>
  <c r="U8" i="64" s="1"/>
  <c r="Q14" i="26"/>
  <c r="Q27" i="37"/>
  <c r="N14" i="26"/>
  <c r="N27" i="37"/>
  <c r="N3" i="64" s="1"/>
  <c r="N8" i="64" s="1"/>
  <c r="L14" i="26"/>
  <c r="L27" i="37"/>
  <c r="L3" i="64" s="1"/>
  <c r="L8" i="64" s="1"/>
  <c r="G27" i="37"/>
  <c r="G3" i="64" s="1"/>
  <c r="G8" i="64" s="1"/>
  <c r="F27" i="37"/>
  <c r="F3" i="64" s="1"/>
  <c r="F8" i="64" s="1"/>
  <c r="AK14" i="26"/>
  <c r="AK27" i="37"/>
  <c r="AE14" i="26"/>
  <c r="AE27" i="37"/>
  <c r="AE3" i="64" s="1"/>
  <c r="AE8" i="64" s="1"/>
  <c r="O14" i="26"/>
  <c r="O27" i="37"/>
  <c r="O3" i="64" s="1"/>
  <c r="O8" i="64" s="1"/>
  <c r="I14" i="26"/>
  <c r="I27" i="37"/>
  <c r="I3" i="64" s="1"/>
  <c r="I8" i="64" s="1"/>
  <c r="AC14" i="26"/>
  <c r="AC27" i="37"/>
  <c r="H200" i="55"/>
  <c r="E200" i="55" s="1"/>
  <c r="E192" i="55"/>
  <c r="T14" i="26"/>
  <c r="T27" i="37"/>
  <c r="T3" i="64" s="1"/>
  <c r="T8" i="64" s="1"/>
  <c r="Z14" i="26"/>
  <c r="Z27" i="37"/>
  <c r="Z3" i="64" s="1"/>
  <c r="Z8" i="64" s="1"/>
  <c r="AF14" i="26"/>
  <c r="AF27" i="37"/>
  <c r="AF3" i="64" s="1"/>
  <c r="AF8" i="64" s="1"/>
  <c r="R14" i="26"/>
  <c r="R27" i="37"/>
  <c r="X14" i="26"/>
  <c r="X27" i="37"/>
  <c r="E2" i="26"/>
  <c r="B17" i="37"/>
  <c r="C14" i="37"/>
  <c r="E15" i="62"/>
  <c r="C13" i="54"/>
  <c r="AB14" i="26"/>
  <c r="AB27" i="37"/>
  <c r="AI14" i="26"/>
  <c r="AI27" i="37"/>
  <c r="AH14" i="26"/>
  <c r="AH27" i="37"/>
  <c r="AH3" i="64" s="1"/>
  <c r="AH8" i="64" s="1"/>
  <c r="AG14" i="26"/>
  <c r="AG27" i="37"/>
  <c r="G9" i="54" l="1"/>
  <c r="F2" i="26"/>
  <c r="P3" i="64"/>
  <c r="P8" i="64" s="1"/>
  <c r="G7" i="26"/>
  <c r="H8" i="26"/>
  <c r="AK3" i="64"/>
  <c r="AK8" i="64" s="1"/>
  <c r="AG3" i="64"/>
  <c r="AG8" i="64" s="1"/>
  <c r="Q3" i="64"/>
  <c r="Q8" i="64" s="1"/>
  <c r="E27" i="37"/>
  <c r="E3" i="64" s="1"/>
  <c r="E8" i="64" s="1"/>
  <c r="B12" i="37"/>
  <c r="C21" i="54"/>
  <c r="S3" i="64"/>
  <c r="S8" i="64" s="1"/>
  <c r="E17" i="62"/>
  <c r="E18" i="62" s="1"/>
  <c r="X3" i="64"/>
  <c r="X8" i="64" s="1"/>
  <c r="R3" i="64"/>
  <c r="R8" i="64" s="1"/>
  <c r="AB3" i="64"/>
  <c r="AB8" i="64" s="1"/>
  <c r="AC3" i="64"/>
  <c r="AC8" i="64" s="1"/>
  <c r="C27" i="37"/>
  <c r="C14" i="26"/>
  <c r="B14" i="37"/>
  <c r="AI3" i="64"/>
  <c r="AI8" i="64" s="1"/>
  <c r="H9" i="54" l="1"/>
  <c r="E19" i="62"/>
  <c r="F15" i="62" s="1"/>
  <c r="G2" i="26"/>
  <c r="B14" i="26"/>
  <c r="C13" i="26"/>
  <c r="D30" i="37"/>
  <c r="C3" i="64"/>
  <c r="C8" i="64" s="1"/>
  <c r="C9" i="64" s="1"/>
  <c r="C10" i="64" s="1"/>
  <c r="C33" i="37"/>
  <c r="B27" i="37"/>
  <c r="E26" i="62"/>
  <c r="D29" i="37"/>
  <c r="I8" i="26"/>
  <c r="H7" i="26"/>
  <c r="I9" i="54" l="1"/>
  <c r="D13" i="54"/>
  <c r="D33" i="37"/>
  <c r="J8" i="26"/>
  <c r="I7" i="26"/>
  <c r="H2" i="26"/>
  <c r="C13" i="64"/>
  <c r="C37" i="37" s="1"/>
  <c r="C17" i="64"/>
  <c r="D9" i="64" s="1"/>
  <c r="D10" i="64" s="1"/>
  <c r="C12" i="64"/>
  <c r="C18" i="54"/>
  <c r="D13" i="26"/>
  <c r="E27" i="62"/>
  <c r="D38" i="37" s="1"/>
  <c r="F17" i="62"/>
  <c r="F18" i="62" s="1"/>
  <c r="E28" i="62" l="1"/>
  <c r="D18" i="54"/>
  <c r="D13" i="64"/>
  <c r="D37" i="37" s="1"/>
  <c r="D12" i="64"/>
  <c r="D17" i="64"/>
  <c r="E9" i="64" s="1"/>
  <c r="E10" i="64" s="1"/>
  <c r="I2" i="26"/>
  <c r="E30" i="37"/>
  <c r="E13" i="26"/>
  <c r="D21" i="54"/>
  <c r="J7" i="26"/>
  <c r="K8" i="26"/>
  <c r="F19" i="62"/>
  <c r="E29" i="37"/>
  <c r="F26" i="62"/>
  <c r="C36" i="37"/>
  <c r="D22" i="66"/>
  <c r="J9" i="54"/>
  <c r="F27" i="62" l="1"/>
  <c r="E38" i="37" s="1"/>
  <c r="E13" i="64"/>
  <c r="E37" i="37" s="1"/>
  <c r="E12" i="64"/>
  <c r="E17" i="64"/>
  <c r="F9" i="64" s="1"/>
  <c r="F10" i="64" s="1"/>
  <c r="E33" i="37"/>
  <c r="L8" i="26"/>
  <c r="K7" i="26"/>
  <c r="K9" i="54"/>
  <c r="F13" i="26"/>
  <c r="E13" i="54"/>
  <c r="G15" i="62"/>
  <c r="D36" i="37"/>
  <c r="E22" i="66"/>
  <c r="J2" i="26"/>
  <c r="D23" i="66"/>
  <c r="D42" i="66"/>
  <c r="C35" i="37"/>
  <c r="C40" i="37" s="1"/>
  <c r="C17" i="26"/>
  <c r="C15" i="26" s="1"/>
  <c r="E18" i="54"/>
  <c r="F28" i="62" l="1"/>
  <c r="D32" i="66"/>
  <c r="G17" i="62"/>
  <c r="G18" i="62" s="1"/>
  <c r="K2" i="26"/>
  <c r="L7" i="26"/>
  <c r="M8" i="26"/>
  <c r="F12" i="64"/>
  <c r="F17" i="64"/>
  <c r="G9" i="64" s="1"/>
  <c r="G10" i="64" s="1"/>
  <c r="F13" i="64"/>
  <c r="F37" i="37" s="1"/>
  <c r="F18" i="54"/>
  <c r="C36" i="26"/>
  <c r="C28" i="54" s="1"/>
  <c r="E21" i="54"/>
  <c r="E36" i="37"/>
  <c r="F22" i="66"/>
  <c r="D15" i="26"/>
  <c r="C20" i="54"/>
  <c r="C12" i="26"/>
  <c r="E23" i="66"/>
  <c r="E32" i="66" s="1"/>
  <c r="E42" i="66"/>
  <c r="E44" i="66" s="1"/>
  <c r="E48" i="66" s="1"/>
  <c r="L9" i="54"/>
  <c r="G13" i="26"/>
  <c r="D44" i="66"/>
  <c r="D35" i="37"/>
  <c r="D40" i="37" s="1"/>
  <c r="D36" i="26" s="1"/>
  <c r="D34" i="26" s="1"/>
  <c r="D17" i="26"/>
  <c r="F30" i="37" l="1"/>
  <c r="G17" i="64"/>
  <c r="H9" i="64" s="1"/>
  <c r="H10" i="64" s="1"/>
  <c r="G13" i="64"/>
  <c r="G37" i="37" s="1"/>
  <c r="G12" i="64"/>
  <c r="D20" i="54"/>
  <c r="C23" i="54"/>
  <c r="G19" i="62"/>
  <c r="D48" i="66"/>
  <c r="L2" i="26"/>
  <c r="F29" i="37"/>
  <c r="G26" i="62"/>
  <c r="F36" i="37"/>
  <c r="F17" i="26" s="1"/>
  <c r="G22" i="66"/>
  <c r="M7" i="26"/>
  <c r="N8" i="26"/>
  <c r="E15" i="26"/>
  <c r="D12" i="26"/>
  <c r="F23" i="66"/>
  <c r="F32" i="66" s="1"/>
  <c r="F42" i="66"/>
  <c r="F44" i="66" s="1"/>
  <c r="F48" i="66" s="1"/>
  <c r="C40" i="26"/>
  <c r="C19" i="26"/>
  <c r="C3" i="60"/>
  <c r="C23" i="26"/>
  <c r="C28" i="26" s="1"/>
  <c r="D28" i="54"/>
  <c r="C8" i="54"/>
  <c r="D8" i="54" s="1"/>
  <c r="C34" i="26"/>
  <c r="C27" i="54"/>
  <c r="D27" i="54" s="1"/>
  <c r="H13" i="26"/>
  <c r="M9" i="54"/>
  <c r="E17" i="26"/>
  <c r="E35" i="37"/>
  <c r="E40" i="37" s="1"/>
  <c r="E36" i="26" s="1"/>
  <c r="E34" i="26" s="1"/>
  <c r="G18" i="54"/>
  <c r="H18" i="54" l="1"/>
  <c r="E27" i="54"/>
  <c r="M2" i="26"/>
  <c r="E20" i="54"/>
  <c r="D23" i="54"/>
  <c r="G23" i="66"/>
  <c r="G42" i="66"/>
  <c r="G44" i="66" s="1"/>
  <c r="G48" i="66" s="1"/>
  <c r="G36" i="37"/>
  <c r="H22" i="66"/>
  <c r="E8" i="54"/>
  <c r="H15" i="62"/>
  <c r="F13" i="54"/>
  <c r="N9" i="54"/>
  <c r="H13" i="64"/>
  <c r="H37" i="37" s="1"/>
  <c r="H17" i="64"/>
  <c r="I9" i="64" s="1"/>
  <c r="I10" i="64" s="1"/>
  <c r="H12" i="64"/>
  <c r="C26" i="54"/>
  <c r="C25" i="26"/>
  <c r="C32" i="26" s="1"/>
  <c r="C38" i="26" s="1"/>
  <c r="D3" i="60"/>
  <c r="D40" i="26"/>
  <c r="G27" i="62"/>
  <c r="F38" i="37" s="1"/>
  <c r="F35" i="37" s="1"/>
  <c r="O8" i="26"/>
  <c r="N7" i="26"/>
  <c r="E28" i="54"/>
  <c r="I13" i="26"/>
  <c r="I18" i="54" s="1"/>
  <c r="F15" i="26"/>
  <c r="E12" i="26"/>
  <c r="F33" i="37"/>
  <c r="H17" i="62" l="1"/>
  <c r="H18" i="62" s="1"/>
  <c r="F20" i="54"/>
  <c r="E23" i="54"/>
  <c r="I12" i="64"/>
  <c r="I13" i="64"/>
  <c r="I37" i="37" s="1"/>
  <c r="I17" i="64"/>
  <c r="J9" i="64" s="1"/>
  <c r="J10" i="64" s="1"/>
  <c r="H23" i="66"/>
  <c r="H32" i="66" s="1"/>
  <c r="H42" i="66"/>
  <c r="J13" i="26"/>
  <c r="J18" i="54" s="1"/>
  <c r="E3" i="60"/>
  <c r="E40" i="26"/>
  <c r="G17" i="26"/>
  <c r="G15" i="26"/>
  <c r="F12" i="26"/>
  <c r="N2" i="26"/>
  <c r="F40" i="37"/>
  <c r="I22" i="66"/>
  <c r="H36" i="37"/>
  <c r="H17" i="26" s="1"/>
  <c r="D5" i="26"/>
  <c r="C7" i="54"/>
  <c r="C10" i="54" s="1"/>
  <c r="C15" i="54" s="1"/>
  <c r="O9" i="54"/>
  <c r="G32" i="66"/>
  <c r="P8" i="26"/>
  <c r="O7" i="26"/>
  <c r="G28" i="62"/>
  <c r="C29" i="54"/>
  <c r="C31" i="54" s="1"/>
  <c r="P9" i="54" l="1"/>
  <c r="H15" i="26"/>
  <c r="G12" i="26"/>
  <c r="I36" i="37"/>
  <c r="J22" i="66"/>
  <c r="G20" i="54"/>
  <c r="F21" i="54"/>
  <c r="F23" i="54" s="1"/>
  <c r="G30" i="37"/>
  <c r="F36" i="26"/>
  <c r="C33" i="54"/>
  <c r="O2" i="26"/>
  <c r="D19" i="26"/>
  <c r="D23" i="26"/>
  <c r="D28" i="26" s="1"/>
  <c r="H44" i="66"/>
  <c r="H19" i="62"/>
  <c r="H26" i="62"/>
  <c r="H27" i="62" s="1"/>
  <c r="G38" i="37" s="1"/>
  <c r="G35" i="37" s="1"/>
  <c r="G29" i="37"/>
  <c r="K13" i="26"/>
  <c r="P7" i="26"/>
  <c r="Q8" i="26"/>
  <c r="I23" i="66"/>
  <c r="I42" i="66"/>
  <c r="I44" i="66" s="1"/>
  <c r="I48" i="66" s="1"/>
  <c r="F3" i="60"/>
  <c r="F40" i="26"/>
  <c r="J13" i="64"/>
  <c r="J37" i="37" s="1"/>
  <c r="J17" i="64"/>
  <c r="K9" i="64" s="1"/>
  <c r="K10" i="64" s="1"/>
  <c r="J12" i="64"/>
  <c r="H20" i="54" l="1"/>
  <c r="H28" i="62"/>
  <c r="G21" i="54" s="1"/>
  <c r="G23" i="54" s="1"/>
  <c r="K22" i="66"/>
  <c r="J36" i="37"/>
  <c r="J17" i="26" s="1"/>
  <c r="G13" i="54"/>
  <c r="I15" i="62"/>
  <c r="K17" i="64"/>
  <c r="L9" i="64" s="1"/>
  <c r="L10" i="64" s="1"/>
  <c r="K12" i="64"/>
  <c r="K13" i="64"/>
  <c r="K37" i="37" s="1"/>
  <c r="H48" i="66"/>
  <c r="J23" i="66"/>
  <c r="J32" i="66" s="1"/>
  <c r="J42" i="66"/>
  <c r="J44" i="66" s="1"/>
  <c r="J48" i="66" s="1"/>
  <c r="I32" i="66"/>
  <c r="F34" i="26"/>
  <c r="F27" i="54"/>
  <c r="F8" i="54"/>
  <c r="I17" i="26"/>
  <c r="Q7" i="26"/>
  <c r="R8" i="26"/>
  <c r="P2" i="26"/>
  <c r="Q9" i="54"/>
  <c r="G33" i="37"/>
  <c r="G40" i="37" s="1"/>
  <c r="G3" i="60"/>
  <c r="G40" i="26"/>
  <c r="D25" i="26"/>
  <c r="D32" i="26" s="1"/>
  <c r="D38" i="26" s="1"/>
  <c r="D26" i="54"/>
  <c r="L13" i="26"/>
  <c r="F28" i="54"/>
  <c r="K18" i="54"/>
  <c r="I15" i="26"/>
  <c r="I20" i="54" s="1"/>
  <c r="H12" i="26"/>
  <c r="I17" i="62" l="1"/>
  <c r="I18" i="62" s="1"/>
  <c r="H30" i="37" s="1"/>
  <c r="L18" i="54"/>
  <c r="M13" i="26"/>
  <c r="K42" i="66"/>
  <c r="K44" i="66" s="1"/>
  <c r="K48" i="66" s="1"/>
  <c r="K23" i="66"/>
  <c r="K32" i="66" s="1"/>
  <c r="H3" i="60"/>
  <c r="H40" i="26"/>
  <c r="G36" i="26"/>
  <c r="G8" i="54" s="1"/>
  <c r="S8" i="26"/>
  <c r="R7" i="26"/>
  <c r="J15" i="26"/>
  <c r="J20" i="54" s="1"/>
  <c r="I12" i="26"/>
  <c r="E5" i="26"/>
  <c r="D7" i="54"/>
  <c r="D10" i="54" s="1"/>
  <c r="D15" i="54" s="1"/>
  <c r="R9" i="54"/>
  <c r="Q2" i="26"/>
  <c r="K36" i="37"/>
  <c r="K17" i="26" s="1"/>
  <c r="L22" i="66"/>
  <c r="D29" i="54"/>
  <c r="D31" i="54" s="1"/>
  <c r="L12" i="64"/>
  <c r="L13" i="64"/>
  <c r="L37" i="37" s="1"/>
  <c r="L17" i="64"/>
  <c r="M9" i="64" s="1"/>
  <c r="M10" i="64" s="1"/>
  <c r="S9" i="54" l="1"/>
  <c r="G27" i="54"/>
  <c r="M18" i="54"/>
  <c r="S7" i="26"/>
  <c r="T8" i="26"/>
  <c r="I19" i="62"/>
  <c r="I26" i="62"/>
  <c r="H29" i="37"/>
  <c r="H33" i="37" s="1"/>
  <c r="R2" i="26"/>
  <c r="L42" i="66"/>
  <c r="L44" i="66" s="1"/>
  <c r="L48" i="66" s="1"/>
  <c r="L23" i="66"/>
  <c r="L32" i="66" s="1"/>
  <c r="G34" i="26"/>
  <c r="N13" i="26"/>
  <c r="L36" i="37"/>
  <c r="L17" i="26" s="1"/>
  <c r="M22" i="66"/>
  <c r="E19" i="26"/>
  <c r="E23" i="26"/>
  <c r="E28" i="26" s="1"/>
  <c r="I40" i="26"/>
  <c r="I3" i="60"/>
  <c r="G28" i="54"/>
  <c r="M12" i="64"/>
  <c r="M17" i="64"/>
  <c r="N9" i="64" s="1"/>
  <c r="N10" i="64" s="1"/>
  <c r="M13" i="64"/>
  <c r="M37" i="37" s="1"/>
  <c r="D33" i="54"/>
  <c r="K15" i="26"/>
  <c r="K20" i="54" s="1"/>
  <c r="J12" i="26"/>
  <c r="O13" i="26" l="1"/>
  <c r="N13" i="64"/>
  <c r="N37" i="37" s="1"/>
  <c r="N12" i="64"/>
  <c r="N17" i="64"/>
  <c r="O9" i="64" s="1"/>
  <c r="O10" i="64" s="1"/>
  <c r="T9" i="54"/>
  <c r="U8" i="26"/>
  <c r="T7" i="26"/>
  <c r="N22" i="66"/>
  <c r="M36" i="37"/>
  <c r="M17" i="26" s="1"/>
  <c r="S2" i="26"/>
  <c r="H13" i="54"/>
  <c r="J15" i="62"/>
  <c r="N18" i="54"/>
  <c r="E25" i="26"/>
  <c r="E32" i="26" s="1"/>
  <c r="E38" i="26" s="1"/>
  <c r="E26" i="54"/>
  <c r="M42" i="66"/>
  <c r="M44" i="66" s="1"/>
  <c r="M48" i="66" s="1"/>
  <c r="M23" i="66"/>
  <c r="M32" i="66" s="1"/>
  <c r="J40" i="26"/>
  <c r="J3" i="60"/>
  <c r="L15" i="26"/>
  <c r="K12" i="26"/>
  <c r="I27" i="62"/>
  <c r="I28" i="62" s="1"/>
  <c r="O18" i="54" l="1"/>
  <c r="K40" i="26"/>
  <c r="K3" i="60"/>
  <c r="E29" i="54"/>
  <c r="E31" i="54" s="1"/>
  <c r="M15" i="26"/>
  <c r="L12" i="26"/>
  <c r="J17" i="62"/>
  <c r="P13" i="26"/>
  <c r="O22" i="66"/>
  <c r="N36" i="37"/>
  <c r="N17" i="26" s="1"/>
  <c r="H21" i="54"/>
  <c r="H23" i="54" s="1"/>
  <c r="T2" i="26"/>
  <c r="L20" i="54"/>
  <c r="O12" i="64"/>
  <c r="O17" i="64"/>
  <c r="P9" i="64" s="1"/>
  <c r="P10" i="64" s="1"/>
  <c r="O13" i="64"/>
  <c r="O37" i="37" s="1"/>
  <c r="U9" i="54"/>
  <c r="V8" i="26"/>
  <c r="U7" i="26"/>
  <c r="F5" i="26"/>
  <c r="E7" i="54"/>
  <c r="E10" i="54" s="1"/>
  <c r="E15" i="54" s="1"/>
  <c r="N42" i="66"/>
  <c r="N44" i="66" s="1"/>
  <c r="N48" i="66" s="1"/>
  <c r="N23" i="66"/>
  <c r="N32" i="66" s="1"/>
  <c r="H38" i="37"/>
  <c r="H35" i="37" s="1"/>
  <c r="H40" i="37" s="1"/>
  <c r="H36" i="26" s="1"/>
  <c r="P18" i="54" l="1"/>
  <c r="M20" i="54"/>
  <c r="E33" i="54"/>
  <c r="U2" i="26"/>
  <c r="F23" i="26"/>
  <c r="F28" i="26" s="1"/>
  <c r="F19" i="26"/>
  <c r="Q13" i="26"/>
  <c r="N15" i="26"/>
  <c r="M12" i="26"/>
  <c r="O23" i="66"/>
  <c r="O32" i="66" s="1"/>
  <c r="O42" i="66"/>
  <c r="O44" i="66" s="1"/>
  <c r="O48" i="66" s="1"/>
  <c r="W8" i="26"/>
  <c r="V7" i="26"/>
  <c r="V9" i="54"/>
  <c r="J18" i="62"/>
  <c r="J26" i="62"/>
  <c r="I29" i="37"/>
  <c r="H28" i="54"/>
  <c r="H34" i="26"/>
  <c r="H27" i="54"/>
  <c r="H8" i="54"/>
  <c r="P13" i="64"/>
  <c r="P37" i="37" s="1"/>
  <c r="P17" i="64"/>
  <c r="Q9" i="64" s="1"/>
  <c r="Q10" i="64" s="1"/>
  <c r="P12" i="64"/>
  <c r="P22" i="66"/>
  <c r="O36" i="37"/>
  <c r="O17" i="26" s="1"/>
  <c r="L40" i="26"/>
  <c r="L3" i="60"/>
  <c r="P42" i="66" l="1"/>
  <c r="P44" i="66" s="1"/>
  <c r="P48" i="66" s="1"/>
  <c r="P23" i="66"/>
  <c r="P32" i="66" s="1"/>
  <c r="W7" i="26"/>
  <c r="X8" i="26"/>
  <c r="O15" i="26"/>
  <c r="N12" i="26"/>
  <c r="Q13" i="64"/>
  <c r="Q37" i="37" s="1"/>
  <c r="Q17" i="64"/>
  <c r="R9" i="64" s="1"/>
  <c r="R10" i="64" s="1"/>
  <c r="Q12" i="64"/>
  <c r="I30" i="37"/>
  <c r="I33" i="37" s="1"/>
  <c r="J19" i="62"/>
  <c r="F25" i="26"/>
  <c r="F32" i="26" s="1"/>
  <c r="F38" i="26" s="1"/>
  <c r="F26" i="54"/>
  <c r="Q22" i="66"/>
  <c r="P36" i="37"/>
  <c r="P17" i="26" s="1"/>
  <c r="J27" i="62"/>
  <c r="I38" i="37" s="1"/>
  <c r="I35" i="37" s="1"/>
  <c r="W9" i="54"/>
  <c r="R13" i="26"/>
  <c r="M40" i="26"/>
  <c r="M3" i="60"/>
  <c r="V2" i="26"/>
  <c r="Q18" i="54"/>
  <c r="N20" i="54"/>
  <c r="X9" i="54" l="1"/>
  <c r="J28" i="62"/>
  <c r="I21" i="54" s="1"/>
  <c r="I23" i="54" s="1"/>
  <c r="F29" i="54"/>
  <c r="F31" i="54" s="1"/>
  <c r="I13" i="54"/>
  <c r="K15" i="62"/>
  <c r="G5" i="26"/>
  <c r="F7" i="54"/>
  <c r="F10" i="54" s="1"/>
  <c r="F15" i="54" s="1"/>
  <c r="Y8" i="26"/>
  <c r="X7" i="26"/>
  <c r="P15" i="26"/>
  <c r="O12" i="26"/>
  <c r="I40" i="37"/>
  <c r="I36" i="26" s="1"/>
  <c r="Q36" i="37"/>
  <c r="Q17" i="26" s="1"/>
  <c r="R22" i="66"/>
  <c r="W2" i="26"/>
  <c r="S13" i="26"/>
  <c r="N40" i="26"/>
  <c r="N3" i="60"/>
  <c r="R13" i="64"/>
  <c r="R37" i="37" s="1"/>
  <c r="R17" i="64"/>
  <c r="S9" i="64" s="1"/>
  <c r="S10" i="64" s="1"/>
  <c r="R12" i="64"/>
  <c r="O20" i="54"/>
  <c r="R18" i="54"/>
  <c r="Q42" i="66"/>
  <c r="Q44" i="66" s="1"/>
  <c r="Q48" i="66" s="1"/>
  <c r="Q23" i="66"/>
  <c r="Q32" i="66" s="1"/>
  <c r="F33" i="54" l="1"/>
  <c r="P20" i="54"/>
  <c r="S18" i="54"/>
  <c r="O40" i="26"/>
  <c r="O3" i="60"/>
  <c r="T13" i="26"/>
  <c r="I28" i="54"/>
  <c r="I34" i="26"/>
  <c r="I8" i="54"/>
  <c r="I27" i="54"/>
  <c r="K17" i="62"/>
  <c r="X2" i="26"/>
  <c r="R23" i="66"/>
  <c r="R32" i="66" s="1"/>
  <c r="R42" i="66"/>
  <c r="R44" i="66" s="1"/>
  <c r="R48" i="66" s="1"/>
  <c r="S22" i="66"/>
  <c r="R36" i="37"/>
  <c r="R17" i="26" s="1"/>
  <c r="G23" i="26"/>
  <c r="G28" i="26" s="1"/>
  <c r="G19" i="26"/>
  <c r="Y7" i="26"/>
  <c r="Z8" i="26"/>
  <c r="S17" i="64"/>
  <c r="T9" i="64" s="1"/>
  <c r="T10" i="64" s="1"/>
  <c r="S13" i="64"/>
  <c r="S37" i="37" s="1"/>
  <c r="S12" i="64"/>
  <c r="Q15" i="26"/>
  <c r="P12" i="26"/>
  <c r="Y9" i="54"/>
  <c r="G25" i="26" l="1"/>
  <c r="G32" i="26" s="1"/>
  <c r="G38" i="26" s="1"/>
  <c r="G26" i="54"/>
  <c r="T17" i="64"/>
  <c r="U9" i="64" s="1"/>
  <c r="U10" i="64" s="1"/>
  <c r="T13" i="64"/>
  <c r="T37" i="37" s="1"/>
  <c r="T12" i="64"/>
  <c r="U13" i="26"/>
  <c r="T18" i="54"/>
  <c r="T22" i="66"/>
  <c r="S36" i="37"/>
  <c r="S17" i="26" s="1"/>
  <c r="S42" i="66"/>
  <c r="S44" i="66" s="1"/>
  <c r="S48" i="66" s="1"/>
  <c r="S23" i="66"/>
  <c r="S32" i="66" s="1"/>
  <c r="AA8" i="26"/>
  <c r="Z7" i="26"/>
  <c r="Z9" i="54"/>
  <c r="Y2" i="26"/>
  <c r="R15" i="26"/>
  <c r="Q12" i="26"/>
  <c r="K18" i="62"/>
  <c r="J29" i="37"/>
  <c r="K26" i="62"/>
  <c r="P40" i="26"/>
  <c r="P3" i="60"/>
  <c r="Q20" i="54"/>
  <c r="T36" i="37" l="1"/>
  <c r="T17" i="26" s="1"/>
  <c r="U22" i="66"/>
  <c r="AA7" i="26"/>
  <c r="AB8" i="26"/>
  <c r="U12" i="64"/>
  <c r="U13" i="64"/>
  <c r="U37" i="37" s="1"/>
  <c r="U17" i="64"/>
  <c r="V9" i="64" s="1"/>
  <c r="V10" i="64" s="1"/>
  <c r="S15" i="26"/>
  <c r="R12" i="26"/>
  <c r="V13" i="26"/>
  <c r="G29" i="54"/>
  <c r="G31" i="54" s="1"/>
  <c r="R20" i="54"/>
  <c r="AA9" i="54"/>
  <c r="T42" i="66"/>
  <c r="T44" i="66" s="1"/>
  <c r="T48" i="66" s="1"/>
  <c r="T23" i="66"/>
  <c r="T32" i="66" s="1"/>
  <c r="K27" i="62"/>
  <c r="K28" i="62" s="1"/>
  <c r="J30" i="37"/>
  <c r="J33" i="37" s="1"/>
  <c r="K19" i="62"/>
  <c r="Q3" i="60"/>
  <c r="Q40" i="26"/>
  <c r="Z2" i="26"/>
  <c r="U18" i="54"/>
  <c r="H5" i="26"/>
  <c r="G7" i="54"/>
  <c r="G10" i="54" s="1"/>
  <c r="G15" i="54" s="1"/>
  <c r="AB9" i="54" l="1"/>
  <c r="V18" i="54"/>
  <c r="G33" i="54"/>
  <c r="T15" i="26"/>
  <c r="S12" i="26"/>
  <c r="S20" i="54"/>
  <c r="AC8" i="26"/>
  <c r="AB7" i="26"/>
  <c r="L15" i="62"/>
  <c r="J13" i="54"/>
  <c r="U36" i="37"/>
  <c r="U17" i="26" s="1"/>
  <c r="V22" i="66"/>
  <c r="AA2" i="26"/>
  <c r="V13" i="64"/>
  <c r="V37" i="37" s="1"/>
  <c r="V12" i="64"/>
  <c r="V17" i="64"/>
  <c r="W9" i="64" s="1"/>
  <c r="W10" i="64" s="1"/>
  <c r="J38" i="37"/>
  <c r="J35" i="37" s="1"/>
  <c r="J40" i="37" s="1"/>
  <c r="W13" i="26"/>
  <c r="U23" i="66"/>
  <c r="U32" i="66" s="1"/>
  <c r="U42" i="66"/>
  <c r="U44" i="66" s="1"/>
  <c r="U48" i="66" s="1"/>
  <c r="J21" i="54"/>
  <c r="J23" i="54" s="1"/>
  <c r="H23" i="26"/>
  <c r="H28" i="26" s="1"/>
  <c r="H19" i="26"/>
  <c r="R3" i="60"/>
  <c r="R40" i="26"/>
  <c r="W18" i="54" l="1"/>
  <c r="AC9" i="54"/>
  <c r="T20" i="54"/>
  <c r="H25" i="26"/>
  <c r="H32" i="26" s="1"/>
  <c r="H38" i="26" s="1"/>
  <c r="H26" i="54"/>
  <c r="X13" i="26"/>
  <c r="AC7" i="26"/>
  <c r="AD8" i="26"/>
  <c r="J36" i="26"/>
  <c r="J28" i="54" s="1"/>
  <c r="W13" i="64"/>
  <c r="W37" i="37" s="1"/>
  <c r="W12" i="64"/>
  <c r="W17" i="64"/>
  <c r="X9" i="64" s="1"/>
  <c r="X10" i="64" s="1"/>
  <c r="V42" i="66"/>
  <c r="V44" i="66" s="1"/>
  <c r="V48" i="66" s="1"/>
  <c r="V23" i="66"/>
  <c r="V32" i="66" s="1"/>
  <c r="S3" i="60"/>
  <c r="S40" i="26"/>
  <c r="L17" i="62"/>
  <c r="AB2" i="26"/>
  <c r="W22" i="66"/>
  <c r="V36" i="37"/>
  <c r="V17" i="26" s="1"/>
  <c r="U15" i="26"/>
  <c r="T12" i="26"/>
  <c r="W36" i="37" l="1"/>
  <c r="W17" i="26" s="1"/>
  <c r="X22" i="66"/>
  <c r="AC2" i="26"/>
  <c r="T3" i="60"/>
  <c r="T40" i="26"/>
  <c r="V15" i="26"/>
  <c r="U12" i="26"/>
  <c r="I5" i="26"/>
  <c r="H7" i="54"/>
  <c r="H10" i="54" s="1"/>
  <c r="H15" i="54" s="1"/>
  <c r="AE8" i="26"/>
  <c r="AD7" i="26"/>
  <c r="X13" i="64"/>
  <c r="X37" i="37" s="1"/>
  <c r="X17" i="64"/>
  <c r="Y9" i="64" s="1"/>
  <c r="Y10" i="64" s="1"/>
  <c r="X12" i="64"/>
  <c r="Y13" i="26"/>
  <c r="H29" i="54"/>
  <c r="H31" i="54" s="1"/>
  <c r="AD9" i="54"/>
  <c r="L18" i="62"/>
  <c r="L26" i="62"/>
  <c r="K29" i="37"/>
  <c r="W42" i="66"/>
  <c r="W44" i="66" s="1"/>
  <c r="W48" i="66" s="1"/>
  <c r="W23" i="66"/>
  <c r="W32" i="66" s="1"/>
  <c r="J34" i="26"/>
  <c r="J27" i="54"/>
  <c r="J8" i="54"/>
  <c r="U20" i="54"/>
  <c r="X18" i="54"/>
  <c r="V20" i="54" l="1"/>
  <c r="H33" i="54"/>
  <c r="I19" i="26"/>
  <c r="I23" i="26"/>
  <c r="I28" i="26" s="1"/>
  <c r="Y18" i="54"/>
  <c r="X36" i="37"/>
  <c r="X17" i="26" s="1"/>
  <c r="Y22" i="66"/>
  <c r="W15" i="26"/>
  <c r="V12" i="26"/>
  <c r="U3" i="60"/>
  <c r="U40" i="26"/>
  <c r="Y12" i="64"/>
  <c r="Y13" i="64"/>
  <c r="Y37" i="37" s="1"/>
  <c r="Y17" i="64"/>
  <c r="Z9" i="64" s="1"/>
  <c r="Z10" i="64" s="1"/>
  <c r="K30" i="37"/>
  <c r="K33" i="37" s="1"/>
  <c r="L19" i="62"/>
  <c r="X42" i="66"/>
  <c r="X44" i="66" s="1"/>
  <c r="X48" i="66" s="1"/>
  <c r="X23" i="66"/>
  <c r="X32" i="66" s="1"/>
  <c r="AE7" i="26"/>
  <c r="AF8" i="26"/>
  <c r="Z13" i="26"/>
  <c r="L27" i="62"/>
  <c r="K38" i="37" s="1"/>
  <c r="K35" i="37" s="1"/>
  <c r="AE9" i="54"/>
  <c r="AD2" i="26"/>
  <c r="AF9" i="54" l="1"/>
  <c r="L28" i="62"/>
  <c r="K21" i="54" s="1"/>
  <c r="K23" i="54" s="1"/>
  <c r="Y23" i="66"/>
  <c r="Y32" i="66" s="1"/>
  <c r="Y42" i="66"/>
  <c r="Y44" i="66" s="1"/>
  <c r="Y48" i="66" s="1"/>
  <c r="Y36" i="37"/>
  <c r="Y17" i="26" s="1"/>
  <c r="Z22" i="66"/>
  <c r="Z18" i="54"/>
  <c r="X15" i="26"/>
  <c r="W12" i="26"/>
  <c r="AA13" i="26"/>
  <c r="I25" i="26"/>
  <c r="I32" i="26" s="1"/>
  <c r="I38" i="26" s="1"/>
  <c r="I26" i="54"/>
  <c r="Z12" i="64"/>
  <c r="Z13" i="64"/>
  <c r="Z37" i="37" s="1"/>
  <c r="Z17" i="64"/>
  <c r="AA9" i="64" s="1"/>
  <c r="AA10" i="64" s="1"/>
  <c r="AG8" i="26"/>
  <c r="AF7" i="26"/>
  <c r="AE2" i="26"/>
  <c r="K40" i="37"/>
  <c r="M15" i="62"/>
  <c r="K13" i="54"/>
  <c r="W20" i="54"/>
  <c r="V3" i="60"/>
  <c r="V40" i="26"/>
  <c r="AA18" i="54" l="1"/>
  <c r="W40" i="26"/>
  <c r="W3" i="60"/>
  <c r="I29" i="54"/>
  <c r="I31" i="54" s="1"/>
  <c r="AH8" i="26"/>
  <c r="AG7" i="26"/>
  <c r="Z36" i="37"/>
  <c r="Z17" i="26" s="1"/>
  <c r="AA22" i="66"/>
  <c r="AG9" i="54"/>
  <c r="Y15" i="26"/>
  <c r="X12" i="26"/>
  <c r="Z23" i="66"/>
  <c r="Z32" i="66" s="1"/>
  <c r="Z42" i="66"/>
  <c r="Z44" i="66" s="1"/>
  <c r="Z48" i="66" s="1"/>
  <c r="AA13" i="64"/>
  <c r="AA37" i="37" s="1"/>
  <c r="AA17" i="64"/>
  <c r="AB9" i="64" s="1"/>
  <c r="AB10" i="64" s="1"/>
  <c r="AA12" i="64"/>
  <c r="X20" i="54"/>
  <c r="I7" i="54"/>
  <c r="I10" i="54" s="1"/>
  <c r="I15" i="54" s="1"/>
  <c r="J5" i="26"/>
  <c r="M17" i="62"/>
  <c r="K36" i="26"/>
  <c r="K28" i="54" s="1"/>
  <c r="AF2" i="26"/>
  <c r="AB13" i="26"/>
  <c r="AI8" i="26" l="1"/>
  <c r="AH7" i="26"/>
  <c r="AC13" i="26"/>
  <c r="M18" i="62"/>
  <c r="M26" i="62"/>
  <c r="L29" i="37"/>
  <c r="AB18" i="54"/>
  <c r="J19" i="26"/>
  <c r="J23" i="26"/>
  <c r="J28" i="26" s="1"/>
  <c r="Y20" i="54"/>
  <c r="AA23" i="66"/>
  <c r="AA32" i="66" s="1"/>
  <c r="AA42" i="66"/>
  <c r="AA44" i="66" s="1"/>
  <c r="AA48" i="66" s="1"/>
  <c r="X3" i="60"/>
  <c r="X40" i="26"/>
  <c r="Z15" i="26"/>
  <c r="Y12" i="26"/>
  <c r="AH9" i="54"/>
  <c r="AI9" i="54" s="1"/>
  <c r="AB12" i="64"/>
  <c r="AB17" i="64"/>
  <c r="AC9" i="64" s="1"/>
  <c r="AC10" i="64" s="1"/>
  <c r="AB13" i="64"/>
  <c r="AB37" i="37" s="1"/>
  <c r="I33" i="54"/>
  <c r="AA36" i="37"/>
  <c r="AA17" i="26" s="1"/>
  <c r="AB22" i="66"/>
  <c r="K34" i="26"/>
  <c r="K27" i="54"/>
  <c r="K8" i="54"/>
  <c r="AG2" i="26"/>
  <c r="AC18" i="54" l="1"/>
  <c r="Z20" i="54"/>
  <c r="M27" i="62"/>
  <c r="M28" i="62" s="1"/>
  <c r="AC13" i="64"/>
  <c r="AC37" i="37" s="1"/>
  <c r="AC17" i="64"/>
  <c r="AD9" i="64" s="1"/>
  <c r="AD10" i="64" s="1"/>
  <c r="AC12" i="64"/>
  <c r="L30" i="37"/>
  <c r="L33" i="37" s="1"/>
  <c r="M19" i="62"/>
  <c r="AD13" i="26"/>
  <c r="AB36" i="37"/>
  <c r="AB17" i="26" s="1"/>
  <c r="AC22" i="66"/>
  <c r="AB23" i="66"/>
  <c r="AB32" i="66" s="1"/>
  <c r="AB42" i="66"/>
  <c r="AB44" i="66" s="1"/>
  <c r="AB48" i="66" s="1"/>
  <c r="J25" i="26"/>
  <c r="J32" i="26" s="1"/>
  <c r="J38" i="26" s="1"/>
  <c r="J26" i="54"/>
  <c r="AH2" i="26"/>
  <c r="Y40" i="26"/>
  <c r="Y3" i="60"/>
  <c r="AA15" i="26"/>
  <c r="Z12" i="26"/>
  <c r="AJ8" i="26"/>
  <c r="AJ9" i="54" s="1"/>
  <c r="AI7" i="26"/>
  <c r="Z40" i="26" l="1"/>
  <c r="Z3" i="60"/>
  <c r="AC42" i="66"/>
  <c r="AC44" i="66" s="1"/>
  <c r="AC48" i="66" s="1"/>
  <c r="AC23" i="66"/>
  <c r="AC32" i="66" s="1"/>
  <c r="AB15" i="26"/>
  <c r="AA12" i="26"/>
  <c r="AD12" i="64"/>
  <c r="AD13" i="64"/>
  <c r="AD37" i="37" s="1"/>
  <c r="AD17" i="64"/>
  <c r="AE9" i="64" s="1"/>
  <c r="AE10" i="64" s="1"/>
  <c r="J29" i="54"/>
  <c r="J31" i="54" s="1"/>
  <c r="AE13" i="26"/>
  <c r="AC36" i="37"/>
  <c r="AC17" i="26" s="1"/>
  <c r="AD22" i="66"/>
  <c r="K5" i="26"/>
  <c r="J7" i="54"/>
  <c r="J10" i="54" s="1"/>
  <c r="J15" i="54" s="1"/>
  <c r="AA20" i="54"/>
  <c r="L21" i="54"/>
  <c r="L23" i="54" s="1"/>
  <c r="AI2" i="26"/>
  <c r="AJ7" i="26"/>
  <c r="AK8" i="26"/>
  <c r="AD18" i="54"/>
  <c r="N15" i="62"/>
  <c r="L13" i="54"/>
  <c r="L38" i="37"/>
  <c r="L35" i="37" s="1"/>
  <c r="L40" i="37" s="1"/>
  <c r="L36" i="26" s="1"/>
  <c r="AE18" i="54" l="1"/>
  <c r="AA40" i="26"/>
  <c r="AA3" i="60"/>
  <c r="AJ2" i="26"/>
  <c r="AK7" i="26"/>
  <c r="B8" i="26"/>
  <c r="AK9" i="54"/>
  <c r="AB20" i="54"/>
  <c r="AE17" i="64"/>
  <c r="AF9" i="64" s="1"/>
  <c r="AF10" i="64" s="1"/>
  <c r="AE12" i="64"/>
  <c r="AE13" i="64"/>
  <c r="AE37" i="37" s="1"/>
  <c r="AC15" i="26"/>
  <c r="AB12" i="26"/>
  <c r="L28" i="54"/>
  <c r="L34" i="26"/>
  <c r="L27" i="54"/>
  <c r="L8" i="54"/>
  <c r="K23" i="26"/>
  <c r="K28" i="26" s="1"/>
  <c r="K19" i="26"/>
  <c r="AF13" i="26"/>
  <c r="J33" i="54"/>
  <c r="N17" i="62"/>
  <c r="N18" i="62" s="1"/>
  <c r="M30" i="37" s="1"/>
  <c r="AD42" i="66"/>
  <c r="AD44" i="66" s="1"/>
  <c r="AD48" i="66" s="1"/>
  <c r="AD23" i="66"/>
  <c r="AD32" i="66" s="1"/>
  <c r="AD36" i="37"/>
  <c r="AD17" i="26" s="1"/>
  <c r="AE22" i="66"/>
  <c r="AC20" i="54" l="1"/>
  <c r="AE36" i="37"/>
  <c r="AE17" i="26" s="1"/>
  <c r="AF22" i="66"/>
  <c r="AF12" i="64"/>
  <c r="AF13" i="64"/>
  <c r="AF37" i="37" s="1"/>
  <c r="AF17" i="64"/>
  <c r="AG9" i="64" s="1"/>
  <c r="AG10" i="64" s="1"/>
  <c r="N19" i="62"/>
  <c r="N26" i="62"/>
  <c r="M29" i="37"/>
  <c r="M33" i="37" s="1"/>
  <c r="AE23" i="66"/>
  <c r="AE32" i="66" s="1"/>
  <c r="AE42" i="66"/>
  <c r="AE44" i="66" s="1"/>
  <c r="AE48" i="66" s="1"/>
  <c r="AB3" i="60"/>
  <c r="AB40" i="26"/>
  <c r="AK2" i="26"/>
  <c r="B7" i="26"/>
  <c r="K25" i="26"/>
  <c r="K32" i="26" s="1"/>
  <c r="K38" i="26" s="1"/>
  <c r="K26" i="54"/>
  <c r="AG13" i="26"/>
  <c r="AD15" i="26"/>
  <c r="AD20" i="54" s="1"/>
  <c r="AC12" i="26"/>
  <c r="AF18" i="54"/>
  <c r="AG18" i="54" l="1"/>
  <c r="K29" i="54"/>
  <c r="K31" i="54" s="1"/>
  <c r="AG17" i="64"/>
  <c r="AH9" i="64" s="1"/>
  <c r="AH10" i="64" s="1"/>
  <c r="AG13" i="64"/>
  <c r="AG37" i="37" s="1"/>
  <c r="AG12" i="64"/>
  <c r="AC3" i="60"/>
  <c r="AC40" i="26"/>
  <c r="AE15" i="26"/>
  <c r="AD12" i="26"/>
  <c r="L5" i="26"/>
  <c r="K7" i="54"/>
  <c r="K10" i="54" s="1"/>
  <c r="K15" i="54" s="1"/>
  <c r="AH13" i="26"/>
  <c r="AF42" i="66"/>
  <c r="AF44" i="66" s="1"/>
  <c r="AF48" i="66" s="1"/>
  <c r="AF23" i="66"/>
  <c r="AF32" i="66" s="1"/>
  <c r="O15" i="62"/>
  <c r="M13" i="54"/>
  <c r="AG22" i="66"/>
  <c r="AF36" i="37"/>
  <c r="AF17" i="26" s="1"/>
  <c r="N27" i="62"/>
  <c r="M38" i="37" s="1"/>
  <c r="M35" i="37" s="1"/>
  <c r="M40" i="37" s="1"/>
  <c r="K33" i="54" l="1"/>
  <c r="AH18" i="54"/>
  <c r="M36" i="26"/>
  <c r="L23" i="26"/>
  <c r="L28" i="26" s="1"/>
  <c r="L19" i="26"/>
  <c r="AG36" i="37"/>
  <c r="AG17" i="26" s="1"/>
  <c r="AH22" i="66"/>
  <c r="AF15" i="26"/>
  <c r="AE12" i="26"/>
  <c r="AG42" i="66"/>
  <c r="AG44" i="66" s="1"/>
  <c r="AG48" i="66" s="1"/>
  <c r="AG23" i="66"/>
  <c r="AG32" i="66" s="1"/>
  <c r="AH12" i="64"/>
  <c r="AH17" i="64"/>
  <c r="AI9" i="64" s="1"/>
  <c r="AI10" i="64" s="1"/>
  <c r="AH13" i="64"/>
  <c r="AH37" i="37" s="1"/>
  <c r="AE20" i="54"/>
  <c r="AD3" i="60"/>
  <c r="AD40" i="26"/>
  <c r="O17" i="62"/>
  <c r="O18" i="62" s="1"/>
  <c r="N30" i="37" s="1"/>
  <c r="N28" i="62"/>
  <c r="AI13" i="26"/>
  <c r="AE40" i="26" l="1"/>
  <c r="AE3" i="60"/>
  <c r="AG15" i="26"/>
  <c r="AF12" i="26"/>
  <c r="AJ13" i="26"/>
  <c r="AH42" i="66"/>
  <c r="AH44" i="66" s="1"/>
  <c r="AH48" i="66" s="1"/>
  <c r="AH23" i="66"/>
  <c r="AH32" i="66" s="1"/>
  <c r="O19" i="62"/>
  <c r="M21" i="54"/>
  <c r="M23" i="54" s="1"/>
  <c r="AF20" i="54"/>
  <c r="L25" i="26"/>
  <c r="L32" i="26" s="1"/>
  <c r="L38" i="26" s="1"/>
  <c r="L26" i="54"/>
  <c r="AI13" i="64"/>
  <c r="AI37" i="37" s="1"/>
  <c r="AI12" i="64"/>
  <c r="AI17" i="64"/>
  <c r="AJ9" i="64" s="1"/>
  <c r="AJ10" i="64" s="1"/>
  <c r="AI22" i="66"/>
  <c r="AH36" i="37"/>
  <c r="AH17" i="26" s="1"/>
  <c r="AI18" i="54"/>
  <c r="O26" i="62"/>
  <c r="O27" i="62" s="1"/>
  <c r="N38" i="37" s="1"/>
  <c r="N35" i="37" s="1"/>
  <c r="N29" i="37"/>
  <c r="N33" i="37" s="1"/>
  <c r="M27" i="54"/>
  <c r="M8" i="54"/>
  <c r="AG20" i="54" l="1"/>
  <c r="O28" i="62"/>
  <c r="N21" i="54" s="1"/>
  <c r="N23" i="54" s="1"/>
  <c r="N40" i="37"/>
  <c r="N36" i="26" s="1"/>
  <c r="N27" i="54" s="1"/>
  <c r="AJ18" i="54"/>
  <c r="AJ12" i="64"/>
  <c r="AJ13" i="64"/>
  <c r="AJ37" i="37" s="1"/>
  <c r="AJ17" i="64"/>
  <c r="AK9" i="64" s="1"/>
  <c r="AK10" i="64" s="1"/>
  <c r="AK13" i="26"/>
  <c r="AH15" i="26"/>
  <c r="AH20" i="54" s="1"/>
  <c r="AG12" i="26"/>
  <c r="N13" i="54"/>
  <c r="P15" i="62"/>
  <c r="L7" i="54"/>
  <c r="L10" i="54" s="1"/>
  <c r="L15" i="54" s="1"/>
  <c r="M5" i="26"/>
  <c r="AI23" i="66"/>
  <c r="AI32" i="66" s="1"/>
  <c r="AI42" i="66"/>
  <c r="AI44" i="66" s="1"/>
  <c r="AI48" i="66" s="1"/>
  <c r="AF3" i="60"/>
  <c r="AF40" i="26"/>
  <c r="AI36" i="37"/>
  <c r="AI17" i="26" s="1"/>
  <c r="AJ22" i="66"/>
  <c r="L29" i="54"/>
  <c r="L31" i="54" s="1"/>
  <c r="N8" i="54" l="1"/>
  <c r="L33" i="54"/>
  <c r="B13" i="26"/>
  <c r="AK18" i="54"/>
  <c r="AK17" i="64"/>
  <c r="AK13" i="64"/>
  <c r="AK37" i="37" s="1"/>
  <c r="B37" i="37" s="1"/>
  <c r="AK12" i="64"/>
  <c r="P17" i="62"/>
  <c r="AJ23" i="66"/>
  <c r="AJ32" i="66" s="1"/>
  <c r="AJ42" i="66"/>
  <c r="AJ44" i="66" s="1"/>
  <c r="AJ48" i="66" s="1"/>
  <c r="AG3" i="60"/>
  <c r="AG40" i="26"/>
  <c r="AI15" i="26"/>
  <c r="AH12" i="26"/>
  <c r="M19" i="26"/>
  <c r="M23" i="26"/>
  <c r="M28" i="26" s="1"/>
  <c r="AK22" i="66"/>
  <c r="AJ36" i="37"/>
  <c r="AJ17" i="26" s="1"/>
  <c r="AK36" i="37" l="1"/>
  <c r="AL22" i="66"/>
  <c r="M25" i="26"/>
  <c r="M32" i="26" s="1"/>
  <c r="M35" i="26" s="1"/>
  <c r="M26" i="54"/>
  <c r="AH40" i="26"/>
  <c r="AH3" i="60"/>
  <c r="AJ15" i="26"/>
  <c r="AI12" i="26"/>
  <c r="AK42" i="66"/>
  <c r="AK44" i="66" s="1"/>
  <c r="AK48" i="66" s="1"/>
  <c r="AK23" i="66"/>
  <c r="AK32" i="66" s="1"/>
  <c r="P18" i="62"/>
  <c r="P26" i="62"/>
  <c r="O29" i="37"/>
  <c r="AI20" i="54"/>
  <c r="AJ20" i="54" l="1"/>
  <c r="O30" i="37"/>
  <c r="O33" i="37" s="1"/>
  <c r="P19" i="62"/>
  <c r="AL23" i="66"/>
  <c r="AL42" i="66"/>
  <c r="C22" i="66"/>
  <c r="P27" i="62"/>
  <c r="O38" i="37" s="1"/>
  <c r="O35" i="37" s="1"/>
  <c r="M34" i="26"/>
  <c r="M38" i="26" s="1"/>
  <c r="M28" i="54"/>
  <c r="M29" i="54" s="1"/>
  <c r="M31" i="54" s="1"/>
  <c r="AI40" i="26"/>
  <c r="AI3" i="60"/>
  <c r="AK15" i="26"/>
  <c r="AJ12" i="26"/>
  <c r="AK17" i="26"/>
  <c r="B17" i="26" s="1"/>
  <c r="B36" i="37"/>
  <c r="P28" i="62" l="1"/>
  <c r="O21" i="54" s="1"/>
  <c r="O23" i="54" s="1"/>
  <c r="AL44" i="66"/>
  <c r="C42" i="66"/>
  <c r="N5" i="26"/>
  <c r="M7" i="54"/>
  <c r="M10" i="54" s="1"/>
  <c r="M15" i="54" s="1"/>
  <c r="M33" i="54" s="1"/>
  <c r="AL32" i="66"/>
  <c r="C32" i="66" s="1"/>
  <c r="C52" i="66" s="1"/>
  <c r="C23" i="66"/>
  <c r="Q15" i="62"/>
  <c r="O13" i="54"/>
  <c r="O40" i="37"/>
  <c r="O36" i="26" s="1"/>
  <c r="AJ40" i="26"/>
  <c r="AJ3" i="60"/>
  <c r="B15" i="26"/>
  <c r="AK12" i="26"/>
  <c r="AK20" i="54"/>
  <c r="N19" i="26" l="1"/>
  <c r="N23" i="26"/>
  <c r="N28" i="26" s="1"/>
  <c r="B12" i="26"/>
  <c r="B19" i="26" s="1"/>
  <c r="B23" i="26" s="1"/>
  <c r="AK3" i="60"/>
  <c r="AK40" i="26"/>
  <c r="O27" i="54"/>
  <c r="O8" i="54"/>
  <c r="Q17" i="62"/>
  <c r="Q18" i="62" s="1"/>
  <c r="P30" i="37" s="1"/>
  <c r="AL48" i="66"/>
  <c r="C48" i="66" s="1"/>
  <c r="C53" i="66" s="1"/>
  <c r="C54" i="66" s="1"/>
  <c r="C44" i="66"/>
  <c r="B42" i="26" l="1"/>
  <c r="B43" i="26"/>
  <c r="B40" i="26"/>
  <c r="C6" i="60"/>
  <c r="C5" i="60"/>
  <c r="C379" i="19" s="1"/>
  <c r="C8" i="60"/>
  <c r="C7" i="60"/>
  <c r="N25" i="26"/>
  <c r="N32" i="26" s="1"/>
  <c r="N35" i="26" s="1"/>
  <c r="N26" i="54"/>
  <c r="Q19" i="62"/>
  <c r="P29" i="37"/>
  <c r="P33" i="37" s="1"/>
  <c r="Q26" i="62"/>
  <c r="N34" i="26" l="1"/>
  <c r="N38" i="26" s="1"/>
  <c r="N28" i="54"/>
  <c r="R15" i="62"/>
  <c r="P13" i="54"/>
  <c r="Q27" i="62"/>
  <c r="P38" i="37" s="1"/>
  <c r="P35" i="37" s="1"/>
  <c r="P40" i="37" s="1"/>
  <c r="P36" i="26" s="1"/>
  <c r="M29" i="28"/>
  <c r="F16" i="47"/>
  <c r="Q28" i="62" l="1"/>
  <c r="P21" i="54" s="1"/>
  <c r="P23" i="54" s="1"/>
  <c r="P27" i="54"/>
  <c r="P8" i="54"/>
  <c r="R17" i="62"/>
  <c r="R18" i="62" s="1"/>
  <c r="Q30" i="37" s="1"/>
  <c r="N29" i="54"/>
  <c r="N31" i="54" s="1"/>
  <c r="N7" i="54"/>
  <c r="N10" i="54" s="1"/>
  <c r="N15" i="54" s="1"/>
  <c r="O5" i="26"/>
  <c r="N33" i="54" l="1"/>
  <c r="R26" i="62"/>
  <c r="Q29" i="37"/>
  <c r="Q33" i="37" s="1"/>
  <c r="R19" i="62"/>
  <c r="O23" i="26"/>
  <c r="O28" i="26" s="1"/>
  <c r="O19" i="26"/>
  <c r="O25" i="26" l="1"/>
  <c r="O32" i="26" s="1"/>
  <c r="O35" i="26" s="1"/>
  <c r="O26" i="54"/>
  <c r="Q13" i="54"/>
  <c r="S15" i="62"/>
  <c r="R27" i="62"/>
  <c r="R28" i="62" s="1"/>
  <c r="Q21" i="54" l="1"/>
  <c r="Q23" i="54" s="1"/>
  <c r="Q38" i="37"/>
  <c r="Q35" i="37" s="1"/>
  <c r="Q40" i="37" s="1"/>
  <c r="Q36" i="26" s="1"/>
  <c r="S17" i="62"/>
  <c r="O34" i="26"/>
  <c r="O38" i="26" s="1"/>
  <c r="O28" i="54"/>
  <c r="S18" i="62" l="1"/>
  <c r="R30" i="37" s="1"/>
  <c r="O29" i="54"/>
  <c r="O31" i="54" s="1"/>
  <c r="S26" i="62"/>
  <c r="R29" i="37"/>
  <c r="Q8" i="54"/>
  <c r="Q27" i="54"/>
  <c r="O7" i="54"/>
  <c r="O10" i="54" s="1"/>
  <c r="O15" i="54" s="1"/>
  <c r="P5" i="26"/>
  <c r="R33" i="37" l="1"/>
  <c r="S19" i="62"/>
  <c r="S27" i="62"/>
  <c r="R38" i="37" s="1"/>
  <c r="R35" i="37" s="1"/>
  <c r="P19" i="26"/>
  <c r="P23" i="26"/>
  <c r="P28" i="26" s="1"/>
  <c r="O33" i="54"/>
  <c r="R40" i="37" l="1"/>
  <c r="R36" i="26" s="1"/>
  <c r="R27" i="54" s="1"/>
  <c r="T15" i="62"/>
  <c r="R13" i="54"/>
  <c r="P25" i="26"/>
  <c r="P32" i="26" s="1"/>
  <c r="P35" i="26" s="1"/>
  <c r="P26" i="54"/>
  <c r="S28" i="62"/>
  <c r="R8" i="54" l="1"/>
  <c r="T17" i="62"/>
  <c r="R21" i="54"/>
  <c r="R23" i="54" s="1"/>
  <c r="P34" i="26"/>
  <c r="P38" i="26" s="1"/>
  <c r="P28" i="54"/>
  <c r="P29" i="54" s="1"/>
  <c r="P31" i="54" s="1"/>
  <c r="T26" i="62" l="1"/>
  <c r="S29" i="37"/>
  <c r="T18" i="62"/>
  <c r="S30" i="37" s="1"/>
  <c r="Q5" i="26"/>
  <c r="P7" i="54"/>
  <c r="P10" i="54" s="1"/>
  <c r="P15" i="54" s="1"/>
  <c r="P33" i="54" s="1"/>
  <c r="T19" i="62" l="1"/>
  <c r="S33" i="37"/>
  <c r="T27" i="62"/>
  <c r="T28" i="62" s="1"/>
  <c r="S21" i="54" s="1"/>
  <c r="S23" i="54" s="1"/>
  <c r="Q19" i="26"/>
  <c r="Q23" i="26"/>
  <c r="Q28" i="26" s="1"/>
  <c r="S38" i="37" l="1"/>
  <c r="S35" i="37" s="1"/>
  <c r="S40" i="37" s="1"/>
  <c r="S36" i="26" s="1"/>
  <c r="S27" i="54" s="1"/>
  <c r="S13" i="54"/>
  <c r="U15" i="62"/>
  <c r="Q25" i="26"/>
  <c r="Q32" i="26" s="1"/>
  <c r="Q35" i="26" s="1"/>
  <c r="Q26" i="54"/>
  <c r="S8" i="54" l="1"/>
  <c r="U17" i="62"/>
  <c r="U18" i="62" s="1"/>
  <c r="T30" i="37" s="1"/>
  <c r="Q34" i="26"/>
  <c r="Q38" i="26" s="1"/>
  <c r="Q28" i="54"/>
  <c r="U19" i="62" l="1"/>
  <c r="U26" i="62"/>
  <c r="T29" i="37"/>
  <c r="T33" i="37" s="1"/>
  <c r="Q7" i="54"/>
  <c r="Q10" i="54" s="1"/>
  <c r="Q15" i="54" s="1"/>
  <c r="R5" i="26"/>
  <c r="Q29" i="54"/>
  <c r="Q31" i="54" s="1"/>
  <c r="V15" i="62" l="1"/>
  <c r="V17" i="62" s="1"/>
  <c r="T13" i="54"/>
  <c r="U27" i="62"/>
  <c r="T38" i="37" s="1"/>
  <c r="T35" i="37" s="1"/>
  <c r="T40" i="37" s="1"/>
  <c r="T36" i="26" s="1"/>
  <c r="U29" i="37"/>
  <c r="V26" i="62"/>
  <c r="V18" i="62"/>
  <c r="U30" i="37" s="1"/>
  <c r="R19" i="26"/>
  <c r="R23" i="26"/>
  <c r="R28" i="26" s="1"/>
  <c r="Q33" i="54"/>
  <c r="U33" i="37" l="1"/>
  <c r="U28" i="62"/>
  <c r="T21" i="54" s="1"/>
  <c r="T23" i="54" s="1"/>
  <c r="T27" i="54"/>
  <c r="T8" i="54"/>
  <c r="V19" i="62"/>
  <c r="U13" i="54" s="1"/>
  <c r="R25" i="26"/>
  <c r="R32" i="26" s="1"/>
  <c r="R35" i="26" s="1"/>
  <c r="R26" i="54"/>
  <c r="V27" i="62" l="1"/>
  <c r="V28" i="62" s="1"/>
  <c r="U21" i="54" s="1"/>
  <c r="U23" i="54" s="1"/>
  <c r="W15" i="62"/>
  <c r="W17" i="62" s="1"/>
  <c r="R34" i="26"/>
  <c r="R38" i="26" s="1"/>
  <c r="R28" i="54"/>
  <c r="U38" i="37" l="1"/>
  <c r="U35" i="37" s="1"/>
  <c r="U40" i="37" s="1"/>
  <c r="U36" i="26" s="1"/>
  <c r="U27" i="54" s="1"/>
  <c r="R29" i="54"/>
  <c r="R31" i="54" s="1"/>
  <c r="V29" i="37"/>
  <c r="W26" i="62"/>
  <c r="S5" i="26"/>
  <c r="R7" i="54"/>
  <c r="R10" i="54" s="1"/>
  <c r="R15" i="54" s="1"/>
  <c r="W18" i="62"/>
  <c r="V30" i="37" s="1"/>
  <c r="V33" i="37" l="1"/>
  <c r="U8" i="54"/>
  <c r="R33" i="54"/>
  <c r="S19" i="26"/>
  <c r="S23" i="26"/>
  <c r="S28" i="26" s="1"/>
  <c r="W27" i="62"/>
  <c r="V38" i="37" s="1"/>
  <c r="V35" i="37" s="1"/>
  <c r="W19" i="62"/>
  <c r="V40" i="37" l="1"/>
  <c r="V36" i="26" s="1"/>
  <c r="V27" i="54" s="1"/>
  <c r="W28" i="62"/>
  <c r="V21" i="54" s="1"/>
  <c r="V23" i="54" s="1"/>
  <c r="V13" i="54"/>
  <c r="X15" i="62"/>
  <c r="S25" i="26"/>
  <c r="S32" i="26" s="1"/>
  <c r="S35" i="26" s="1"/>
  <c r="S26" i="54"/>
  <c r="V8" i="54" l="1"/>
  <c r="S34" i="26"/>
  <c r="S38" i="26" s="1"/>
  <c r="S28" i="54"/>
  <c r="S29" i="54" s="1"/>
  <c r="S31" i="54" s="1"/>
  <c r="X17" i="62"/>
  <c r="X18" i="62" l="1"/>
  <c r="X26" i="62"/>
  <c r="W29" i="37"/>
  <c r="T5" i="26"/>
  <c r="S7" i="54"/>
  <c r="S10" i="54" s="1"/>
  <c r="S15" i="54" s="1"/>
  <c r="S33" i="54" s="1"/>
  <c r="T19" i="26" l="1"/>
  <c r="T23" i="26"/>
  <c r="T28" i="26" s="1"/>
  <c r="X27" i="62"/>
  <c r="W38" i="37" s="1"/>
  <c r="W35" i="37" s="1"/>
  <c r="W30" i="37"/>
  <c r="W33" i="37" s="1"/>
  <c r="X19" i="62"/>
  <c r="X28" i="62" l="1"/>
  <c r="W21" i="54" s="1"/>
  <c r="W23" i="54" s="1"/>
  <c r="W13" i="54"/>
  <c r="Y15" i="62"/>
  <c r="W40" i="37"/>
  <c r="W36" i="26" s="1"/>
  <c r="T25" i="26"/>
  <c r="T32" i="26" s="1"/>
  <c r="T35" i="26" s="1"/>
  <c r="T26" i="54"/>
  <c r="W8" i="54" l="1"/>
  <c r="W27" i="54"/>
  <c r="T34" i="26"/>
  <c r="T38" i="26" s="1"/>
  <c r="T28" i="54"/>
  <c r="Y17" i="62"/>
  <c r="Y18" i="62" s="1"/>
  <c r="X30" i="37" s="1"/>
  <c r="U5" i="26" l="1"/>
  <c r="T7" i="54"/>
  <c r="T10" i="54" s="1"/>
  <c r="T15" i="54" s="1"/>
  <c r="Y19" i="62"/>
  <c r="Y26" i="62"/>
  <c r="X29" i="37"/>
  <c r="X33" i="37" s="1"/>
  <c r="T29" i="54"/>
  <c r="T31" i="54" s="1"/>
  <c r="Y27" i="62" l="1"/>
  <c r="Y28" i="62" s="1"/>
  <c r="X13" i="54"/>
  <c r="Z15" i="62"/>
  <c r="T33" i="54"/>
  <c r="U19" i="26"/>
  <c r="U23" i="26"/>
  <c r="U28" i="26" s="1"/>
  <c r="U25" i="26" l="1"/>
  <c r="U32" i="26" s="1"/>
  <c r="U35" i="26" s="1"/>
  <c r="U26" i="54"/>
  <c r="Z17" i="62"/>
  <c r="X21" i="54"/>
  <c r="X23" i="54" s="1"/>
  <c r="X38" i="37"/>
  <c r="X35" i="37" s="1"/>
  <c r="X40" i="37" s="1"/>
  <c r="X36" i="26" s="1"/>
  <c r="X8" i="54" l="1"/>
  <c r="X27" i="54"/>
  <c r="Z18" i="62"/>
  <c r="Y29" i="37"/>
  <c r="Z26" i="62"/>
  <c r="U34" i="26"/>
  <c r="U38" i="26" s="1"/>
  <c r="U28" i="54"/>
  <c r="U7" i="54" l="1"/>
  <c r="U10" i="54" s="1"/>
  <c r="U15" i="54" s="1"/>
  <c r="V5" i="26"/>
  <c r="Z27" i="62"/>
  <c r="Y38" i="37" s="1"/>
  <c r="Y35" i="37" s="1"/>
  <c r="U29" i="54"/>
  <c r="U31" i="54" s="1"/>
  <c r="Y30" i="37"/>
  <c r="Y33" i="37" s="1"/>
  <c r="Z19" i="62"/>
  <c r="Y40" i="37" l="1"/>
  <c r="Y36" i="26" s="1"/>
  <c r="AA15" i="62"/>
  <c r="Y13" i="54"/>
  <c r="V23" i="26"/>
  <c r="V28" i="26" s="1"/>
  <c r="V19" i="26"/>
  <c r="Z28" i="62"/>
  <c r="U33" i="54"/>
  <c r="Y21" i="54" l="1"/>
  <c r="Y23" i="54" s="1"/>
  <c r="AA17" i="62"/>
  <c r="AA18" i="62" s="1"/>
  <c r="Z30" i="37" s="1"/>
  <c r="V25" i="26"/>
  <c r="V32" i="26" s="1"/>
  <c r="V35" i="26" s="1"/>
  <c r="V26" i="54"/>
  <c r="Y8" i="54"/>
  <c r="Y27" i="54"/>
  <c r="V34" i="26" l="1"/>
  <c r="V38" i="26" s="1"/>
  <c r="V28" i="54"/>
  <c r="AA19" i="62"/>
  <c r="AA26" i="62"/>
  <c r="Z29" i="37"/>
  <c r="Z33" i="37" s="1"/>
  <c r="AA27" i="62" l="1"/>
  <c r="AA28" i="62" s="1"/>
  <c r="AB15" i="62"/>
  <c r="Z13" i="54"/>
  <c r="W5" i="26"/>
  <c r="V7" i="54"/>
  <c r="V10" i="54" s="1"/>
  <c r="V15" i="54" s="1"/>
  <c r="V29" i="54"/>
  <c r="V31" i="54" s="1"/>
  <c r="W23" i="26" l="1"/>
  <c r="W28" i="26" s="1"/>
  <c r="W19" i="26"/>
  <c r="AB17" i="62"/>
  <c r="V33" i="54"/>
  <c r="Z21" i="54"/>
  <c r="Z23" i="54" s="1"/>
  <c r="Z38" i="37"/>
  <c r="Z35" i="37" s="1"/>
  <c r="Z40" i="37" s="1"/>
  <c r="Z36" i="26" s="1"/>
  <c r="AB18" i="62" l="1"/>
  <c r="AB26" i="62"/>
  <c r="AA29" i="37"/>
  <c r="Z27" i="54"/>
  <c r="Z8" i="54"/>
  <c r="W25" i="26"/>
  <c r="W32" i="26" s="1"/>
  <c r="W35" i="26" s="1"/>
  <c r="W26" i="54"/>
  <c r="W34" i="26" l="1"/>
  <c r="W38" i="26" s="1"/>
  <c r="W28" i="54"/>
  <c r="AB27" i="62"/>
  <c r="AA38" i="37" s="1"/>
  <c r="AA35" i="37" s="1"/>
  <c r="AA30" i="37"/>
  <c r="AA33" i="37" s="1"/>
  <c r="AB19" i="62"/>
  <c r="AB28" i="62" l="1"/>
  <c r="AA21" i="54" s="1"/>
  <c r="AA23" i="54" s="1"/>
  <c r="AA40" i="37"/>
  <c r="AA36" i="26" s="1"/>
  <c r="AA27" i="54" s="1"/>
  <c r="W29" i="54"/>
  <c r="W31" i="54" s="1"/>
  <c r="W7" i="54"/>
  <c r="W10" i="54" s="1"/>
  <c r="W15" i="54" s="1"/>
  <c r="X5" i="26"/>
  <c r="AA13" i="54"/>
  <c r="AC15" i="62"/>
  <c r="AA8" i="54" l="1"/>
  <c r="W33" i="54"/>
  <c r="X23" i="26"/>
  <c r="X28" i="26" s="1"/>
  <c r="X19" i="26"/>
  <c r="AC17" i="62"/>
  <c r="AC18" i="62" s="1"/>
  <c r="AB30" i="37" s="1"/>
  <c r="AC19" i="62" l="1"/>
  <c r="AC26" i="62"/>
  <c r="AB29" i="37"/>
  <c r="AB33" i="37" s="1"/>
  <c r="X25" i="26"/>
  <c r="X32" i="26" s="1"/>
  <c r="X35" i="26" s="1"/>
  <c r="X26" i="54"/>
  <c r="X34" i="26" l="1"/>
  <c r="X38" i="26" s="1"/>
  <c r="X28" i="54"/>
  <c r="X29" i="54" s="1"/>
  <c r="X31" i="54" s="1"/>
  <c r="AC27" i="62"/>
  <c r="AC28" i="62" s="1"/>
  <c r="AD15" i="62"/>
  <c r="AB13" i="54"/>
  <c r="AB21" i="54" l="1"/>
  <c r="AB23" i="54" s="1"/>
  <c r="AB38" i="37"/>
  <c r="AB35" i="37" s="1"/>
  <c r="AB40" i="37" s="1"/>
  <c r="AB36" i="26" s="1"/>
  <c r="AD17" i="62"/>
  <c r="AD18" i="62" s="1"/>
  <c r="AC30" i="37" s="1"/>
  <c r="Y5" i="26"/>
  <c r="X7" i="54"/>
  <c r="X10" i="54" s="1"/>
  <c r="X15" i="54" s="1"/>
  <c r="X33" i="54" s="1"/>
  <c r="AB27" i="54" l="1"/>
  <c r="AB8" i="54"/>
  <c r="AD26" i="62"/>
  <c r="AC29" i="37"/>
  <c r="AC33" i="37" s="1"/>
  <c r="AD19" i="62"/>
  <c r="Y23" i="26"/>
  <c r="Y28" i="26" s="1"/>
  <c r="Y19" i="26"/>
  <c r="Y25" i="26" l="1"/>
  <c r="Y32" i="26" s="1"/>
  <c r="Y35" i="26" s="1"/>
  <c r="Y26" i="54"/>
  <c r="AC13" i="54"/>
  <c r="AE15" i="62"/>
  <c r="AD27" i="62"/>
  <c r="AC38" i="37" s="1"/>
  <c r="AC35" i="37" s="1"/>
  <c r="AC40" i="37" s="1"/>
  <c r="AC36" i="26" s="1"/>
  <c r="AC27" i="54" l="1"/>
  <c r="AC8" i="54"/>
  <c r="AD28" i="62"/>
  <c r="AE17" i="62"/>
  <c r="AE18" i="62" s="1"/>
  <c r="AD30" i="37" s="1"/>
  <c r="Y34" i="26"/>
  <c r="Y38" i="26" s="1"/>
  <c r="Y28" i="54"/>
  <c r="AE19" i="62" l="1"/>
  <c r="Y7" i="54"/>
  <c r="Y10" i="54" s="1"/>
  <c r="Y15" i="54" s="1"/>
  <c r="Z5" i="26"/>
  <c r="AE26" i="62"/>
  <c r="AD29" i="37"/>
  <c r="AD33" i="37" s="1"/>
  <c r="AC21" i="54"/>
  <c r="AC23" i="54" s="1"/>
  <c r="Y29" i="54"/>
  <c r="Y31" i="54" s="1"/>
  <c r="Y33" i="54" l="1"/>
  <c r="Z23" i="26"/>
  <c r="Z28" i="26" s="1"/>
  <c r="Z19" i="26"/>
  <c r="AE27" i="62"/>
  <c r="AE28" i="62" s="1"/>
  <c r="AF15" i="62"/>
  <c r="AD13" i="54"/>
  <c r="AF17" i="62" l="1"/>
  <c r="AF18" i="62" s="1"/>
  <c r="AE30" i="37" s="1"/>
  <c r="AD21" i="54"/>
  <c r="AD23" i="54" s="1"/>
  <c r="Z25" i="26"/>
  <c r="Z32" i="26" s="1"/>
  <c r="Z35" i="26" s="1"/>
  <c r="Z26" i="54"/>
  <c r="AD38" i="37"/>
  <c r="AD35" i="37" s="1"/>
  <c r="AD40" i="37" s="1"/>
  <c r="AD36" i="26" s="1"/>
  <c r="AF19" i="62" l="1"/>
  <c r="Z34" i="26"/>
  <c r="Z38" i="26" s="1"/>
  <c r="Z28" i="54"/>
  <c r="AD8" i="54"/>
  <c r="AD27" i="54"/>
  <c r="AE29" i="37"/>
  <c r="AE33" i="37" s="1"/>
  <c r="AF26" i="62"/>
  <c r="AA5" i="26" l="1"/>
  <c r="Z7" i="54"/>
  <c r="Z10" i="54" s="1"/>
  <c r="Z15" i="54" s="1"/>
  <c r="AE13" i="54"/>
  <c r="AG15" i="62"/>
  <c r="AF27" i="62"/>
  <c r="AE38" i="37" s="1"/>
  <c r="AE35" i="37" s="1"/>
  <c r="AE40" i="37" s="1"/>
  <c r="AE36" i="26" s="1"/>
  <c r="Z29" i="54"/>
  <c r="Z31" i="54" s="1"/>
  <c r="Z33" i="54" l="1"/>
  <c r="AE8" i="54"/>
  <c r="AE27" i="54"/>
  <c r="AA19" i="26"/>
  <c r="AA23" i="26"/>
  <c r="AA28" i="26" s="1"/>
  <c r="AG17" i="62"/>
  <c r="AG18" i="62" s="1"/>
  <c r="AF30" i="37" s="1"/>
  <c r="AF28" i="62"/>
  <c r="AE21" i="54" l="1"/>
  <c r="AE23" i="54" s="1"/>
  <c r="AG19" i="62"/>
  <c r="AG26" i="62"/>
  <c r="AF29" i="37"/>
  <c r="AF33" i="37" s="1"/>
  <c r="AA25" i="26"/>
  <c r="AA32" i="26" s="1"/>
  <c r="AA35" i="26" s="1"/>
  <c r="AA26" i="54"/>
  <c r="AA34" i="26" l="1"/>
  <c r="AA38" i="26" s="1"/>
  <c r="AA28" i="54"/>
  <c r="AA29" i="54" s="1"/>
  <c r="AA31" i="54" s="1"/>
  <c r="AG27" i="62"/>
  <c r="AF38" i="37" s="1"/>
  <c r="AF35" i="37" s="1"/>
  <c r="AF40" i="37" s="1"/>
  <c r="AF36" i="26" s="1"/>
  <c r="AF13" i="54"/>
  <c r="AH15" i="62"/>
  <c r="AF27" i="54" l="1"/>
  <c r="AF8" i="54"/>
  <c r="AH17" i="62"/>
  <c r="AH18" i="62" s="1"/>
  <c r="AG30" i="37" s="1"/>
  <c r="AG28" i="62"/>
  <c r="AA7" i="54"/>
  <c r="AA10" i="54" s="1"/>
  <c r="AA15" i="54" s="1"/>
  <c r="AA33" i="54" s="1"/>
  <c r="AB5" i="26"/>
  <c r="AF21" i="54" l="1"/>
  <c r="AF23" i="54" s="1"/>
  <c r="AH19" i="62"/>
  <c r="AH26" i="62"/>
  <c r="AH27" i="62" s="1"/>
  <c r="AG38" i="37" s="1"/>
  <c r="AG35" i="37" s="1"/>
  <c r="AG29" i="37"/>
  <c r="AG33" i="37" s="1"/>
  <c r="AB23" i="26"/>
  <c r="AB28" i="26" s="1"/>
  <c r="AB19" i="26"/>
  <c r="AG40" i="37" l="1"/>
  <c r="AG36" i="26" s="1"/>
  <c r="AI15" i="62"/>
  <c r="AG13" i="54"/>
  <c r="AB25" i="26"/>
  <c r="AB32" i="26" s="1"/>
  <c r="AB35" i="26" s="1"/>
  <c r="AB26" i="54"/>
  <c r="AH28" i="62"/>
  <c r="AG21" i="54" l="1"/>
  <c r="AG23" i="54" s="1"/>
  <c r="AB34" i="26"/>
  <c r="AB38" i="26" s="1"/>
  <c r="AB28" i="54"/>
  <c r="AB29" i="54" s="1"/>
  <c r="AB31" i="54" s="1"/>
  <c r="AI17" i="62"/>
  <c r="AG27" i="54"/>
  <c r="AG8" i="54"/>
  <c r="AI18" i="62" l="1"/>
  <c r="AH30" i="37" s="1"/>
  <c r="AH29" i="37"/>
  <c r="AI26" i="62"/>
  <c r="AC5" i="26"/>
  <c r="AB7" i="54"/>
  <c r="AB10" i="54" s="1"/>
  <c r="AB15" i="54" s="1"/>
  <c r="AB33" i="54" s="1"/>
  <c r="AH33" i="37" l="1"/>
  <c r="AC19" i="26"/>
  <c r="AC23" i="26"/>
  <c r="AC28" i="26" s="1"/>
  <c r="AI27" i="62"/>
  <c r="AH38" i="37" s="1"/>
  <c r="AH35" i="37" s="1"/>
  <c r="AI19" i="62"/>
  <c r="AH40" i="37" l="1"/>
  <c r="AH36" i="26" s="1"/>
  <c r="AH8" i="54" s="1"/>
  <c r="AJ15" i="62"/>
  <c r="AH13" i="54"/>
  <c r="AI28" i="62"/>
  <c r="AH21" i="54" s="1"/>
  <c r="AH23" i="54" s="1"/>
  <c r="AC25" i="26"/>
  <c r="AC32" i="26" s="1"/>
  <c r="AC35" i="26" s="1"/>
  <c r="AC26" i="54"/>
  <c r="AH27" i="54" l="1"/>
  <c r="AC34" i="26"/>
  <c r="AC38" i="26" s="1"/>
  <c r="AC28" i="54"/>
  <c r="AJ17" i="62"/>
  <c r="AJ18" i="62" l="1"/>
  <c r="AI30" i="37" s="1"/>
  <c r="AJ26" i="62"/>
  <c r="AI29" i="37"/>
  <c r="AC29" i="54"/>
  <c r="AC31" i="54" s="1"/>
  <c r="AJ19" i="62"/>
  <c r="AC7" i="54"/>
  <c r="AC10" i="54" s="1"/>
  <c r="AC15" i="54" s="1"/>
  <c r="AD5" i="26"/>
  <c r="AI33" i="37" l="1"/>
  <c r="AC33" i="54"/>
  <c r="AD23" i="26"/>
  <c r="AD28" i="26" s="1"/>
  <c r="AD19" i="26"/>
  <c r="AJ27" i="62"/>
  <c r="AJ28" i="62" s="1"/>
  <c r="AI13" i="54"/>
  <c r="AK15" i="62"/>
  <c r="AI38" i="37" l="1"/>
  <c r="AI35" i="37" s="1"/>
  <c r="AI40" i="37" s="1"/>
  <c r="AI36" i="26" s="1"/>
  <c r="AI27" i="54" s="1"/>
  <c r="AK17" i="62"/>
  <c r="AK18" i="62" s="1"/>
  <c r="AJ30" i="37" s="1"/>
  <c r="AI21" i="54"/>
  <c r="AI23" i="54" s="1"/>
  <c r="AD25" i="26"/>
  <c r="AD32" i="26" s="1"/>
  <c r="AD35" i="26" s="1"/>
  <c r="AD26" i="54"/>
  <c r="AI8" i="54" l="1"/>
  <c r="AK19" i="62"/>
  <c r="AJ13" i="54" s="1"/>
  <c r="AJ29" i="37"/>
  <c r="AJ33" i="37" s="1"/>
  <c r="AK26" i="62"/>
  <c r="AD34" i="26"/>
  <c r="AD38" i="26" s="1"/>
  <c r="AD28" i="54"/>
  <c r="AD29" i="54" s="1"/>
  <c r="AD31" i="54" s="1"/>
  <c r="AL15" i="62" l="1"/>
  <c r="AL17" i="62" s="1"/>
  <c r="AL18" i="62" s="1"/>
  <c r="AK27" i="62"/>
  <c r="AJ38" i="37" s="1"/>
  <c r="AJ35" i="37" s="1"/>
  <c r="AJ40" i="37" s="1"/>
  <c r="AJ36" i="26" s="1"/>
  <c r="AD7" i="54"/>
  <c r="AD10" i="54" s="1"/>
  <c r="AD15" i="54" s="1"/>
  <c r="AD33" i="54" s="1"/>
  <c r="AE5" i="26"/>
  <c r="AK28" i="62" l="1"/>
  <c r="AL19" i="62"/>
  <c r="AK13" i="54" s="1"/>
  <c r="AJ27" i="54"/>
  <c r="AJ8" i="54"/>
  <c r="AK30" i="37"/>
  <c r="B30" i="37" s="1"/>
  <c r="C18" i="62"/>
  <c r="AJ21" i="54"/>
  <c r="AJ23" i="54" s="1"/>
  <c r="AL26" i="62"/>
  <c r="AK29" i="37"/>
  <c r="C17" i="62"/>
  <c r="AE19" i="26"/>
  <c r="AE23" i="26"/>
  <c r="AE28" i="26" s="1"/>
  <c r="C19" i="62" l="1"/>
  <c r="AK33" i="37"/>
  <c r="B29" i="37"/>
  <c r="AE25" i="26"/>
  <c r="AE32" i="26" s="1"/>
  <c r="AE35" i="26" s="1"/>
  <c r="AE26" i="54"/>
  <c r="AL27" i="62"/>
  <c r="AL28" i="62" s="1"/>
  <c r="AK21" i="54" s="1"/>
  <c r="AK23" i="54" s="1"/>
  <c r="AE34" i="26" l="1"/>
  <c r="AE38" i="26" s="1"/>
  <c r="AE28" i="54"/>
  <c r="AE29" i="54" s="1"/>
  <c r="AE31" i="54" s="1"/>
  <c r="AK38" i="37"/>
  <c r="B33" i="37"/>
  <c r="B38" i="37" l="1"/>
  <c r="AK35" i="37"/>
  <c r="AE7" i="54"/>
  <c r="AE10" i="54" s="1"/>
  <c r="AE15" i="54" s="1"/>
  <c r="AE33" i="54" s="1"/>
  <c r="AF5" i="26"/>
  <c r="AF19" i="26" l="1"/>
  <c r="AF23" i="26"/>
  <c r="AF28" i="26" s="1"/>
  <c r="B35" i="37"/>
  <c r="AK40" i="37"/>
  <c r="AK36" i="26" l="1"/>
  <c r="B40" i="37"/>
  <c r="AF25" i="26"/>
  <c r="AF32" i="26" s="1"/>
  <c r="AF35" i="26" s="1"/>
  <c r="AF26" i="54"/>
  <c r="AF34" i="26" l="1"/>
  <c r="AF38" i="26" s="1"/>
  <c r="AF28" i="54"/>
  <c r="B36" i="26"/>
  <c r="AK27" i="54"/>
  <c r="AK8" i="54"/>
  <c r="AF29" i="54" l="1"/>
  <c r="AF31" i="54" s="1"/>
  <c r="AG5" i="26"/>
  <c r="AF7" i="54"/>
  <c r="AF10" i="54" s="1"/>
  <c r="AF15" i="54" s="1"/>
  <c r="AF33" i="54" l="1"/>
  <c r="AG19" i="26"/>
  <c r="AG23" i="26"/>
  <c r="AG28" i="26" s="1"/>
  <c r="AG25" i="26" l="1"/>
  <c r="AG32" i="26" s="1"/>
  <c r="AG35" i="26" s="1"/>
  <c r="AG26" i="54"/>
  <c r="AG34" i="26" l="1"/>
  <c r="AG38" i="26" s="1"/>
  <c r="AG28" i="54"/>
  <c r="AH5" i="26" l="1"/>
  <c r="AG7" i="54"/>
  <c r="AG10" i="54" s="1"/>
  <c r="AG15" i="54" s="1"/>
  <c r="AG29" i="54"/>
  <c r="AG31" i="54" s="1"/>
  <c r="AG33" i="54" l="1"/>
  <c r="AH19" i="26"/>
  <c r="AH23" i="26"/>
  <c r="AH28" i="26" s="1"/>
  <c r="AH25" i="26" l="1"/>
  <c r="AH32" i="26" s="1"/>
  <c r="AH35" i="26" s="1"/>
  <c r="AH26" i="54"/>
  <c r="AH34" i="26" l="1"/>
  <c r="AH38" i="26" s="1"/>
  <c r="AH28" i="54"/>
  <c r="AH7" i="54" l="1"/>
  <c r="AH10" i="54" s="1"/>
  <c r="AH15" i="54" s="1"/>
  <c r="AI5" i="26"/>
  <c r="AH29" i="54"/>
  <c r="AH31" i="54" s="1"/>
  <c r="AI23" i="26" l="1"/>
  <c r="AI28" i="26" s="1"/>
  <c r="AI19" i="26"/>
  <c r="AH33" i="54"/>
  <c r="AI25" i="26" l="1"/>
  <c r="AI32" i="26" s="1"/>
  <c r="AI35" i="26" s="1"/>
  <c r="AI26" i="54"/>
  <c r="AI34" i="26" l="1"/>
  <c r="AI38" i="26" s="1"/>
  <c r="AI28" i="54"/>
  <c r="AI7" i="54" l="1"/>
  <c r="AI10" i="54" s="1"/>
  <c r="AI15" i="54" s="1"/>
  <c r="AJ5" i="26"/>
  <c r="AI29" i="54"/>
  <c r="AI31" i="54" s="1"/>
  <c r="AJ23" i="26" l="1"/>
  <c r="AJ28" i="26" s="1"/>
  <c r="AJ19" i="26"/>
  <c r="AI33" i="54"/>
  <c r="AJ25" i="26" l="1"/>
  <c r="AJ32" i="26" s="1"/>
  <c r="AJ35" i="26" s="1"/>
  <c r="AJ26" i="54"/>
  <c r="AJ34" i="26" l="1"/>
  <c r="AJ38" i="26" s="1"/>
  <c r="AJ28" i="54"/>
  <c r="AJ7" i="54" l="1"/>
  <c r="AJ10" i="54" s="1"/>
  <c r="AJ15" i="54" s="1"/>
  <c r="AK5" i="26"/>
  <c r="AJ29" i="54"/>
  <c r="AJ31" i="54" s="1"/>
  <c r="AK19" i="26" l="1"/>
  <c r="AK23" i="26"/>
  <c r="AK28" i="26" s="1"/>
  <c r="AJ33" i="54"/>
  <c r="AK25" i="26" l="1"/>
  <c r="AK32" i="26" s="1"/>
  <c r="AK35" i="26" s="1"/>
  <c r="B28" i="26"/>
  <c r="B25" i="26" s="1"/>
  <c r="B32" i="26" s="1"/>
  <c r="AK26" i="54"/>
  <c r="AK34" i="26" l="1"/>
  <c r="AK38" i="26" s="1"/>
  <c r="AK7" i="54" s="1"/>
  <c r="AK10" i="54" s="1"/>
  <c r="AK15" i="54" s="1"/>
  <c r="B35" i="26"/>
  <c r="B34" i="26" s="1"/>
  <c r="B38" i="26" s="1"/>
  <c r="AK28" i="54"/>
  <c r="AK29" i="54" s="1"/>
  <c r="AK31" i="54" s="1"/>
  <c r="AK33" i="54" l="1"/>
  <c r="AG36" i="69" s="1"/>
  <c r="AF35" i="69" s="1"/>
  <c r="AG35" i="69" s="1"/>
  <c r="AE34" i="69" s="1"/>
  <c r="AF34" i="69" s="1"/>
  <c r="AG34" i="69" s="1"/>
  <c r="AD33" i="69" s="1"/>
  <c r="AE33" i="69" s="1"/>
  <c r="AF33" i="69" s="1"/>
  <c r="AG33" i="69" s="1"/>
  <c r="AC32" i="69" s="1"/>
  <c r="AB31" i="69" s="1"/>
  <c r="AC31" i="69" s="1"/>
  <c r="AD31" i="69" s="1"/>
  <c r="AE31" i="69" s="1"/>
  <c r="AF31" i="69" s="1"/>
  <c r="AG31" i="69" s="1"/>
  <c r="AA30" i="69" s="1"/>
  <c r="AB30" i="69" s="1"/>
  <c r="AC30" i="69" s="1"/>
  <c r="AD30" i="69" s="1"/>
  <c r="AE30" i="69" s="1"/>
  <c r="AF30" i="69" s="1"/>
  <c r="AG30" i="69" s="1"/>
  <c r="Z29" i="69" s="1"/>
  <c r="Y28" i="69" s="1"/>
  <c r="X27" i="69" s="1"/>
  <c r="Y27" i="69" s="1"/>
  <c r="Z27" i="69" s="1"/>
  <c r="AA27" i="69" s="1"/>
  <c r="AB27" i="69" s="1"/>
  <c r="AC27" i="69" s="1"/>
  <c r="AD27" i="69" s="1"/>
  <c r="AE27" i="69" s="1"/>
  <c r="AF27" i="69" s="1"/>
  <c r="AG27" i="69" s="1"/>
  <c r="W26" i="69" s="1"/>
  <c r="V25" i="69" s="1"/>
  <c r="U24" i="69" s="1"/>
  <c r="T23" i="69" s="1"/>
  <c r="S22" i="69" s="1"/>
  <c r="R21" i="69" s="1"/>
  <c r="Q20" i="69" s="1"/>
  <c r="P19" i="69" s="1"/>
  <c r="O18" i="69" s="1"/>
  <c r="N17" i="69" s="1"/>
  <c r="M16" i="69" s="1"/>
  <c r="L15" i="69" s="1"/>
  <c r="K14" i="69" s="1"/>
  <c r="J13" i="69" s="1"/>
  <c r="I12" i="69" s="1"/>
  <c r="H11" i="69" s="1"/>
  <c r="G10" i="69" s="1"/>
  <c r="F9" i="69" s="1"/>
  <c r="Q19" i="69" l="1"/>
  <c r="R19" i="69" s="1"/>
  <c r="S19" i="69" s="1"/>
  <c r="T19" i="69" s="1"/>
  <c r="N16" i="69"/>
  <c r="O16" i="69" s="1"/>
  <c r="P16" i="69" s="1"/>
  <c r="Q16" i="69" s="1"/>
  <c r="R16" i="69" s="1"/>
  <c r="S16" i="69" s="1"/>
  <c r="T16" i="69" s="1"/>
  <c r="U16" i="69" s="1"/>
  <c r="V16" i="69" s="1"/>
  <c r="V24" i="69"/>
  <c r="W24" i="69" s="1"/>
  <c r="X24" i="69" s="1"/>
  <c r="Y24" i="69" s="1"/>
  <c r="Z24" i="69" s="1"/>
  <c r="M15" i="69"/>
  <c r="N15" i="69" s="1"/>
  <c r="F38" i="69"/>
  <c r="G9" i="69"/>
  <c r="G38" i="69" s="1"/>
  <c r="O17" i="69"/>
  <c r="P17" i="69" s="1"/>
  <c r="Q17" i="69" s="1"/>
  <c r="R17" i="69" s="1"/>
  <c r="W25" i="69"/>
  <c r="X25" i="69" s="1"/>
  <c r="Y25" i="69" s="1"/>
  <c r="Z25" i="69" s="1"/>
  <c r="AA25" i="69" s="1"/>
  <c r="AB25" i="69" s="1"/>
  <c r="AC25" i="69" s="1"/>
  <c r="AD25" i="69" s="1"/>
  <c r="AE25" i="69" s="1"/>
  <c r="AF25" i="69" s="1"/>
  <c r="AG25" i="69" s="1"/>
  <c r="U23" i="69"/>
  <c r="V23" i="69" s="1"/>
  <c r="H10" i="69"/>
  <c r="I10" i="69" s="1"/>
  <c r="J10" i="69" s="1"/>
  <c r="P18" i="69"/>
  <c r="Q18" i="69" s="1"/>
  <c r="R18" i="69" s="1"/>
  <c r="S18" i="69" s="1"/>
  <c r="X26" i="69"/>
  <c r="Y26" i="69" s="1"/>
  <c r="Z26" i="69" s="1"/>
  <c r="J12" i="69"/>
  <c r="K12" i="69" s="1"/>
  <c r="L12" i="69" s="1"/>
  <c r="M12" i="69" s="1"/>
  <c r="N12" i="69" s="1"/>
  <c r="AD32" i="69"/>
  <c r="AE32" i="69" s="1"/>
  <c r="AF32" i="69" s="1"/>
  <c r="I11" i="69"/>
  <c r="J11" i="69" s="1"/>
  <c r="K11" i="69" s="1"/>
  <c r="L11" i="69" s="1"/>
  <c r="M11" i="69" s="1"/>
  <c r="N11" i="69" s="1"/>
  <c r="R20" i="69"/>
  <c r="S20" i="69" s="1"/>
  <c r="T20" i="69" s="1"/>
  <c r="U20" i="69" s="1"/>
  <c r="V20" i="69" s="1"/>
  <c r="W20" i="69" s="1"/>
  <c r="X20" i="69" s="1"/>
  <c r="Y20" i="69" s="1"/>
  <c r="Z20" i="69" s="1"/>
  <c r="K13" i="69"/>
  <c r="L13" i="69" s="1"/>
  <c r="M13" i="69" s="1"/>
  <c r="N13" i="69" s="1"/>
  <c r="S21" i="69"/>
  <c r="T21" i="69" s="1"/>
  <c r="U21" i="69" s="1"/>
  <c r="V21" i="69" s="1"/>
  <c r="AA29" i="69"/>
  <c r="AB29" i="69" s="1"/>
  <c r="AC29" i="69" s="1"/>
  <c r="AD29" i="69" s="1"/>
  <c r="AE29" i="69" s="1"/>
  <c r="AF29" i="69" s="1"/>
  <c r="Z28" i="69"/>
  <c r="AA28" i="69" s="1"/>
  <c r="AB28" i="69" s="1"/>
  <c r="AC28" i="69" s="1"/>
  <c r="L14" i="69"/>
  <c r="M14" i="69" s="1"/>
  <c r="N14" i="69"/>
  <c r="O14" i="69"/>
  <c r="P14" i="69" s="1"/>
  <c r="Q14" i="69" s="1"/>
  <c r="R14" i="69" s="1"/>
  <c r="T22" i="69"/>
  <c r="U22" i="69" s="1"/>
  <c r="V22" i="69" s="1"/>
  <c r="AG29" i="69" l="1"/>
  <c r="T18" i="69"/>
  <c r="U18" i="69" s="1"/>
  <c r="V18" i="69" s="1"/>
  <c r="AD28" i="69"/>
  <c r="AE28" i="69" s="1"/>
  <c r="AF28" i="69" s="1"/>
  <c r="AG28" i="69" s="1"/>
  <c r="AG32" i="69"/>
  <c r="S14" i="69"/>
  <c r="T14" i="69" s="1"/>
  <c r="U14" i="69" s="1"/>
  <c r="V14" i="69" s="1"/>
  <c r="W14" i="69" s="1"/>
  <c r="X14" i="69" s="1"/>
  <c r="Y14" i="69" s="1"/>
  <c r="Z14" i="69" s="1"/>
  <c r="AA14" i="69" s="1"/>
  <c r="AB14" i="69" s="1"/>
  <c r="AC14" i="69" s="1"/>
  <c r="AD14" i="69" s="1"/>
  <c r="AE14" i="69" s="1"/>
  <c r="AF14" i="69" s="1"/>
  <c r="AG14" i="69" s="1"/>
  <c r="W21" i="69"/>
  <c r="X21" i="69" s="1"/>
  <c r="Y21" i="69" s="1"/>
  <c r="Z21" i="69" s="1"/>
  <c r="AA21" i="69" s="1"/>
  <c r="AB21" i="69" s="1"/>
  <c r="AC21" i="69" s="1"/>
  <c r="AD21" i="69" s="1"/>
  <c r="AE21" i="69" s="1"/>
  <c r="AF21" i="69" s="1"/>
  <c r="AG21" i="69" s="1"/>
  <c r="W18" i="69"/>
  <c r="X18" i="69" s="1"/>
  <c r="Y18" i="69" s="1"/>
  <c r="Z18" i="69" s="1"/>
  <c r="AA18" i="69" s="1"/>
  <c r="AB18" i="69" s="1"/>
  <c r="AC18" i="69" s="1"/>
  <c r="AD18" i="69" s="1"/>
  <c r="H9" i="69"/>
  <c r="AA24" i="69"/>
  <c r="AB24" i="69" s="1"/>
  <c r="AC24" i="69" s="1"/>
  <c r="AD24" i="69" s="1"/>
  <c r="AE24" i="69" s="1"/>
  <c r="AF24" i="69" s="1"/>
  <c r="AG24" i="69" s="1"/>
  <c r="O13" i="69"/>
  <c r="P13" i="69" s="1"/>
  <c r="O12" i="69"/>
  <c r="P12" i="69" s="1"/>
  <c r="Q12" i="69" s="1"/>
  <c r="R12" i="69" s="1"/>
  <c r="S12" i="69" s="1"/>
  <c r="T12" i="69" s="1"/>
  <c r="U12" i="69" s="1"/>
  <c r="V12" i="69" s="1"/>
  <c r="W12" i="69" s="1"/>
  <c r="X12" i="69" s="1"/>
  <c r="Y12" i="69" s="1"/>
  <c r="Z12" i="69" s="1"/>
  <c r="AA12" i="69" s="1"/>
  <c r="AB12" i="69" s="1"/>
  <c r="AC12" i="69" s="1"/>
  <c r="AD12" i="69" s="1"/>
  <c r="AE12" i="69" s="1"/>
  <c r="AF12" i="69" s="1"/>
  <c r="AG12" i="69" s="1"/>
  <c r="W23" i="69"/>
  <c r="W16" i="69"/>
  <c r="X16" i="69" s="1"/>
  <c r="Y16" i="69" s="1"/>
  <c r="Z16" i="69" s="1"/>
  <c r="W22" i="69"/>
  <c r="X22" i="69" s="1"/>
  <c r="Y22" i="69" s="1"/>
  <c r="Z22" i="69" s="1"/>
  <c r="AA22" i="69" s="1"/>
  <c r="AB22" i="69" s="1"/>
  <c r="AC22" i="69" s="1"/>
  <c r="AD22" i="69" s="1"/>
  <c r="AE22" i="69" s="1"/>
  <c r="AF22" i="69" s="1"/>
  <c r="AG22" i="69" s="1"/>
  <c r="AA20" i="69"/>
  <c r="AB20" i="69" s="1"/>
  <c r="AC20" i="69" s="1"/>
  <c r="AD20" i="69" s="1"/>
  <c r="AE20" i="69" s="1"/>
  <c r="AF20" i="69" s="1"/>
  <c r="AG20" i="69" s="1"/>
  <c r="AA26" i="69"/>
  <c r="AB26" i="69" s="1"/>
  <c r="AC26" i="69" s="1"/>
  <c r="AD26" i="69" s="1"/>
  <c r="AE26" i="69" s="1"/>
  <c r="AF26" i="69" s="1"/>
  <c r="AG26" i="69" s="1"/>
  <c r="K10" i="69"/>
  <c r="L10" i="69" s="1"/>
  <c r="M10" i="69" s="1"/>
  <c r="N10" i="69" s="1"/>
  <c r="O15" i="69"/>
  <c r="U19" i="69"/>
  <c r="V19" i="69" s="1"/>
  <c r="W19" i="69" s="1"/>
  <c r="X19" i="69" s="1"/>
  <c r="Y19" i="69" s="1"/>
  <c r="Z19" i="69" s="1"/>
  <c r="AA19" i="69" s="1"/>
  <c r="AB19" i="69" s="1"/>
  <c r="AC19" i="69" s="1"/>
  <c r="AD19" i="69" s="1"/>
  <c r="AE19" i="69" s="1"/>
  <c r="AF19" i="69" s="1"/>
  <c r="AG19" i="69" s="1"/>
  <c r="O11" i="69"/>
  <c r="P11" i="69" s="1"/>
  <c r="Q11" i="69" s="1"/>
  <c r="R11" i="69" s="1"/>
  <c r="S11" i="69" s="1"/>
  <c r="T11" i="69" s="1"/>
  <c r="U11" i="69" s="1"/>
  <c r="V11" i="69" s="1"/>
  <c r="W11" i="69" s="1"/>
  <c r="X11" i="69" s="1"/>
  <c r="Y11" i="69" s="1"/>
  <c r="Z11" i="69" s="1"/>
  <c r="AA11" i="69" s="1"/>
  <c r="AB11" i="69" s="1"/>
  <c r="AC11" i="69" s="1"/>
  <c r="AD11" i="69" s="1"/>
  <c r="AE11" i="69" s="1"/>
  <c r="AF11" i="69" s="1"/>
  <c r="AG11" i="69" s="1"/>
  <c r="S17" i="69"/>
  <c r="T17" i="69" s="1"/>
  <c r="U17" i="69" s="1"/>
  <c r="V17" i="69" s="1"/>
  <c r="W17" i="69" s="1"/>
  <c r="X17" i="69" s="1"/>
  <c r="Y17" i="69" s="1"/>
  <c r="Z17" i="69" s="1"/>
  <c r="AA17" i="69" s="1"/>
  <c r="AB17" i="69" s="1"/>
  <c r="AC17" i="69" s="1"/>
  <c r="AD17" i="69" s="1"/>
  <c r="AE17" i="69" s="1"/>
  <c r="AF17" i="69" s="1"/>
  <c r="AG17" i="69" s="1"/>
  <c r="I9" i="69"/>
  <c r="I38" i="69" s="1"/>
  <c r="AE18" i="69" l="1"/>
  <c r="AF18" i="69" s="1"/>
  <c r="AG18" i="69" s="1"/>
  <c r="Q13" i="69"/>
  <c r="R13" i="69" s="1"/>
  <c r="S13" i="69" s="1"/>
  <c r="T13" i="69" s="1"/>
  <c r="U13" i="69" s="1"/>
  <c r="V13" i="69" s="1"/>
  <c r="W13" i="69" s="1"/>
  <c r="X13" i="69" s="1"/>
  <c r="Y13" i="69" s="1"/>
  <c r="Z13" i="69" s="1"/>
  <c r="AA13" i="69" s="1"/>
  <c r="AB13" i="69" s="1"/>
  <c r="AC13" i="69" s="1"/>
  <c r="AD13" i="69" s="1"/>
  <c r="AE13" i="69" s="1"/>
  <c r="AF13" i="69" s="1"/>
  <c r="AG13" i="69" s="1"/>
  <c r="AA16" i="69"/>
  <c r="AB16" i="69" s="1"/>
  <c r="AC16" i="69" s="1"/>
  <c r="AD16" i="69" s="1"/>
  <c r="AE16" i="69" s="1"/>
  <c r="AF16" i="69" s="1"/>
  <c r="AG16" i="69" s="1"/>
  <c r="J9" i="69"/>
  <c r="O10" i="69"/>
  <c r="P10" i="69" s="1"/>
  <c r="Q10" i="69" s="1"/>
  <c r="R10" i="69" s="1"/>
  <c r="S10" i="69" s="1"/>
  <c r="T10" i="69" s="1"/>
  <c r="U10" i="69" s="1"/>
  <c r="V10" i="69" s="1"/>
  <c r="W10" i="69" s="1"/>
  <c r="X10" i="69" s="1"/>
  <c r="Y10" i="69" s="1"/>
  <c r="Z10" i="69" s="1"/>
  <c r="AA10" i="69" s="1"/>
  <c r="AB10" i="69" s="1"/>
  <c r="AC10" i="69" s="1"/>
  <c r="AD10" i="69" s="1"/>
  <c r="AE10" i="69" s="1"/>
  <c r="AF10" i="69" s="1"/>
  <c r="AG10" i="69" s="1"/>
  <c r="X23" i="69"/>
  <c r="Y23" i="69" s="1"/>
  <c r="Z23" i="69" s="1"/>
  <c r="AA23" i="69" s="1"/>
  <c r="AB23" i="69" s="1"/>
  <c r="AC23" i="69" s="1"/>
  <c r="AD23" i="69" s="1"/>
  <c r="K9" i="69"/>
  <c r="H38" i="69"/>
  <c r="P15" i="69"/>
  <c r="Q15" i="69" s="1"/>
  <c r="L9" i="69" l="1"/>
  <c r="L38" i="69" s="1"/>
  <c r="K38" i="69"/>
  <c r="J38" i="69"/>
  <c r="M9" i="69"/>
  <c r="M38" i="69" s="1"/>
  <c r="AE23" i="69"/>
  <c r="AF23" i="69" s="1"/>
  <c r="AG23" i="69" s="1"/>
  <c r="R15" i="69"/>
  <c r="S15" i="69" s="1"/>
  <c r="T15" i="69" s="1"/>
  <c r="U15" i="69" s="1"/>
  <c r="V15" i="69" s="1"/>
  <c r="W15" i="69" s="1"/>
  <c r="X15" i="69" s="1"/>
  <c r="Y15" i="69" s="1"/>
  <c r="Z15" i="69" s="1"/>
  <c r="AA15" i="69" s="1"/>
  <c r="AB15" i="69" l="1"/>
  <c r="AC15" i="69" s="1"/>
  <c r="AD15" i="69" s="1"/>
  <c r="AE15" i="69" s="1"/>
  <c r="AF15" i="69" s="1"/>
  <c r="AG15" i="69" s="1"/>
  <c r="N9" i="69"/>
  <c r="O9" i="69"/>
  <c r="N38" i="69" l="1"/>
  <c r="P9" i="69"/>
  <c r="O38" i="69"/>
  <c r="P38" i="69" l="1"/>
  <c r="Q9" i="69"/>
  <c r="Q38" i="69" l="1"/>
  <c r="R9" i="69"/>
  <c r="R38" i="69" l="1"/>
  <c r="S9" i="69"/>
  <c r="S38" i="69" l="1"/>
  <c r="T9" i="69"/>
  <c r="T38" i="69" l="1"/>
  <c r="U9" i="69"/>
  <c r="U38" i="69" l="1"/>
  <c r="V9" i="69"/>
  <c r="V38" i="69" l="1"/>
  <c r="W9" i="69"/>
  <c r="W38" i="69" l="1"/>
  <c r="X9" i="69"/>
  <c r="X38" i="69" l="1"/>
  <c r="Y9" i="69"/>
  <c r="Y38" i="69" l="1"/>
  <c r="Z9" i="69"/>
  <c r="Z38" i="69" l="1"/>
  <c r="AA9" i="69"/>
  <c r="AA38" i="69" l="1"/>
  <c r="AB9" i="69"/>
  <c r="AB38" i="69" l="1"/>
  <c r="AC9" i="69"/>
  <c r="AC38" i="69" l="1"/>
  <c r="AD9" i="69"/>
  <c r="AD38" i="69" l="1"/>
  <c r="AE9" i="69"/>
  <c r="AE38" i="69" l="1"/>
  <c r="AF9" i="69"/>
  <c r="AF38" i="69" l="1"/>
  <c r="AG9" i="69"/>
  <c r="AG38" i="69" s="1"/>
  <c r="C37" i="69"/>
  <c r="C36" i="69"/>
  <c r="C35" i="69"/>
  <c r="C34" i="69"/>
  <c r="C33" i="69"/>
  <c r="C32" i="69"/>
  <c r="C31" i="69"/>
  <c r="C30" i="69"/>
  <c r="C29" i="69"/>
  <c r="C28" i="69"/>
  <c r="C27" i="69"/>
  <c r="C26" i="69"/>
  <c r="C25" i="69"/>
  <c r="C24" i="69"/>
  <c r="C23" i="69"/>
  <c r="C22" i="69"/>
  <c r="C21" i="69"/>
  <c r="C20" i="69"/>
  <c r="C19" i="69"/>
  <c r="C18" i="69"/>
  <c r="C17" i="69"/>
  <c r="C16" i="69"/>
  <c r="C15" i="69"/>
  <c r="C14" i="69"/>
  <c r="C13" i="69"/>
  <c r="C12" i="69"/>
  <c r="C11" i="69"/>
  <c r="C10" i="69"/>
  <c r="C9" i="6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<sst xmlns="http://schemas.openxmlformats.org/spreadsheetml/2006/main" count="4771" uniqueCount="1583">
  <si>
    <t>PREFEITURA MUNICIPAL DE JARAGUÁ DO SUL</t>
  </si>
  <si>
    <t>ESTUDO DE VIABILIDADE ECONÔMICA PARA A CONCESSÃO DOS SERVIÇOS DE LIMPEZA PÚBLICA E MANEJO DE RESÍDUOS SÓLIDOS</t>
  </si>
  <si>
    <t xml:space="preserve">DADOS DE ENTRADA </t>
  </si>
  <si>
    <t>Dados Gerais</t>
  </si>
  <si>
    <t>Valor</t>
  </si>
  <si>
    <t>Unidade</t>
  </si>
  <si>
    <t>Fonte</t>
  </si>
  <si>
    <t>1.1</t>
  </si>
  <si>
    <t>População total</t>
  </si>
  <si>
    <t>habitantes</t>
  </si>
  <si>
    <t>IBGE 2022</t>
  </si>
  <si>
    <t>1.2</t>
  </si>
  <si>
    <t xml:space="preserve">Produção de Resíduos </t>
  </si>
  <si>
    <t>toneladas/ano</t>
  </si>
  <si>
    <t>Edital PMI-dados 2022</t>
  </si>
  <si>
    <t>1.3</t>
  </si>
  <si>
    <t>Quantidade Coletada de Resíduos Domiciliar Urbana</t>
  </si>
  <si>
    <t>Edital PMI</t>
  </si>
  <si>
    <t>1.4</t>
  </si>
  <si>
    <t>Quantidade Coletada de Resíduos Domiciliar Rural</t>
  </si>
  <si>
    <t>1.5</t>
  </si>
  <si>
    <t>Quantidade Coletada de Resíduos Coleta Seletiva (Recicláveis + Rejeitos)</t>
  </si>
  <si>
    <t>1.6</t>
  </si>
  <si>
    <t>Rejeito da coleta seletiva</t>
  </si>
  <si>
    <t>1.7</t>
  </si>
  <si>
    <t>Quantidade Coletada de Recicláveis</t>
  </si>
  <si>
    <t>1.8</t>
  </si>
  <si>
    <t>Percentual de Coleta Seletiva</t>
  </si>
  <si>
    <t>%</t>
  </si>
  <si>
    <t>Calculado</t>
  </si>
  <si>
    <t>1.9</t>
  </si>
  <si>
    <t>Percentual de Recicláveis da Coleta Seletiva</t>
  </si>
  <si>
    <t>1.10</t>
  </si>
  <si>
    <t>Percentual de Valorização da Coleta Seletiva</t>
  </si>
  <si>
    <t>1.11</t>
  </si>
  <si>
    <t>Percentual Máximo Reciclável</t>
  </si>
  <si>
    <t>1.12</t>
  </si>
  <si>
    <t>Incremento da valorização da Coleta Seletiva</t>
  </si>
  <si>
    <t>1.13</t>
  </si>
  <si>
    <t>Produção percapita</t>
  </si>
  <si>
    <t>Kg/hab.dia</t>
  </si>
  <si>
    <t>Calculada</t>
  </si>
  <si>
    <t>1.14</t>
  </si>
  <si>
    <t>Produção de Resíduos de Podas de Árvores</t>
  </si>
  <si>
    <t>ton/ano</t>
  </si>
  <si>
    <t>1.15</t>
  </si>
  <si>
    <t>Per capita de resíduos de Podas de Árvores</t>
  </si>
  <si>
    <t>1.16</t>
  </si>
  <si>
    <t>PIS - PASEP</t>
  </si>
  <si>
    <t>Impostos</t>
  </si>
  <si>
    <t>1.17</t>
  </si>
  <si>
    <t>COFINS</t>
  </si>
  <si>
    <t>1.18</t>
  </si>
  <si>
    <t>ISS</t>
  </si>
  <si>
    <t>Composição dos resíduos</t>
  </si>
  <si>
    <t>2.1</t>
  </si>
  <si>
    <t>Matéria orgânica</t>
  </si>
  <si>
    <t>PIGIRS</t>
  </si>
  <si>
    <t>2.2</t>
  </si>
  <si>
    <t>Papel e papelão</t>
  </si>
  <si>
    <t>2.3</t>
  </si>
  <si>
    <t>Plásticos</t>
  </si>
  <si>
    <t>2.4</t>
  </si>
  <si>
    <t>Vidro</t>
  </si>
  <si>
    <t>2.5</t>
  </si>
  <si>
    <t>Metais</t>
  </si>
  <si>
    <t>2.6</t>
  </si>
  <si>
    <t>Rejeiros</t>
  </si>
  <si>
    <t>2.7</t>
  </si>
  <si>
    <t xml:space="preserve">Outros Recicláveis </t>
  </si>
  <si>
    <t>2.8</t>
  </si>
  <si>
    <t>Total</t>
  </si>
  <si>
    <t>Dados salariais</t>
  </si>
  <si>
    <t>3.1</t>
  </si>
  <si>
    <t>Salário mínimo nacional</t>
  </si>
  <si>
    <t>R$</t>
  </si>
  <si>
    <t>Governo Fderal</t>
  </si>
  <si>
    <t>3.2</t>
  </si>
  <si>
    <t>Insalubridade nível 1</t>
  </si>
  <si>
    <t>NR 15</t>
  </si>
  <si>
    <t>3.3</t>
  </si>
  <si>
    <t>Insalubridade nível 2</t>
  </si>
  <si>
    <t>3.4</t>
  </si>
  <si>
    <t>Encargos - coletores</t>
  </si>
  <si>
    <t>SINAPI</t>
  </si>
  <si>
    <t>3.5</t>
  </si>
  <si>
    <t>Encargos - demais funcionários</t>
  </si>
  <si>
    <t>3.6</t>
  </si>
  <si>
    <t>Adicional noturno</t>
  </si>
  <si>
    <t>Convenção Coletiva</t>
  </si>
  <si>
    <t>Preço de Veículos e Equipamentos</t>
  </si>
  <si>
    <t>4.1</t>
  </si>
  <si>
    <t xml:space="preserve">Caminhão Tipo 1 (coleta convencional/caminhão poliguindaste) </t>
  </si>
  <si>
    <t>Mercado</t>
  </si>
  <si>
    <t>4.2</t>
  </si>
  <si>
    <t xml:space="preserve">Caminhão Tipo 2 - (coleta mecanizada) </t>
  </si>
  <si>
    <t>4.3</t>
  </si>
  <si>
    <t xml:space="preserve">Caminhão Tipo 3 - (coleta seletiva) </t>
  </si>
  <si>
    <t>4.4</t>
  </si>
  <si>
    <t xml:space="preserve">Caminhão Tipo 3 - (coletor de pequeno porte ) </t>
  </si>
  <si>
    <t>4.5</t>
  </si>
  <si>
    <t xml:space="preserve">Caminhão tipo 5 - Lavação de contentores da coleta mecanizada </t>
  </si>
  <si>
    <t>4.6</t>
  </si>
  <si>
    <t xml:space="preserve">Caçamba coletora compactadora carregamento manual </t>
  </si>
  <si>
    <t>4.7</t>
  </si>
  <si>
    <t xml:space="preserve">Caçamba coletora compactadora carregamento mecanizado </t>
  </si>
  <si>
    <t>4.8</t>
  </si>
  <si>
    <t>Dispositivo coleta mecanizada</t>
  </si>
  <si>
    <t>4.9</t>
  </si>
  <si>
    <t>Caçamba lavadora de contentores da coleta mecanizada</t>
  </si>
  <si>
    <t>4.10</t>
  </si>
  <si>
    <t>Caçamba coletora compactadora de pequeno porte (6m³)</t>
  </si>
  <si>
    <t>4.11</t>
  </si>
  <si>
    <t xml:space="preserve">Caçamba coletora (coleta seletiva) </t>
  </si>
  <si>
    <t>4.12</t>
  </si>
  <si>
    <t xml:space="preserve">Veículo da frota auxiliar - utilitário leve </t>
  </si>
  <si>
    <t>4.13</t>
  </si>
  <si>
    <t xml:space="preserve">Veículo da frota auxiliar - veículo de passeio </t>
  </si>
  <si>
    <t>4.14</t>
  </si>
  <si>
    <t xml:space="preserve">Veículo da frota auxiliar - moto 125 CC </t>
  </si>
  <si>
    <t>4.15</t>
  </si>
  <si>
    <r>
      <t xml:space="preserve">Contentores 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1.000L com pedal, para coleta mecanizada</t>
    </r>
  </si>
  <si>
    <t>4.16</t>
  </si>
  <si>
    <t>Equipamento de basculamento traseiro para contentores de 1,0m³</t>
  </si>
  <si>
    <t>4.17</t>
  </si>
  <si>
    <t>Cesto papeleiro papeleiro + poste para fixação</t>
  </si>
  <si>
    <t>4.18</t>
  </si>
  <si>
    <t>Ecoponto</t>
  </si>
  <si>
    <t>4.19</t>
  </si>
  <si>
    <t>Estrutura e guarita PEV</t>
  </si>
  <si>
    <t>4.20</t>
  </si>
  <si>
    <t xml:space="preserve">Caminhão de 15m³ com munck </t>
  </si>
  <si>
    <t>4.21</t>
  </si>
  <si>
    <t>Equipamento poliguindaste duplo</t>
  </si>
  <si>
    <t>4.22</t>
  </si>
  <si>
    <t>Caminhão para Limpeza urbana (para caçamba basculante)</t>
  </si>
  <si>
    <t>4.23</t>
  </si>
  <si>
    <t>Caçamba basculante 12m³</t>
  </si>
  <si>
    <t>4.24</t>
  </si>
  <si>
    <t>Caçamba basculante 6m³</t>
  </si>
  <si>
    <t>4.25</t>
  </si>
  <si>
    <t>Trator giro zero</t>
  </si>
  <si>
    <t>4.26</t>
  </si>
  <si>
    <t>Trator coletor - para minivarredeira</t>
  </si>
  <si>
    <t>4.27</t>
  </si>
  <si>
    <t>Minivarredeira</t>
  </si>
  <si>
    <t>4.28</t>
  </si>
  <si>
    <t>Trator com capinadeira (trator + equipamento)</t>
  </si>
  <si>
    <t>4.29</t>
  </si>
  <si>
    <t>Roçadeira costal</t>
  </si>
  <si>
    <t>4.30</t>
  </si>
  <si>
    <t>Soprador costal</t>
  </si>
  <si>
    <t>4.31</t>
  </si>
  <si>
    <t>Ônibus 44 lugares adaptado</t>
  </si>
  <si>
    <t>4.32</t>
  </si>
  <si>
    <t>Van - Veículo da frota auxiliar - Sprinter</t>
  </si>
  <si>
    <t>4.33</t>
  </si>
  <si>
    <t>Lutocar</t>
  </si>
  <si>
    <t>4.34</t>
  </si>
  <si>
    <t>Caminhão cesto aéreo duplo 12 ou 14m (Locação mensal com motorista, combustível, man.)</t>
  </si>
  <si>
    <t>4.35</t>
  </si>
  <si>
    <t>Triturador de galhos</t>
  </si>
  <si>
    <t>4.36</t>
  </si>
  <si>
    <t>Motosserra</t>
  </si>
  <si>
    <t>4.37</t>
  </si>
  <si>
    <t>Motopoda</t>
  </si>
  <si>
    <t>4.38</t>
  </si>
  <si>
    <t>Equipamentos variados (vassouras, pincel/buchas, pás, rastel e sacos de lixo) - anual</t>
  </si>
  <si>
    <t>R$ / varredor/servente</t>
  </si>
  <si>
    <t>4.39</t>
  </si>
  <si>
    <t xml:space="preserve">Saco (60 litros) cestos papeleiros </t>
  </si>
  <si>
    <t>4.40</t>
  </si>
  <si>
    <t>Composteira doméstica</t>
  </si>
  <si>
    <t>Preço de Uniformes e Equipamentos de Proteção Individual</t>
  </si>
  <si>
    <t>5.1</t>
  </si>
  <si>
    <t>Camisa administrativo</t>
  </si>
  <si>
    <t>5.2</t>
  </si>
  <si>
    <t>Calça administrativo</t>
  </si>
  <si>
    <t>5.3</t>
  </si>
  <si>
    <t>Jaqueta administrativo</t>
  </si>
  <si>
    <t>5.4</t>
  </si>
  <si>
    <t>Camisa operacional</t>
  </si>
  <si>
    <t>5.5</t>
  </si>
  <si>
    <t>Calça operacional</t>
  </si>
  <si>
    <t>5.6</t>
  </si>
  <si>
    <t>Jaqueta operacional</t>
  </si>
  <si>
    <t>5.7</t>
  </si>
  <si>
    <t>Boné</t>
  </si>
  <si>
    <t>5.8</t>
  </si>
  <si>
    <t>Conjunto impermeável</t>
  </si>
  <si>
    <t>5.9</t>
  </si>
  <si>
    <t>Calçado de segurança</t>
  </si>
  <si>
    <t>5.10</t>
  </si>
  <si>
    <t>Luva de segurança</t>
  </si>
  <si>
    <t>5.11</t>
  </si>
  <si>
    <t>Óculos de segurança</t>
  </si>
  <si>
    <t>5.12</t>
  </si>
  <si>
    <t>Protetor solar</t>
  </si>
  <si>
    <t>5.13</t>
  </si>
  <si>
    <t>Máscara facial</t>
  </si>
  <si>
    <t>5.14</t>
  </si>
  <si>
    <t>Perneira</t>
  </si>
  <si>
    <t>5.15</t>
  </si>
  <si>
    <t>Mascara PFF2</t>
  </si>
  <si>
    <t>Imposto, seguro e licencimento</t>
  </si>
  <si>
    <t>6.1</t>
  </si>
  <si>
    <t>IPVA - Veículos de passeio e utilitários (sobre o valor do veículo)</t>
  </si>
  <si>
    <t>Gov SC</t>
  </si>
  <si>
    <t>6.2</t>
  </si>
  <si>
    <t>IPVA - Veículo de transporte de carga (sobre o valor do veículo)</t>
  </si>
  <si>
    <t>6.3</t>
  </si>
  <si>
    <t>IPVA - Veículo de transporte de passageiros (sobre o valor do veículo)</t>
  </si>
  <si>
    <t>6.4</t>
  </si>
  <si>
    <t>IPVA - Motocicletas (sobre o valor do veículo)</t>
  </si>
  <si>
    <t>6.5</t>
  </si>
  <si>
    <t xml:space="preserve">Fator de correção para cálculo do IPVA </t>
  </si>
  <si>
    <t>6.6</t>
  </si>
  <si>
    <t>Licenciamento caminhões coleta</t>
  </si>
  <si>
    <t>6.7</t>
  </si>
  <si>
    <t>Licenciamento caminhões coleta seletiva</t>
  </si>
  <si>
    <t>6.8</t>
  </si>
  <si>
    <t>Licenciamento do utilitário</t>
  </si>
  <si>
    <t>6.9</t>
  </si>
  <si>
    <t>Licenciamento da Onibus/ Van</t>
  </si>
  <si>
    <t>6.10</t>
  </si>
  <si>
    <t>Licenciamento veículos</t>
  </si>
  <si>
    <t>6.11</t>
  </si>
  <si>
    <t>Licenciamento moto</t>
  </si>
  <si>
    <t>Preço de Insumos</t>
  </si>
  <si>
    <t>7.1</t>
  </si>
  <si>
    <t>Óleo diesel</t>
  </si>
  <si>
    <t>R$/litro</t>
  </si>
  <si>
    <t>7.2</t>
  </si>
  <si>
    <t>Gasolina</t>
  </si>
  <si>
    <t>7.3</t>
  </si>
  <si>
    <t>Graxa</t>
  </si>
  <si>
    <t>7.4</t>
  </si>
  <si>
    <t>Óleo motor/hidráulico</t>
  </si>
  <si>
    <t>7.5</t>
  </si>
  <si>
    <t>Óleo para motocicleta</t>
  </si>
  <si>
    <t>7.6</t>
  </si>
  <si>
    <t>Óleo para carter de veículo de apoio</t>
  </si>
  <si>
    <t>7.7</t>
  </si>
  <si>
    <t>Caminhão Tipo 1 - Principais insumos de rodagem</t>
  </si>
  <si>
    <t>7.7.1</t>
  </si>
  <si>
    <t>Pneu</t>
  </si>
  <si>
    <t>7.7.2</t>
  </si>
  <si>
    <t>Câmara (x2)</t>
  </si>
  <si>
    <t>7.7.3</t>
  </si>
  <si>
    <t>Protetor (x2)</t>
  </si>
  <si>
    <t>7.7.4</t>
  </si>
  <si>
    <t>Recapagem (x2)</t>
  </si>
  <si>
    <t>7.7.5</t>
  </si>
  <si>
    <t>Consertos (x3)</t>
  </si>
  <si>
    <t>7.8</t>
  </si>
  <si>
    <t>Caminhão Tipo 2 - Principais insumos de rodagem</t>
  </si>
  <si>
    <t>7.8.1</t>
  </si>
  <si>
    <t>7.8.2</t>
  </si>
  <si>
    <t>7.8.3</t>
  </si>
  <si>
    <t>7.8.4</t>
  </si>
  <si>
    <t>7.8.5</t>
  </si>
  <si>
    <t>7.9</t>
  </si>
  <si>
    <t>Caminhão Tipo 3 - Principais insumos de rodagem</t>
  </si>
  <si>
    <t>7.9.1</t>
  </si>
  <si>
    <t>7.9.2</t>
  </si>
  <si>
    <t>7.9.3</t>
  </si>
  <si>
    <t>7.9.4</t>
  </si>
  <si>
    <t>7.9.5</t>
  </si>
  <si>
    <t>7.10</t>
  </si>
  <si>
    <t>Caminhão Tipo 4 - Principais insumos de rodagem</t>
  </si>
  <si>
    <t>7.10.1</t>
  </si>
  <si>
    <t>7.10.2</t>
  </si>
  <si>
    <t>7.10.3</t>
  </si>
  <si>
    <t>7.10.4</t>
  </si>
  <si>
    <t>7.10.5</t>
  </si>
  <si>
    <t>7.11</t>
  </si>
  <si>
    <t>Caminhão coleta PEV / limpeza pública</t>
  </si>
  <si>
    <t>7.11.1</t>
  </si>
  <si>
    <t>7.11.2</t>
  </si>
  <si>
    <t>7.11.3</t>
  </si>
  <si>
    <t>7.11.4</t>
  </si>
  <si>
    <t>Recapagem</t>
  </si>
  <si>
    <t>7.11.5</t>
  </si>
  <si>
    <t>7.12</t>
  </si>
  <si>
    <t>Ônibus - Principais insumos de rodagem</t>
  </si>
  <si>
    <t>7.12.1</t>
  </si>
  <si>
    <t>7.12.2</t>
  </si>
  <si>
    <t>7.12.3</t>
  </si>
  <si>
    <t>7.12.4</t>
  </si>
  <si>
    <t>7.12.5</t>
  </si>
  <si>
    <t>7.13</t>
  </si>
  <si>
    <t>Trator Coletor - Principais insumos de rodagem</t>
  </si>
  <si>
    <t>7.13.1</t>
  </si>
  <si>
    <t>7.13.2</t>
  </si>
  <si>
    <t>7.13.3</t>
  </si>
  <si>
    <t>7.13.4</t>
  </si>
  <si>
    <t>7.13.5</t>
  </si>
  <si>
    <t>7.14</t>
  </si>
  <si>
    <t>Trator cortador de grama - giro zero -  Principais insumos de rodagem - roda dianteira</t>
  </si>
  <si>
    <t>7.14.1</t>
  </si>
  <si>
    <t>7.14.2</t>
  </si>
  <si>
    <t xml:space="preserve">Câmara </t>
  </si>
  <si>
    <t>7.15</t>
  </si>
  <si>
    <t>Trator cortador de grama - giro zero -  Principais insumos de rodagem - roda traseira</t>
  </si>
  <si>
    <t>7.15.1</t>
  </si>
  <si>
    <t>7.15.2</t>
  </si>
  <si>
    <t>Pneu Veículo utilitário / Veículo de passeio</t>
  </si>
  <si>
    <t>Jogo de Pneu e câmara - motocicleta</t>
  </si>
  <si>
    <t>Dados Operacionais</t>
  </si>
  <si>
    <t>8.1</t>
  </si>
  <si>
    <t>Fator de Utilização</t>
  </si>
  <si>
    <t>8.1.1</t>
  </si>
  <si>
    <t>Número de contentores na primeira fase da mecanização da coleta convencional ano 1</t>
  </si>
  <si>
    <t>unidades</t>
  </si>
  <si>
    <t>Elaboração própria</t>
  </si>
  <si>
    <t>8.1.2</t>
  </si>
  <si>
    <t>Número de contentores na segunda fase da mecanização da coleta convencional ano 3</t>
  </si>
  <si>
    <t>8.1.3</t>
  </si>
  <si>
    <t>Número de contentores na terceira fase da mecanização da coleta convencional ano 5</t>
  </si>
  <si>
    <t>8.1.4</t>
  </si>
  <si>
    <t>Número de contentores na terceira fase da mecanização da coleta seletiva ano 1</t>
  </si>
  <si>
    <t>8.1.5</t>
  </si>
  <si>
    <t>Número de contentores na terceira fase da mecanização da coleta seletiva ano 3</t>
  </si>
  <si>
    <t>8.1.6</t>
  </si>
  <si>
    <t>Número de contentores na terceira fase da mecanização da coleta seletiva ano 5</t>
  </si>
  <si>
    <t>8.1.7</t>
  </si>
  <si>
    <t>Percentual de veículos reserva (caminhões/equipamentos)</t>
  </si>
  <si>
    <t>8.1.8</t>
  </si>
  <si>
    <t>Fator de utilização de caminhão compactador com carregamento manual</t>
  </si>
  <si>
    <t>Ton/mês/veículo</t>
  </si>
  <si>
    <t>8.1.9</t>
  </si>
  <si>
    <t>Fator de utilização de caminhão compactador com carregamento mecanizado</t>
  </si>
  <si>
    <t>Contentores/veículo/dia (3 turnos)</t>
  </si>
  <si>
    <t>8.1.10</t>
  </si>
  <si>
    <t>Fator de utilização de caminhão coleta seletiva</t>
  </si>
  <si>
    <t>8.1.11</t>
  </si>
  <si>
    <t>Caminhão compactador de pequeno porte para áreas de difícil acesso</t>
  </si>
  <si>
    <t>Caminhão peq. porte</t>
  </si>
  <si>
    <t>8.1.12</t>
  </si>
  <si>
    <t>Número de coletores por equipe de coleta convencional</t>
  </si>
  <si>
    <t>coletores</t>
  </si>
  <si>
    <t>8.1.13</t>
  </si>
  <si>
    <t>Número de coletores por equipe de coleta mecanizada</t>
  </si>
  <si>
    <t>8.1.14</t>
  </si>
  <si>
    <t>Número de coletores da coleta seletiva</t>
  </si>
  <si>
    <t>8.1.15</t>
  </si>
  <si>
    <t>Percentual de coletores/servente reserva</t>
  </si>
  <si>
    <t>8.1.16</t>
  </si>
  <si>
    <t>Percentual de motoristas reserva</t>
  </si>
  <si>
    <t>8.1.17</t>
  </si>
  <si>
    <t>Turnos de operação da coleta convencional</t>
  </si>
  <si>
    <t>turnos</t>
  </si>
  <si>
    <t>8.1.18</t>
  </si>
  <si>
    <t>Turnos de operação da coleta mecanizada</t>
  </si>
  <si>
    <t>8.1.19</t>
  </si>
  <si>
    <t>Turnos de operação da coleta seletiva</t>
  </si>
  <si>
    <t>8.2</t>
  </si>
  <si>
    <t>Quilometragem média mensal por veículo</t>
  </si>
  <si>
    <t>8.2.1</t>
  </si>
  <si>
    <t>Frota operacional - coleta convencional</t>
  </si>
  <si>
    <t>Km/mês.veículo</t>
  </si>
  <si>
    <t>8.2.2</t>
  </si>
  <si>
    <t>Frota operacional - coleta seletiva</t>
  </si>
  <si>
    <t>8.2.3</t>
  </si>
  <si>
    <t>Frota operacional - lavação de contentores</t>
  </si>
  <si>
    <t>8.2.4</t>
  </si>
  <si>
    <t>Frota operacional - transporte de resíduos PEV</t>
  </si>
  <si>
    <t>8.2.5</t>
  </si>
  <si>
    <t>Frota de apoio - veículo de passeio</t>
  </si>
  <si>
    <t>8.2.6</t>
  </si>
  <si>
    <t>Frota de apoio - veículo utilitário leve</t>
  </si>
  <si>
    <t>8.2.7</t>
  </si>
  <si>
    <t>Frota de apoio - motocicleta</t>
  </si>
  <si>
    <t>8.2.8</t>
  </si>
  <si>
    <t>Caminhão basculante (serviços gerais - limpeza de vias urbanas)</t>
  </si>
  <si>
    <t>8.2.9</t>
  </si>
  <si>
    <t>Trator giro zero (roçada de áreas públicas)</t>
  </si>
  <si>
    <t>h/mês.veículo</t>
  </si>
  <si>
    <t>8.2.10</t>
  </si>
  <si>
    <t>8.2.11</t>
  </si>
  <si>
    <t>Roçadeira costal  (roçada de áreas públicas)</t>
  </si>
  <si>
    <t>h/mês.equip.</t>
  </si>
  <si>
    <t>8.2.12</t>
  </si>
  <si>
    <t>Soprador costal  (roçada de áreas públicas)</t>
  </si>
  <si>
    <t>8.2.13</t>
  </si>
  <si>
    <t>Minivarredeira  (serviços gerais - limpeza de vias urbanas)</t>
  </si>
  <si>
    <t>8.2.14</t>
  </si>
  <si>
    <t>8.2.15</t>
  </si>
  <si>
    <t>Capinadeira mecânica (serviços gerais - limpeza de vias urbanas)</t>
  </si>
  <si>
    <t>8.2.16</t>
  </si>
  <si>
    <t>8.2.17</t>
  </si>
  <si>
    <t>Roçadeira costal  (serviços gerais - limpeza de vias urbanas)</t>
  </si>
  <si>
    <t>8.2.18</t>
  </si>
  <si>
    <t>Soprador costal  (serviços gerais - limpeza de vias urbanas)</t>
  </si>
  <si>
    <t>h/mês.equi.</t>
  </si>
  <si>
    <t>8.2.19</t>
  </si>
  <si>
    <t>Ônibus  (serviços gerais - limpeza de vias urbanas)</t>
  </si>
  <si>
    <t>8.2.20</t>
  </si>
  <si>
    <t>Van  (serviços gerais - limpeza de vias urbanas)</t>
  </si>
  <si>
    <t>8.2.21</t>
  </si>
  <si>
    <t>Motocicleta (serviços gerais - limpeza de vias urbanas)</t>
  </si>
  <si>
    <t>8.2.22</t>
  </si>
  <si>
    <t>Caminhão basculante de 6m³ (roçada - limpeza de vias urbanas)</t>
  </si>
  <si>
    <t>8.2.23</t>
  </si>
  <si>
    <t>Van (roçada - limpeza de vias urbanas)</t>
  </si>
  <si>
    <t>8.2.24</t>
  </si>
  <si>
    <t>Motocicleta 125cc (roçada - limpeza de vias urbanas)</t>
  </si>
  <si>
    <t>8.2.25</t>
  </si>
  <si>
    <t>Caminhão basculante de 12m³  (serviço de poda - limpeza de vias urbana)</t>
  </si>
  <si>
    <t>8.2.26</t>
  </si>
  <si>
    <t>Motocicleta 125cc  (serviço de poda - limpeza de vias urbana)</t>
  </si>
  <si>
    <t>8.2.27</t>
  </si>
  <si>
    <t>Trtiturador de galhos  (serviço de poda - limpeza de vias urbana)</t>
  </si>
  <si>
    <t>8.2.28</t>
  </si>
  <si>
    <t>Motosserra  (serviço de poda - limpeza de vias urbana)</t>
  </si>
  <si>
    <t>8.2.29</t>
  </si>
  <si>
    <t>Motopoda  (serviço de poda - limpeza de vias urbana)</t>
  </si>
  <si>
    <t>8.3</t>
  </si>
  <si>
    <t>Consumo médio mensal</t>
  </si>
  <si>
    <t>8.3.1</t>
  </si>
  <si>
    <t>Frota operacional - coleta convencional - Caminhão tipo 1</t>
  </si>
  <si>
    <t>Km/l</t>
  </si>
  <si>
    <t>8.3.2</t>
  </si>
  <si>
    <t>Frota operacional - coleta mecanizada - Caminhão tipo 2</t>
  </si>
  <si>
    <t>8.3.3</t>
  </si>
  <si>
    <t>Frota operacional - coleta seletiva -  Caminhão tipo 3</t>
  </si>
  <si>
    <t>8.3.4</t>
  </si>
  <si>
    <t>Frota operacional - transporte PEV/limpeza pública</t>
  </si>
  <si>
    <t>8.3.5</t>
  </si>
  <si>
    <t>h/l</t>
  </si>
  <si>
    <t>8.3.6</t>
  </si>
  <si>
    <t>Capinadeira/minivarredeira</t>
  </si>
  <si>
    <t>8.3.7</t>
  </si>
  <si>
    <t>8.3.8</t>
  </si>
  <si>
    <t>8.3.9</t>
  </si>
  <si>
    <t>Onibus (limpeza de vias urbanas)</t>
  </si>
  <si>
    <t>8.3.10</t>
  </si>
  <si>
    <t>Van (limpeza de vias urbanas)</t>
  </si>
  <si>
    <t>8.3.11</t>
  </si>
  <si>
    <t>Trtiturador de galhos</t>
  </si>
  <si>
    <t>8.3.12</t>
  </si>
  <si>
    <t>8.3.13</t>
  </si>
  <si>
    <t>8.3.14</t>
  </si>
  <si>
    <t>Frota de apoio - Veículo de passeio</t>
  </si>
  <si>
    <t>8.3.15</t>
  </si>
  <si>
    <t>8.3.16</t>
  </si>
  <si>
    <t>8.3.17</t>
  </si>
  <si>
    <t xml:space="preserve">Consumo médio de graxa - frota operacional Caminhão </t>
  </si>
  <si>
    <t>L/km</t>
  </si>
  <si>
    <t>8.3.18</t>
  </si>
  <si>
    <t xml:space="preserve">Consumo médio de óleo motor/hidr. - frota operacional - Caminhão </t>
  </si>
  <si>
    <t>8.3.19</t>
  </si>
  <si>
    <t>Consumo médio de graxa - Caminhão Limpeza Urbana</t>
  </si>
  <si>
    <t>8.3.20</t>
  </si>
  <si>
    <t>Consumo médio de óleo motor/ hidr. - Caminhão Limpeza Urbana</t>
  </si>
  <si>
    <t>8.3.21</t>
  </si>
  <si>
    <t>Consumo médio de óleo para veículos de apoio</t>
  </si>
  <si>
    <t>8.3.22</t>
  </si>
  <si>
    <t>Consumo médio de óleo para motocicleta</t>
  </si>
  <si>
    <t>8.3.23</t>
  </si>
  <si>
    <t>Custo de lavação para caminhões operacionais</t>
  </si>
  <si>
    <t>R$/ano</t>
  </si>
  <si>
    <t>8.3.24</t>
  </si>
  <si>
    <t>Custo de lavação para caminhões reserva</t>
  </si>
  <si>
    <t>8.3.25</t>
  </si>
  <si>
    <t>Custo de lavação para veículos de apoio</t>
  </si>
  <si>
    <t>8.3.26</t>
  </si>
  <si>
    <t>Custo de lavação para motocicletas</t>
  </si>
  <si>
    <t>8.3.27</t>
  </si>
  <si>
    <t>Custo de lavação para tratores, van e ôbinus</t>
  </si>
  <si>
    <t>8.4</t>
  </si>
  <si>
    <t xml:space="preserve">Durabilidade de Rodagem </t>
  </si>
  <si>
    <t>8.4.1</t>
  </si>
  <si>
    <t>Pneu - frota operacional - coleta domiciliar - Caminhão tipo 1 (*)</t>
  </si>
  <si>
    <t>Km</t>
  </si>
  <si>
    <t>8.4.2</t>
  </si>
  <si>
    <t>Pneu - frota operacional - coleta domiciliar - Caminhão tipo 2 (*)</t>
  </si>
  <si>
    <t>8.4.3</t>
  </si>
  <si>
    <t>Pneu - frota operacional - coleta seletiva -  Caminhão tipo 3 (*)</t>
  </si>
  <si>
    <t>8.4.4</t>
  </si>
  <si>
    <t>Pneu- frota operacional - transporte PEV / limpeza pública</t>
  </si>
  <si>
    <t>8.4.5</t>
  </si>
  <si>
    <t>Pneu - frota operacional - Onibus / Van</t>
  </si>
  <si>
    <t>8.4.6</t>
  </si>
  <si>
    <t>Pneu - frota operacional - Trator Capinadeira/Minivarredeira/Trator giro zero</t>
  </si>
  <si>
    <t>8.4.7</t>
  </si>
  <si>
    <t>Pneu - frota de apoio - Veículo de passeio</t>
  </si>
  <si>
    <t>8.4.8</t>
  </si>
  <si>
    <t>Pneu - frota de apoio - veículo utilitário leve</t>
  </si>
  <si>
    <t>8.4.9</t>
  </si>
  <si>
    <t>Pneu - frota de apoio - motocicleta</t>
  </si>
  <si>
    <t>(*) Inclui 2 recapagens, 2 câmaras, 2 protetores e 3 consertos</t>
  </si>
  <si>
    <t>8.5</t>
  </si>
  <si>
    <t>Quantidade de Pneus por rodagem</t>
  </si>
  <si>
    <t>8.5.1</t>
  </si>
  <si>
    <t>Frota operacional - coleta domiciliar - Caminhão tipo 1</t>
  </si>
  <si>
    <t>8.5.2</t>
  </si>
  <si>
    <t>Frota operacional - coleta domiciliar - Caminhão tipo 2</t>
  </si>
  <si>
    <t>8.5.3</t>
  </si>
  <si>
    <t>8.5.4</t>
  </si>
  <si>
    <t>Frota operacional - Transporte PEV / limpeza pública</t>
  </si>
  <si>
    <t>8.5.5</t>
  </si>
  <si>
    <t>Frota operacional - Onibus</t>
  </si>
  <si>
    <t>8.5.6</t>
  </si>
  <si>
    <t>Frota operacional - Van</t>
  </si>
  <si>
    <t>8.5.7</t>
  </si>
  <si>
    <t>Frota operacional - Trator coletor</t>
  </si>
  <si>
    <t>8.5.8</t>
  </si>
  <si>
    <t>Frota operacional - Trator  cortador de grama - giro zero  - roda dianteira</t>
  </si>
  <si>
    <t>8.5.9</t>
  </si>
  <si>
    <t>Frota operacional - Trator  cortador de grama - giro zero  - roda traseira</t>
  </si>
  <si>
    <t>8.5.10</t>
  </si>
  <si>
    <t>8.5.11</t>
  </si>
  <si>
    <t>8.5.12</t>
  </si>
  <si>
    <t>8.6</t>
  </si>
  <si>
    <t>Custo de Rodagem por Veículo</t>
  </si>
  <si>
    <t>8.6.1</t>
  </si>
  <si>
    <t>8.6.2</t>
  </si>
  <si>
    <t>8.6.3</t>
  </si>
  <si>
    <t>8.6.4</t>
  </si>
  <si>
    <t>Frota operacional - transporte PEV / limpeza pública</t>
  </si>
  <si>
    <t>8.6.5</t>
  </si>
  <si>
    <t>8.6.6</t>
  </si>
  <si>
    <t>8.6.7</t>
  </si>
  <si>
    <t>Capinadeira/Varredeira mecânica</t>
  </si>
  <si>
    <t>8.6.8</t>
  </si>
  <si>
    <t xml:space="preserve">Trator  cortador de grama - giro zero </t>
  </si>
  <si>
    <t>8.6.9</t>
  </si>
  <si>
    <t>8.6.10</t>
  </si>
  <si>
    <t>8.6.11</t>
  </si>
  <si>
    <t>8.6.12</t>
  </si>
  <si>
    <t>Custo de Manutenção / valor global da frota (peças e equipamentos - anual)</t>
  </si>
  <si>
    <t>8.6.13</t>
  </si>
  <si>
    <t>Custo de Manutenção / valor global da frota (peças e equipamentos - anual) - coleta convencional</t>
  </si>
  <si>
    <t>8.7</t>
  </si>
  <si>
    <t>Dados operacionais dos serviços de limpeza</t>
  </si>
  <si>
    <t>8.7.1</t>
  </si>
  <si>
    <t>Produção média do varredor</t>
  </si>
  <si>
    <t>km de meio fio/dia</t>
  </si>
  <si>
    <t>8.7.2</t>
  </si>
  <si>
    <t>Número de varredores/habitante</t>
  </si>
  <si>
    <t>varr./hab.</t>
  </si>
  <si>
    <t>8.7.3</t>
  </si>
  <si>
    <t>Nùmero máximo de varredores para 1 fiscal</t>
  </si>
  <si>
    <t>varredor</t>
  </si>
  <si>
    <t>8.7.4</t>
  </si>
  <si>
    <t>Nùmero máximo de varredores para 1 encarregado</t>
  </si>
  <si>
    <t>8.7.5</t>
  </si>
  <si>
    <t>Percentual de varredores reserva (varrição manual)</t>
  </si>
  <si>
    <t>varredores</t>
  </si>
  <si>
    <t>8.7.6</t>
  </si>
  <si>
    <t xml:space="preserve">Percentual de serventes reserva </t>
  </si>
  <si>
    <t>serviços gerais</t>
  </si>
  <si>
    <t>8.8</t>
  </si>
  <si>
    <t>Serviços Gerais</t>
  </si>
  <si>
    <t>8.8.1</t>
  </si>
  <si>
    <t>Caminhões Basculante</t>
  </si>
  <si>
    <t>unidade</t>
  </si>
  <si>
    <t>8.8.2</t>
  </si>
  <si>
    <t>8.8.3</t>
  </si>
  <si>
    <t>Trator com capinadeira</t>
  </si>
  <si>
    <t>8.8.4</t>
  </si>
  <si>
    <t>8.8.5</t>
  </si>
  <si>
    <t xml:space="preserve">Sopradores </t>
  </si>
  <si>
    <t>8.8.6</t>
  </si>
  <si>
    <t>Ônibus</t>
  </si>
  <si>
    <t>8.8.7</t>
  </si>
  <si>
    <t xml:space="preserve">Van </t>
  </si>
  <si>
    <t>8.8.8</t>
  </si>
  <si>
    <t xml:space="preserve">Número de motoristas </t>
  </si>
  <si>
    <t>motoristas</t>
  </si>
  <si>
    <t>8.8.9</t>
  </si>
  <si>
    <t>Número de serventes</t>
  </si>
  <si>
    <t>serventes</t>
  </si>
  <si>
    <t>8.8.10</t>
  </si>
  <si>
    <t xml:space="preserve">Número de fiscais </t>
  </si>
  <si>
    <t>fiscal</t>
  </si>
  <si>
    <t>8.9</t>
  </si>
  <si>
    <t>Roçada de áreas públicas</t>
  </si>
  <si>
    <t>8.9.1</t>
  </si>
  <si>
    <t>Caminhão basculante de 6m³</t>
  </si>
  <si>
    <t>8.9.2</t>
  </si>
  <si>
    <t>Van</t>
  </si>
  <si>
    <t>8.9.3</t>
  </si>
  <si>
    <t xml:space="preserve">Motocicleta 125cc </t>
  </si>
  <si>
    <t>8.9.4</t>
  </si>
  <si>
    <t>8.9.5</t>
  </si>
  <si>
    <t>8.9.6</t>
  </si>
  <si>
    <t>8.9.7</t>
  </si>
  <si>
    <t xml:space="preserve">Número de morotista </t>
  </si>
  <si>
    <t>8.9.8</t>
  </si>
  <si>
    <t>8.9.9</t>
  </si>
  <si>
    <t>8.10</t>
  </si>
  <si>
    <t>Serviço de poda</t>
  </si>
  <si>
    <t>8.10.1</t>
  </si>
  <si>
    <t>Caminhão com cesto aéreo duplo - Serviço de poda</t>
  </si>
  <si>
    <t>8.10.2</t>
  </si>
  <si>
    <t>Caminhão basculante de 12m³ - Serviço de poda</t>
  </si>
  <si>
    <t>8.10.3</t>
  </si>
  <si>
    <t>Motocicleta 125cc - Serviço de poda</t>
  </si>
  <si>
    <t>8.10.4</t>
  </si>
  <si>
    <t>Trtiturador de galhos - Serviço de poda</t>
  </si>
  <si>
    <t>8.10.5</t>
  </si>
  <si>
    <t>Motosserra - Serviço de poda</t>
  </si>
  <si>
    <t>8.10.6</t>
  </si>
  <si>
    <t>Motopoda - Serviço de poda</t>
  </si>
  <si>
    <t>8.10.7</t>
  </si>
  <si>
    <t>8.10.8</t>
  </si>
  <si>
    <t>8.10.9</t>
  </si>
  <si>
    <t>Implantação de Equipamentos</t>
  </si>
  <si>
    <t>9.1</t>
  </si>
  <si>
    <t>Contentores de 1,0 m³ para PEV</t>
  </si>
  <si>
    <t>9.2</t>
  </si>
  <si>
    <t>Caçambas de 6,0 m³ para PEV</t>
  </si>
  <si>
    <t>9.3</t>
  </si>
  <si>
    <t>Número de PEVs - novos</t>
  </si>
  <si>
    <t>9.4</t>
  </si>
  <si>
    <t>Número de PEVs - já em operação no município</t>
  </si>
  <si>
    <t>9.5</t>
  </si>
  <si>
    <t>Cesto papeleiro etapa 1</t>
  </si>
  <si>
    <t>9.6</t>
  </si>
  <si>
    <t>Cesto papeleiro etapa 2</t>
  </si>
  <si>
    <t>9.7</t>
  </si>
  <si>
    <t>Cesto papeleiro etapa 3</t>
  </si>
  <si>
    <t>9.8</t>
  </si>
  <si>
    <t>Sacos (60 litros) cestos papeleiro</t>
  </si>
  <si>
    <t>sacos/cesto/ano</t>
  </si>
  <si>
    <t>9.9</t>
  </si>
  <si>
    <t>Ecoponto etapa 1</t>
  </si>
  <si>
    <t>9.10</t>
  </si>
  <si>
    <t>Ecoponto etapa 2</t>
  </si>
  <si>
    <t>9.11</t>
  </si>
  <si>
    <t>Ecoponto etapa 3</t>
  </si>
  <si>
    <t>9.12</t>
  </si>
  <si>
    <t>Contentores de 1,0 m³ para Ecoponto</t>
  </si>
  <si>
    <t>Unidades/ecoponto</t>
  </si>
  <si>
    <t>Transporte de Resíduos PEV</t>
  </si>
  <si>
    <t>10.1</t>
  </si>
  <si>
    <t xml:space="preserve">Quantidade de veículos </t>
  </si>
  <si>
    <t>10.2</t>
  </si>
  <si>
    <t>Turnos para coleta de PEV</t>
  </si>
  <si>
    <t>10.3</t>
  </si>
  <si>
    <t>Número de motoristas em 1 turno para coleta nos PEVs</t>
  </si>
  <si>
    <t>Composteira Doméstica</t>
  </si>
  <si>
    <t>11.1</t>
  </si>
  <si>
    <t>unidade/ano</t>
  </si>
  <si>
    <t>Dados Complementares</t>
  </si>
  <si>
    <t>12.1</t>
  </si>
  <si>
    <t>Custo de regulação</t>
  </si>
  <si>
    <t>R$/hab*ano</t>
  </si>
  <si>
    <t>12.2</t>
  </si>
  <si>
    <t>Custo de Trannsbordo, Tratamento, Transporte e Disposição final em aterro sanitário licenciado</t>
  </si>
  <si>
    <t>R$/ton</t>
  </si>
  <si>
    <t>Composição</t>
  </si>
  <si>
    <t>12.3</t>
  </si>
  <si>
    <t>Preço embalagem plástica para coleta seletiva de materiais recicláveis</t>
  </si>
  <si>
    <t>R$ / unidade</t>
  </si>
  <si>
    <t>ARIS</t>
  </si>
  <si>
    <t>Dados para composição tarifária</t>
  </si>
  <si>
    <t>13.1</t>
  </si>
  <si>
    <t>Tarifa base 2024</t>
  </si>
  <si>
    <t>R$ / mês</t>
  </si>
  <si>
    <t>13.2</t>
  </si>
  <si>
    <t>Residencial (6 x semana)</t>
  </si>
  <si>
    <t>-</t>
  </si>
  <si>
    <t>Tarifa base</t>
  </si>
  <si>
    <t>13.3</t>
  </si>
  <si>
    <t>Residencial (3 x semana)</t>
  </si>
  <si>
    <t>13.4</t>
  </si>
  <si>
    <t>Residencial (1 a 2x semana) - Rural</t>
  </si>
  <si>
    <t>13.5</t>
  </si>
  <si>
    <t>Comercial (6 x semana)</t>
  </si>
  <si>
    <t>13.6</t>
  </si>
  <si>
    <t>Comercial (3 x semana)</t>
  </si>
  <si>
    <t>13.7</t>
  </si>
  <si>
    <t>Comercial (1 a 2x semana) - Rural</t>
  </si>
  <si>
    <t>13.8</t>
  </si>
  <si>
    <t>Público (6 x semana)</t>
  </si>
  <si>
    <t>13.9</t>
  </si>
  <si>
    <t>Público (3 x semana)</t>
  </si>
  <si>
    <t>13.10</t>
  </si>
  <si>
    <t>Público (1 a 2x semana) - Rural</t>
  </si>
  <si>
    <t>13.11</t>
  </si>
  <si>
    <t>Social (6 x semana)</t>
  </si>
  <si>
    <t>13.12</t>
  </si>
  <si>
    <t>Social (3 x semana)</t>
  </si>
  <si>
    <t>13.13</t>
  </si>
  <si>
    <t>Social (1 a 2x semana) - Rural</t>
  </si>
  <si>
    <t>Imóveis</t>
  </si>
  <si>
    <t>14.1</t>
  </si>
  <si>
    <t>Aluguéis</t>
  </si>
  <si>
    <t>Internet</t>
  </si>
  <si>
    <t>14.2</t>
  </si>
  <si>
    <t>Imóvel para setor de Relação com o Usuário</t>
  </si>
  <si>
    <t>Modelo (1 - Progressivo / 2 - Gatilho)</t>
  </si>
  <si>
    <t>Reajuste previsto para 2025</t>
  </si>
  <si>
    <t>Reajuste real ano 6</t>
  </si>
  <si>
    <t>Gatilho 1</t>
  </si>
  <si>
    <t>Incremento real  Anual</t>
  </si>
  <si>
    <t>TIR</t>
  </si>
  <si>
    <t>QUADRO DE EVOLUÇAO POPULACIONAL</t>
  </si>
  <si>
    <t>ANO</t>
  </si>
  <si>
    <t>EVOLUÇÃO POPULACIONAL</t>
  </si>
  <si>
    <t>POPULAÇÃO URBANA</t>
  </si>
  <si>
    <t>POPULAÇÃO RURAL</t>
  </si>
  <si>
    <t>POPULAÇÃO TOTAL</t>
  </si>
  <si>
    <t>População</t>
  </si>
  <si>
    <t>Ano 0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</si>
  <si>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</si>
  <si>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</si>
  <si>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</si>
  <si>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</si>
  <si>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</si>
  <si>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</si>
  <si>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</si>
  <si>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</si>
  <si>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</si>
  <si>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</si>
  <si>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Ano 11</t>
  </si>
  <si>
    <t>Ano 12</t>
  </si>
  <si>
    <t>Ano 13</t>
  </si>
  <si>
    <t>Ano 14</t>
  </si>
  <si>
    <t>Ano 15</t>
  </si>
  <si>
    <t>Ano 16</t>
  </si>
  <si>
    <t>Ano 17</t>
  </si>
  <si>
    <t>Ano 18</t>
  </si>
  <si>
    <t>Ano 19</t>
  </si>
  <si>
    <t>Ano 20</t>
  </si>
  <si>
    <t>Ano 21</t>
  </si>
  <si>
    <t>Ano 22</t>
  </si>
  <si>
    <t>Ano 23</t>
  </si>
  <si>
    <t>Ano 24</t>
  </si>
  <si>
    <t>Ano 25</t>
  </si>
  <si>
    <t>Ano 26</t>
  </si>
  <si>
    <t>Ano 27</t>
  </si>
  <si>
    <t>Ano 28</t>
  </si>
  <si>
    <t>Ano 29</t>
  </si>
  <si>
    <t>Ano 30</t>
  </si>
  <si>
    <t>Ano 31</t>
  </si>
  <si>
    <t>Ano 32</t>
  </si>
  <si>
    <t>Ano 33</t>
  </si>
  <si>
    <t>Ano 34</t>
  </si>
  <si>
    <t>Ano 35</t>
  </si>
  <si>
    <t>QUADRO DE PROJEÇÃO DA GERAÇÃO DE RESÍDUOS</t>
  </si>
  <si>
    <t>Ano</t>
  </si>
  <si>
    <t>Geração de Resíduos (Toneladas)</t>
  </si>
  <si>
    <t>Tratamento na Fonte Geradora</t>
  </si>
  <si>
    <t>Coleta Seletiva e Valorização para Reciclagem</t>
  </si>
  <si>
    <t>Coleta, Tratamento e Valorização</t>
  </si>
  <si>
    <t>Disposição Final de Resíduos e Rejeitos</t>
  </si>
  <si>
    <t>Produção Anual Total</t>
  </si>
  <si>
    <t>Matéria Orgânica Total</t>
  </si>
  <si>
    <t>Materiais recicláveis</t>
  </si>
  <si>
    <t>Rejeitos</t>
  </si>
  <si>
    <t>Percentual de tratamento</t>
  </si>
  <si>
    <t>Matéria Orgânica Compostável na fonte
(ton.)</t>
  </si>
  <si>
    <t>Matarial Reciclável - Coleta Seletiva
(ton.)</t>
  </si>
  <si>
    <t>Meta de Valorização para Reciclagem
(ton.)</t>
  </si>
  <si>
    <t>Materias Recicláveis Valorizados
(ton.)</t>
  </si>
  <si>
    <t>Percentual de Material Reciclável da  Coleta Seletiva</t>
  </si>
  <si>
    <t>Meta de recuperação de materiais recicláveis no Sul do Brasil
(PLANARES</t>
  </si>
  <si>
    <t>Rejeitos da Valorização para Reciclagem
(ton.)</t>
  </si>
  <si>
    <t>Resíduos Coletados pela Coleta Convencional + Rejeitos da Valorização
(ton.)</t>
  </si>
  <si>
    <t>Resíduos de Lodo de ETA e ETE 
(*gradeamento e desarenador)</t>
  </si>
  <si>
    <t>Resíduos de Limpeza Púbica 
(ton.)</t>
  </si>
  <si>
    <t>Total Resíduos Passíveis de Valorização 
(Coleta Convencional e Limpeza Públicas)
(ton.)</t>
  </si>
  <si>
    <t>Meta de Tratamento e Valorização de Resíduos</t>
  </si>
  <si>
    <t>Resíduos Tratados e Valorizados
(ton.)</t>
  </si>
  <si>
    <t>Rejeitos do tratamento e valorização
(ton.)</t>
  </si>
  <si>
    <t>Rejeitos de Processos (Coleta convencional + rejeitos das cooperativas + limpeza urbana) para Disposição Final em Aterro Sanitário (ton.)</t>
  </si>
  <si>
    <t>Transporte e Disposição Final de Lodo até Aterro Sanitário</t>
  </si>
  <si>
    <t>Percentual de Valorização (Compostagem caseira + Reciclagem + Valorização)</t>
  </si>
  <si>
    <t xml:space="preserve">Meta de Recuperação da massa total de RSU no Sul do Brasil (PLANARES) </t>
  </si>
  <si>
    <t>VEÍCULOS E EQUIPAMENTOS</t>
  </si>
  <si>
    <t>Número de Veículos por Categoria</t>
  </si>
  <si>
    <t>Ano 01</t>
  </si>
  <si>
    <t>Ano 02</t>
  </si>
  <si>
    <t>Ano 03</t>
  </si>
  <si>
    <t>Ano 04</t>
  </si>
  <si>
    <t>Ano 05</t>
  </si>
  <si>
    <t>Ano 06</t>
  </si>
  <si>
    <t>Ano 07</t>
  </si>
  <si>
    <t>Ano 08</t>
  </si>
  <si>
    <t>Ano 09</t>
  </si>
  <si>
    <t>Operação Coleta e Transporte de Resíduos</t>
  </si>
  <si>
    <t>Caminhão Compactador - Coleta convencional manual</t>
  </si>
  <si>
    <t>Caminhão Compactador - Coleta convencional (reserva)</t>
  </si>
  <si>
    <t>Caminhão Compactador - Coleta convencional mecanizada</t>
  </si>
  <si>
    <t>Caminhão Compactador de Pequeno Porte</t>
  </si>
  <si>
    <t>Caminhão Compactador de Pequeno Porte (reserva)</t>
  </si>
  <si>
    <t>Total de veículos compactadores operacionais 15m³</t>
  </si>
  <si>
    <t>Total de veículos compactadores</t>
  </si>
  <si>
    <t>Caminhão com caçamba de lavação de contentores (col. Mecanizada)</t>
  </si>
  <si>
    <t>Veículo Utilitário leve</t>
  </si>
  <si>
    <t>Motocicleta</t>
  </si>
  <si>
    <t>Operação Coleta Seletiva</t>
  </si>
  <si>
    <t>Caminhão Compactador - Coleta seletiva manual</t>
  </si>
  <si>
    <t>Caminhão Compactador - Coleta seletiva (reserva)</t>
  </si>
  <si>
    <t>Caminhão Compactador - Coleta seletiva mecanizada</t>
  </si>
  <si>
    <t>Veículo Utilitário leve (distribuição de sacos verdes)</t>
  </si>
  <si>
    <t>Manutenção</t>
  </si>
  <si>
    <t>Engenharia</t>
  </si>
  <si>
    <t>Veículo de Passeio</t>
  </si>
  <si>
    <t>Gestão Comercial</t>
  </si>
  <si>
    <t>Administração da SPE</t>
  </si>
  <si>
    <t xml:space="preserve">Equipamentos </t>
  </si>
  <si>
    <t>Contentores - 1,0m³  Para coleta mecanizada convencional</t>
  </si>
  <si>
    <t>Contentores - 1,0m³  Para coleta mecanizada seletiva</t>
  </si>
  <si>
    <t>Contentores de 1,0 m° Para PEV</t>
  </si>
  <si>
    <t>Caçambas estacionárias de 6m³ Para PEV</t>
  </si>
  <si>
    <t>Cesto papeleiro</t>
  </si>
  <si>
    <t>Contentores de 1,0 m° Para Ecoponto</t>
  </si>
  <si>
    <t>Operação Transporte resíduos PEV</t>
  </si>
  <si>
    <t>Caminhão poliguindaste</t>
  </si>
  <si>
    <t>Caminhão poliguindaste (reserva)</t>
  </si>
  <si>
    <t>Veículos e Equipamentos dos Serviços Gerais de Limpeza</t>
  </si>
  <si>
    <t>Caminhão basculante de 12m³</t>
  </si>
  <si>
    <t>Roçadeira costal (reserva)</t>
  </si>
  <si>
    <t>Soprador costal (reserva)</t>
  </si>
  <si>
    <t>Motocicleta 125cc</t>
  </si>
  <si>
    <t>Veículos e Equipamentos Roçada de Áreas Públicas</t>
  </si>
  <si>
    <t>Trator giro zero reserva</t>
  </si>
  <si>
    <t>Roçadeira costal reserva</t>
  </si>
  <si>
    <t>Soprador costal reserva</t>
  </si>
  <si>
    <t>Veículos e Equipamentos Serviços de poda</t>
  </si>
  <si>
    <t>Trtiturador de galhos (reserva)</t>
  </si>
  <si>
    <t>Motoserra</t>
  </si>
  <si>
    <t>Motosserra (reserva)</t>
  </si>
  <si>
    <t>Motopoda (reserva)</t>
  </si>
  <si>
    <t>Veículos da Varrição Manual</t>
  </si>
  <si>
    <t>Insumos para varredor</t>
  </si>
  <si>
    <t xml:space="preserve">Composteira </t>
  </si>
  <si>
    <t>EVOLUÇÃO DE PESSOAL</t>
  </si>
  <si>
    <t>Número de Integrantes por Categoria</t>
  </si>
  <si>
    <t>SPE</t>
  </si>
  <si>
    <t>Operação</t>
  </si>
  <si>
    <t>Ponto de Entrega Voluntária PEV e Ecoponto</t>
  </si>
  <si>
    <t>Transporte Resíduos PEV</t>
  </si>
  <si>
    <t>Servços Gerais</t>
  </si>
  <si>
    <t>Roçada de Áreas Públicas</t>
  </si>
  <si>
    <t>Varrição manual</t>
  </si>
  <si>
    <t>Total de Integrantes</t>
  </si>
  <si>
    <t>Diretor de Concessão</t>
  </si>
  <si>
    <t>Gerente de Operações</t>
  </si>
  <si>
    <t>Secretária Executiva</t>
  </si>
  <si>
    <t>Comunicador Social</t>
  </si>
  <si>
    <t>Técnico de Informática</t>
  </si>
  <si>
    <t>Encarregado administrativo</t>
  </si>
  <si>
    <t>Assistente administrativo</t>
  </si>
  <si>
    <t>Recepcionista</t>
  </si>
  <si>
    <t>Copeira</t>
  </si>
  <si>
    <t>Auxiliar de serviços gerais</t>
  </si>
  <si>
    <t>Encarregado de RH</t>
  </si>
  <si>
    <t>Comprador</t>
  </si>
  <si>
    <t>Almoxarife</t>
  </si>
  <si>
    <t>Contador</t>
  </si>
  <si>
    <t>Assistente de contabilidade</t>
  </si>
  <si>
    <t>Assistente de contas a pagar</t>
  </si>
  <si>
    <t>Técnico de segurança do trabalho</t>
  </si>
  <si>
    <t>Analista ambiental</t>
  </si>
  <si>
    <t>Analista de marketing</t>
  </si>
  <si>
    <t>Estagiário</t>
  </si>
  <si>
    <t>Engenheiro civil/sanitarista - coleta e serviços gerais de limpeza</t>
  </si>
  <si>
    <t>Supervisor de operação</t>
  </si>
  <si>
    <t>Coleta Convencional</t>
  </si>
  <si>
    <t>Motorista (inclusive reservas)</t>
  </si>
  <si>
    <t xml:space="preserve">Coletor - coleta manual (inclusive reservas) </t>
  </si>
  <si>
    <t>Fiscal</t>
  </si>
  <si>
    <t>Encarregado</t>
  </si>
  <si>
    <t>Coleta Seletiva</t>
  </si>
  <si>
    <t>Coletor (inclusive reservas)</t>
  </si>
  <si>
    <t>Ponto de Entrega Voluntária (PEV) e Ecoponto</t>
  </si>
  <si>
    <t xml:space="preserve">Servente PEVs (inclusive reservas) </t>
  </si>
  <si>
    <t>Servente Ecopontos</t>
  </si>
  <si>
    <t xml:space="preserve">Manutenção </t>
  </si>
  <si>
    <t>Supervisor de Manutenção</t>
  </si>
  <si>
    <t>Mecânico de Manutenção</t>
  </si>
  <si>
    <t>Auxiliar de Manutenção Mecânica</t>
  </si>
  <si>
    <t>Eletricista</t>
  </si>
  <si>
    <t>Borracheiro</t>
  </si>
  <si>
    <t>Serviços Gerais de Limpeza</t>
  </si>
  <si>
    <t>Motorista (contando reservas)</t>
  </si>
  <si>
    <t>Servente (contando reservas)</t>
  </si>
  <si>
    <t>Motorista</t>
  </si>
  <si>
    <t>Serviços de poda</t>
  </si>
  <si>
    <t>Varrição Manual</t>
  </si>
  <si>
    <t>Varredor</t>
  </si>
  <si>
    <t>Varredor (reserva)</t>
  </si>
  <si>
    <t>Varredor (total)</t>
  </si>
  <si>
    <t>COMPOSIÇÃO DO SALÁRIO</t>
  </si>
  <si>
    <t>Custo mensal</t>
  </si>
  <si>
    <t>Salário</t>
  </si>
  <si>
    <t>Ad. Insal.</t>
  </si>
  <si>
    <t>Ad. Not.</t>
  </si>
  <si>
    <t>Hora extra</t>
  </si>
  <si>
    <t>Salário total</t>
  </si>
  <si>
    <t>Encargos salariais</t>
  </si>
  <si>
    <t>V.A.</t>
  </si>
  <si>
    <t>V.T.</t>
  </si>
  <si>
    <t>Relação com o Usuário</t>
  </si>
  <si>
    <t>Coordenador de faturamento, cobrança e arrecadação</t>
  </si>
  <si>
    <t>Auxiliar de cobrança e arrecadação</t>
  </si>
  <si>
    <t>Atendente presencial e telefônico</t>
  </si>
  <si>
    <t>Coletor</t>
  </si>
  <si>
    <t>Servente PEVs</t>
  </si>
  <si>
    <t>Limpeza Pública</t>
  </si>
  <si>
    <t>Servente</t>
  </si>
  <si>
    <t>EVOLUÇÃO DE CUSTOS COM PESSOAL</t>
  </si>
  <si>
    <t>Ponto de Entrega Voluntária PEV</t>
  </si>
  <si>
    <t>Limpeza Urbana</t>
  </si>
  <si>
    <t>FUNÇÃO</t>
  </si>
  <si>
    <t>Custo anual</t>
  </si>
  <si>
    <t>Camisa adm</t>
  </si>
  <si>
    <t>Calça adm</t>
  </si>
  <si>
    <t>Jaqueta adm</t>
  </si>
  <si>
    <t>Camisa oper.</t>
  </si>
  <si>
    <t>Calça oper.</t>
  </si>
  <si>
    <t>Jaqueta oper.</t>
  </si>
  <si>
    <t>Boné oper.</t>
  </si>
  <si>
    <t>Conj. Inpermeável</t>
  </si>
  <si>
    <t>Sapato de seg.</t>
  </si>
  <si>
    <t>Luva oper</t>
  </si>
  <si>
    <t>Óculos</t>
  </si>
  <si>
    <t>Protetor Solar</t>
  </si>
  <si>
    <t>Máscara Facial</t>
  </si>
  <si>
    <t>Perneita</t>
  </si>
  <si>
    <t>UNIFORMES E EPIs</t>
  </si>
  <si>
    <t>Consumo anual por funcionário</t>
  </si>
  <si>
    <t>ADMINISTRATIVO</t>
  </si>
  <si>
    <t>Engenheiro civil/sanitarista - planejamento e projetos</t>
  </si>
  <si>
    <t>Servente PEV</t>
  </si>
  <si>
    <t>Servente Ecoponto</t>
  </si>
  <si>
    <t>Obs: Não está prevista a triagem dos resíduos da coleta seletiva, cujos materias são destinados às cooperativas  locais</t>
  </si>
  <si>
    <t>EVOLUÇÃO DE CUSTOS COM COMBUSTÍVEIS, ÓLEOS E GRAXA</t>
  </si>
  <si>
    <t>1. Custos de Combustíveis</t>
  </si>
  <si>
    <t xml:space="preserve">Coleta Convencional (Manual, Mecanizada e Pequeno Porte </t>
  </si>
  <si>
    <t xml:space="preserve">Quilometragem </t>
  </si>
  <si>
    <t xml:space="preserve">Consumo </t>
  </si>
  <si>
    <t>Custo anual com combustível</t>
  </si>
  <si>
    <t>Coleta Domiciliar - Caminhão lavador</t>
  </si>
  <si>
    <t>Coleta Seletiva (Manual e Mecanizada)</t>
  </si>
  <si>
    <t>Frota de Apoio - Utilitário Leve</t>
  </si>
  <si>
    <t>Frota de Apoio - Passeio</t>
  </si>
  <si>
    <t>Frota de Apoio - Motocilceta</t>
  </si>
  <si>
    <t>Veículos Transporte Resíduos PEV</t>
  </si>
  <si>
    <t>Caminhão basculante - serviços gerais</t>
  </si>
  <si>
    <t>Minivarredeira - serviços gerais</t>
  </si>
  <si>
    <t xml:space="preserve">Horas </t>
  </si>
  <si>
    <t>Trator com capinadeira - serviços gerais</t>
  </si>
  <si>
    <t>Roçadeira Costal - serviços gerais</t>
  </si>
  <si>
    <t>Soprador Costal - serviços gerais</t>
  </si>
  <si>
    <t>Ônibus - serviços gerais</t>
  </si>
  <si>
    <t>Van - serviços gerais</t>
  </si>
  <si>
    <t>Motocicleta - serviços gerais</t>
  </si>
  <si>
    <t>Caminhão basculante de 6m³ - roçada de áreas públicas</t>
  </si>
  <si>
    <t>Van - roçada de áreas públicas</t>
  </si>
  <si>
    <t>Quilometragem da Frota Operacional</t>
  </si>
  <si>
    <t>Consumo da Frota Operacional</t>
  </si>
  <si>
    <t>Motocicleta 125cc - roçada de áreas públicas</t>
  </si>
  <si>
    <t>Trator giro zero - roçada de áreas públicas</t>
  </si>
  <si>
    <t>Roçadeira costal - roçada de áreas públicas</t>
  </si>
  <si>
    <t>Soprador costal - roçada de áreas públicas</t>
  </si>
  <si>
    <t>Caminhão basculante de 12m³ - Poda</t>
  </si>
  <si>
    <t>Motocicleta 125cc - Poda</t>
  </si>
  <si>
    <t>Trtiturador de galhos - Poda</t>
  </si>
  <si>
    <t>Motosserra - Poda</t>
  </si>
  <si>
    <t>Motopoda - Poda</t>
  </si>
  <si>
    <t>Motocicleta - Varrição Manual</t>
  </si>
  <si>
    <t>2. Custos de óleos e graxas</t>
  </si>
  <si>
    <t xml:space="preserve">Custo de graxa - coleta </t>
  </si>
  <si>
    <t>Custo de óleo hidráulico - coleta (L)</t>
  </si>
  <si>
    <t>Custo de óleo - veículos de apoio</t>
  </si>
  <si>
    <t>Custo de óleo para motocicletas</t>
  </si>
  <si>
    <t>Custo de graxa - limpeza urb</t>
  </si>
  <si>
    <t>Custo de óleo hidráulico - limpeza urb</t>
  </si>
  <si>
    <t>Custo de óleo - veículos de apoio limpeza urb</t>
  </si>
  <si>
    <t>Custo de óleo - moto - limpeza urb</t>
  </si>
  <si>
    <t>3. Lavações</t>
  </si>
  <si>
    <t>Custo de lavação para caminhões reservas</t>
  </si>
  <si>
    <t>Custo de lavação para van e ôbinus</t>
  </si>
  <si>
    <t>Custo total</t>
  </si>
  <si>
    <t xml:space="preserve">EVOLUÇÃO DE CUSTOS OPERACIONAIS COM RODAGEM </t>
  </si>
  <si>
    <t>Rodagem (pneus e consertos)</t>
  </si>
  <si>
    <t>Coleta Convencional (Manual e Pequeno Porte)</t>
  </si>
  <si>
    <t>Número de trocas de rodagem por ano</t>
  </si>
  <si>
    <t>Custo anual de rodagem</t>
  </si>
  <si>
    <t>Coleta Convencional Mecanizada</t>
  </si>
  <si>
    <t>Caminhão lavador - Mecanizada</t>
  </si>
  <si>
    <t>Coleta Seletiva Manual</t>
  </si>
  <si>
    <t>Coleta Seletiva Mecanizada</t>
  </si>
  <si>
    <t>Ônibus  - serviços gerais</t>
  </si>
  <si>
    <t>Van  - serviços gerais</t>
  </si>
  <si>
    <t>Motocicleta  - serviços gerais</t>
  </si>
  <si>
    <t>MANUTENÇÃO DE VEÍCULOS E EQUIPAMENTOS</t>
  </si>
  <si>
    <t>Total (R$)</t>
  </si>
  <si>
    <t>Custo total de manutenção (anual)</t>
  </si>
  <si>
    <t xml:space="preserve">Caminhão Compactador - Coleta Convencional </t>
  </si>
  <si>
    <t>Dispositivo Coleta Mecanizada</t>
  </si>
  <si>
    <t>Caminhão lavador - Coleta Mecanizada</t>
  </si>
  <si>
    <t xml:space="preserve"> Coleta Seletiva</t>
  </si>
  <si>
    <t>Caminhão Compactador - Coleta Seletiva</t>
  </si>
  <si>
    <t>Equipamentos Contentores</t>
  </si>
  <si>
    <t>IMPOSTOS, SEGUROS E LICENCIAMENTOS DE VEÍCULOS E EQUIPAMENTOS</t>
  </si>
  <si>
    <t>IPVA médio (considerando depreciação dos veículos)</t>
  </si>
  <si>
    <t>TOTAL (R$)</t>
  </si>
  <si>
    <t>ANO 1</t>
  </si>
  <si>
    <t>ANO 2</t>
  </si>
  <si>
    <t>ANO 3</t>
  </si>
  <si>
    <t>ANO 4</t>
  </si>
  <si>
    <t>ANO 5</t>
  </si>
  <si>
    <t>ANO 6</t>
  </si>
  <si>
    <t>ANO 7</t>
  </si>
  <si>
    <t>ANO 8</t>
  </si>
  <si>
    <t>ANO 9</t>
  </si>
  <si>
    <t>ANO 10</t>
  </si>
  <si>
    <t>ANO 11</t>
  </si>
  <si>
    <t>ANO 12</t>
  </si>
  <si>
    <t>ANO 13</t>
  </si>
  <si>
    <t>ANO 14</t>
  </si>
  <si>
    <t>ANO 15</t>
  </si>
  <si>
    <t>ANO 16</t>
  </si>
  <si>
    <t>ANO 17</t>
  </si>
  <si>
    <t>ANO 18</t>
  </si>
  <si>
    <t>ANO 19</t>
  </si>
  <si>
    <t>ANO 20</t>
  </si>
  <si>
    <t>ANO 21</t>
  </si>
  <si>
    <t>ANO 22</t>
  </si>
  <si>
    <t>ANO 23</t>
  </si>
  <si>
    <t>ANO 24</t>
  </si>
  <si>
    <t>ANO 25</t>
  </si>
  <si>
    <t>ANO 26</t>
  </si>
  <si>
    <t>ANO 27</t>
  </si>
  <si>
    <t>ANO 28</t>
  </si>
  <si>
    <t>ANO 29</t>
  </si>
  <si>
    <t>ANO 30</t>
  </si>
  <si>
    <t>ANO 31</t>
  </si>
  <si>
    <t>ANO 32</t>
  </si>
  <si>
    <t>ANO 33</t>
  </si>
  <si>
    <t>ANO 34</t>
  </si>
  <si>
    <t>ANO 35</t>
  </si>
  <si>
    <t>VALOR DO IPVA + SEGURO + LICENCIAMENTO</t>
  </si>
  <si>
    <t>Caminhão Compactador - Coleta (Manual e Reserva)</t>
  </si>
  <si>
    <t>Caminhão coletor compactador de pequeno porte</t>
  </si>
  <si>
    <t>Caminhão Compactador com dispositivo de coleta mecanizda</t>
  </si>
  <si>
    <t xml:space="preserve">Coleta Seletiva </t>
  </si>
  <si>
    <t>Caminhão Compactador - Coleta Seletiva (Manual e Reserva)</t>
  </si>
  <si>
    <t>Serviços de Apoio</t>
  </si>
  <si>
    <t>Veículo Utilitário leve (manutenção)</t>
  </si>
  <si>
    <t>Veículo de Passeio (engenharia)</t>
  </si>
  <si>
    <t>Veículo de Passeio (gestão comercial)</t>
  </si>
  <si>
    <t>Veículo de Passeio (administração da SPE)</t>
  </si>
  <si>
    <t>Caminhão basculante</t>
  </si>
  <si>
    <t>DESPESAS ADMINISTRATIVAS GERAIS</t>
  </si>
  <si>
    <t>CUSTOS FIXOS MENSAIS</t>
  </si>
  <si>
    <t>Descrição</t>
  </si>
  <si>
    <t>Valor mensal (R$)</t>
  </si>
  <si>
    <t>Valor anual (R$)</t>
  </si>
  <si>
    <t>Acumulado</t>
  </si>
  <si>
    <t>1. Sede da SPE e Coleta</t>
  </si>
  <si>
    <t>Aluguel</t>
  </si>
  <si>
    <t>Despesas com água, luz, telefone e correio</t>
  </si>
  <si>
    <t>Monitoramento de frota</t>
  </si>
  <si>
    <t>Telefone celular (gerência)</t>
  </si>
  <si>
    <t>Telefone celular (operacional)</t>
  </si>
  <si>
    <t>Material de expediente</t>
  </si>
  <si>
    <t>Custo de manutenção de mobília e equipamentos (10% a.a. sobre R$ 20.000,00)</t>
  </si>
  <si>
    <t>Custo de capital sobre mobília e equipamentos (0,97% a.m. sobre R$ 20.000,00)</t>
  </si>
  <si>
    <t xml:space="preserve">Vigilância </t>
  </si>
  <si>
    <t>Assessoria técnica em informática</t>
  </si>
  <si>
    <t>Assessoria jurídica</t>
  </si>
  <si>
    <t>2. Imóvel para setor de Limpeza Urbana</t>
  </si>
  <si>
    <t>Custo de manutneção de mobília e equipamentos (10% a.a. sobre R$ 10.000,00)</t>
  </si>
  <si>
    <t>Custo de capital sobre mobília e equipamentos (0,97% a.m. sobre R$ 10.000,00)</t>
  </si>
  <si>
    <t>3. Imóvel para setor de Relação com o Usuário</t>
  </si>
  <si>
    <t>Custo de manutenção de mobília e equipamentos (10% a.a. sobre R$ 30.000,00)</t>
  </si>
  <si>
    <t>Custo de capital sobre mobília e equipamentos (0,97% a.m. sobre R$ 50.000,00)</t>
  </si>
  <si>
    <t>Licenças e locações de softwares e aparelhos para a central de atendimento</t>
  </si>
  <si>
    <t>Consultoria jurídica</t>
  </si>
  <si>
    <t>4. Educação Ambiental</t>
  </si>
  <si>
    <t>Materiais para programa de educação ambiental</t>
  </si>
  <si>
    <t>Total Global</t>
  </si>
  <si>
    <t>CRONOGRAMA DE INVESTIMENTOS</t>
  </si>
  <si>
    <t>Grupo</t>
  </si>
  <si>
    <t>INVESTIMENTO ANUAL TOTAL (R$ '000)</t>
  </si>
  <si>
    <t>Divisível</t>
  </si>
  <si>
    <t>Caminhão Compactador 15m³</t>
  </si>
  <si>
    <t>Veículos</t>
  </si>
  <si>
    <t>Caminhão Compactador - reserva</t>
  </si>
  <si>
    <t>Caminhão Compactador de pequeno porte</t>
  </si>
  <si>
    <t>Caminhão Compactador de pequeno porte - reserva</t>
  </si>
  <si>
    <t>Dispositivo de coleta mecanizada (com  reserva)</t>
  </si>
  <si>
    <t>Equipamentos</t>
  </si>
  <si>
    <t xml:space="preserve">Contentores - 1,0m³  Para coleta mecanizada </t>
  </si>
  <si>
    <t>Caminhão Compactador - Coleta Seletiva - reserva</t>
  </si>
  <si>
    <t>Ponto de Entrega Voluntário PEV e Ecoponto</t>
  </si>
  <si>
    <t>Edificações</t>
  </si>
  <si>
    <t>Indivisível</t>
  </si>
  <si>
    <t xml:space="preserve">Trator capinadeira </t>
  </si>
  <si>
    <t>Motoserra (reserva)</t>
  </si>
  <si>
    <t>Estudos e Projetos</t>
  </si>
  <si>
    <t>Licenças Ambientais (Estudos Ambientais e Licenças)</t>
  </si>
  <si>
    <t>Estudos</t>
  </si>
  <si>
    <t>Projetos Ténicos</t>
  </si>
  <si>
    <t>Estudo de composição gravimétrica</t>
  </si>
  <si>
    <t>Reembolso do PMI</t>
  </si>
  <si>
    <t>Venda de Imobilizado</t>
  </si>
  <si>
    <t>Investimento em Obras e equipamentos</t>
  </si>
  <si>
    <t>* Não está prevista a triagem dos resíduos da coleta seletiva, cujos materiais são destinados às cooperativas locais</t>
  </si>
  <si>
    <t>** Investimento previsto para a modernização dos equipamentos, considerando novas tecnologias que poderão estar disponíveis</t>
  </si>
  <si>
    <t>RESUMO CAPEX</t>
  </si>
  <si>
    <t>VALOR (R$)</t>
  </si>
  <si>
    <t>Total de Investimento</t>
  </si>
  <si>
    <t>RESUMO OPEX</t>
  </si>
  <si>
    <t>Pessoal e EPIs</t>
  </si>
  <si>
    <t>Veículos e equipamentos</t>
  </si>
  <si>
    <t>Insumos para limpeza urbana</t>
  </si>
  <si>
    <t>Transbordo, transporte, tratamento e disposição final</t>
  </si>
  <si>
    <t>Residual</t>
  </si>
  <si>
    <t>Depreciação</t>
  </si>
  <si>
    <t>Capex</t>
  </si>
  <si>
    <t>Saldo Inicial</t>
  </si>
  <si>
    <t>Adições</t>
  </si>
  <si>
    <t>Baixas</t>
  </si>
  <si>
    <t>Depreciações</t>
  </si>
  <si>
    <t>Saldo Final</t>
  </si>
  <si>
    <t>Vendas de Ativo</t>
  </si>
  <si>
    <t>Custo Residual</t>
  </si>
  <si>
    <t>Margem</t>
  </si>
  <si>
    <t>Total da Venda</t>
  </si>
  <si>
    <t>PLANILHA DE COMPOSIÇÃO DE CUSTOS FIXOS DA RELAÇÃO COM USUÁRIO</t>
  </si>
  <si>
    <t>PLANILHA DE COMPOSIÇÃO DE CUSTOS VARIÁVEIS DA RELAÇÃO COM USUÁRIO</t>
  </si>
  <si>
    <t>ITEM</t>
  </si>
  <si>
    <t>DESCRIÇÃO</t>
  </si>
  <si>
    <t>UNID.</t>
  </si>
  <si>
    <t>QUANTIDADE</t>
  </si>
  <si>
    <t>CUSTO UNITÁRIO (R$)</t>
  </si>
  <si>
    <t>CUSTO TOTAL (R$)</t>
  </si>
  <si>
    <t>1 - PESSOAL SEM ENCARGOS</t>
  </si>
  <si>
    <t>1 - COBRANÇAS E IMPRESSOS</t>
  </si>
  <si>
    <t>1.0</t>
  </si>
  <si>
    <t>Equipe</t>
  </si>
  <si>
    <t>Pagamentos em parcela única via boleto</t>
  </si>
  <si>
    <t>usuários/mês</t>
  </si>
  <si>
    <t>Gerente de relação com usuário</t>
  </si>
  <si>
    <t>funcionários</t>
  </si>
  <si>
    <t>Pagamentos em parcelas mensais via boleto</t>
  </si>
  <si>
    <t>Auxiliar jurídico</t>
  </si>
  <si>
    <t>Pagamentos via débito automático em conta</t>
  </si>
  <si>
    <t>Auxiliar de CPD</t>
  </si>
  <si>
    <t>Baixa de boletos registrados e não liquidados</t>
  </si>
  <si>
    <t>Auxiliar de atendimento presencial e telefônico</t>
  </si>
  <si>
    <t>Pagamentos via cartão de débito/crédito tarifa de liquidação</t>
  </si>
  <si>
    <t>SUB-TOTAL ITEM 1</t>
  </si>
  <si>
    <t>Negativação de inadimplentes na Serasa (envio de carta + registro no cadastro)</t>
  </si>
  <si>
    <t>2 - ENCARGOS SOCIAIS</t>
  </si>
  <si>
    <t>Carnê para cobrança da tarifa (1 por usuário)</t>
  </si>
  <si>
    <t>Taxa sobre o Sub-Total do Item 1</t>
  </si>
  <si>
    <t>Entrega via correio do carnê</t>
  </si>
  <si>
    <t>SUB-TOTAL ITEM 2</t>
  </si>
  <si>
    <t>Notificação de débito por SMS</t>
  </si>
  <si>
    <t>3 - BENEFÍCIOS</t>
  </si>
  <si>
    <t>Higienização e enriquecimento do cadastro</t>
  </si>
  <si>
    <t>Cartas de Notificação aos usuários (impressão e entrega)</t>
  </si>
  <si>
    <t>2 - FLYER DE CONSCIENTIZAÇÃO</t>
  </si>
  <si>
    <t>Impressão flyer</t>
  </si>
  <si>
    <t>SUB-TOTAL ITEM 3</t>
  </si>
  <si>
    <t>4 - EPIs E UNIFORMES</t>
  </si>
  <si>
    <t>VALOR TOTAL POR USUÁRIO</t>
  </si>
  <si>
    <t>MENSAL POR USUÁRIO</t>
  </si>
  <si>
    <t>4.4.</t>
  </si>
  <si>
    <t>ANUAL POR USUÁRIO</t>
  </si>
  <si>
    <t>SUB-TOTAL ITEM 4</t>
  </si>
  <si>
    <t>5 - SISTEMAS</t>
  </si>
  <si>
    <t>Sistema para recebimentos por cartões de crédito/débito (habilitação/CNPJ)</t>
  </si>
  <si>
    <t>mensalidade</t>
  </si>
  <si>
    <t>Sistema para recebimentos por cartões de crédito/débito (pontos adicionais de atendimento)</t>
  </si>
  <si>
    <t>Sistema de gestão de fila de atendimento presencial</t>
  </si>
  <si>
    <t>Sistema de gestão de concessão</t>
  </si>
  <si>
    <t>Sistema de gestão jurídico</t>
  </si>
  <si>
    <t>Sistema de atendimento por chat/whatsapp</t>
  </si>
  <si>
    <t>SUB-TOTAL ITEM 5</t>
  </si>
  <si>
    <t>6 - SISTEMA, MOBÍLIA E EQUIPAMENTOS - DEPRECIAÇÃO</t>
  </si>
  <si>
    <t>valor</t>
  </si>
  <si>
    <t>meses</t>
  </si>
  <si>
    <t>Servidor de rede local</t>
  </si>
  <si>
    <t>unid./mês</t>
  </si>
  <si>
    <t>Notebook</t>
  </si>
  <si>
    <t>Mobiliário e utensílios</t>
  </si>
  <si>
    <t>Terminal emissor de senhas</t>
  </si>
  <si>
    <t>SUB-TOTAL ITEM 6</t>
  </si>
  <si>
    <t>7 - MOBÍLIA E EQUIPAMENTOS - MANUTENÇÃO</t>
  </si>
  <si>
    <t>Custo de manutenção de mobília e equipamentos (10% a.a.)</t>
  </si>
  <si>
    <t>SUB-TOTAL ITEM 7</t>
  </si>
  <si>
    <t>8 - MOBÍLIA E EQUIPAMENTOS - CUSTO DE CAPITAL</t>
  </si>
  <si>
    <t>Custo de capital sobre mobília e equipamentos (0,97% a.m.)</t>
  </si>
  <si>
    <t>SUB-TOTAL ITEM 8</t>
  </si>
  <si>
    <t>VALOR TOTAL</t>
  </si>
  <si>
    <t>MENSAL</t>
  </si>
  <si>
    <t>ANUAL</t>
  </si>
  <si>
    <t>COMPOSIÇÃO DO CUSTEIO</t>
  </si>
  <si>
    <t>TOTAL DE DESPESAS OPERACIONAIS E ADMINISTRATIVAS</t>
  </si>
  <si>
    <t>TOTAL</t>
  </si>
  <si>
    <t>R$'000 / ano</t>
  </si>
  <si>
    <t>Pessoal</t>
  </si>
  <si>
    <t>Combustível, óleos e graxas e lavação</t>
  </si>
  <si>
    <t>Rodagem</t>
  </si>
  <si>
    <t>IPVA e licenciamento dos veículos</t>
  </si>
  <si>
    <t>Uniformes e EPIs</t>
  </si>
  <si>
    <t>Caminhão cesto aéreo duplo 12 ou 14m</t>
  </si>
  <si>
    <t>Insumos para varrição manual</t>
  </si>
  <si>
    <t>Insumos para serviços gerais de limpeza</t>
  </si>
  <si>
    <t>Composteiras domésticas</t>
  </si>
  <si>
    <t>Sacos (60 litros) cestos papeleiros</t>
  </si>
  <si>
    <t>Despesas administrativas gerais</t>
  </si>
  <si>
    <t>Custos de Regulação</t>
  </si>
  <si>
    <t>Embalagem plástica para coleta seletiva de materiais recicláveis</t>
  </si>
  <si>
    <t>Relação com usuário e cobrança</t>
  </si>
  <si>
    <t>Total de Despesas Operacionais e Administrativas</t>
  </si>
  <si>
    <t>ESTRUTURA TARIFÁRIA E FATURAMENTO</t>
  </si>
  <si>
    <t>Dado de partida</t>
  </si>
  <si>
    <t>Crescimento conforme campanário</t>
  </si>
  <si>
    <t xml:space="preserve">Total de Usuários </t>
  </si>
  <si>
    <t>Distribuição conforme GIS</t>
  </si>
  <si>
    <t>6.12</t>
  </si>
  <si>
    <t>Classificação de Uso</t>
  </si>
  <si>
    <t>FATOR Base</t>
  </si>
  <si>
    <t>Tarifa Anual (R$)</t>
  </si>
  <si>
    <t>PREÇO DE REFERÊNCIA</t>
  </si>
  <si>
    <t>Valor Base 2024</t>
  </si>
  <si>
    <t>Reajuste previsto 2025</t>
  </si>
  <si>
    <t>Valor Base 2025</t>
  </si>
  <si>
    <t>GATILHO</t>
  </si>
  <si>
    <t>VALOR BASE COM CORREÇÃO</t>
  </si>
  <si>
    <t>Faturamento por Categoria</t>
  </si>
  <si>
    <t>FATURAMENTO ANUAL TOTAL (x1000)</t>
  </si>
  <si>
    <t>Utilização</t>
  </si>
  <si>
    <t>Valor da Tarifa (R$/mês)</t>
  </si>
  <si>
    <t>Diária</t>
  </si>
  <si>
    <t>Alternada</t>
  </si>
  <si>
    <t>Localizada (Rural)</t>
  </si>
  <si>
    <t>Residencial</t>
  </si>
  <si>
    <t>Comercial</t>
  </si>
  <si>
    <t>Público</t>
  </si>
  <si>
    <t>Social</t>
  </si>
  <si>
    <t>PROJEÇÃO DO SUPLEMENTO</t>
  </si>
  <si>
    <t xml:space="preserve">1 - Será realizado o suplemento dos valores referentes aos Serviços Gerais de Limpeza e Varrição Manual de Vias Urbanas (pagamento da Prefeitura), bem como do valor referente ao primeiro ano </t>
  </si>
  <si>
    <t>da concessão, até a implementação da cobrança de tarifa diretamente dos usuários</t>
  </si>
  <si>
    <t xml:space="preserve">2- Preço dos serviços </t>
  </si>
  <si>
    <t>Contraprestação anual</t>
  </si>
  <si>
    <t>PROJEÇÃO DAS PERDAS POR INADIMPLÊNCIA</t>
  </si>
  <si>
    <t>1 - Considerou-se perdas por inadimplência, decrescentes ao longo do período de prestação dos serviços</t>
  </si>
  <si>
    <t>Tarifa</t>
  </si>
  <si>
    <t>Coleta e tratamento de RSU</t>
  </si>
  <si>
    <t>Percentual de inadimplência no ano</t>
  </si>
  <si>
    <t>Valor referente à inadimplência</t>
  </si>
  <si>
    <t>Percentual de recuperação admissível</t>
  </si>
  <si>
    <t>Velor de recuperação de inad.</t>
  </si>
  <si>
    <t>Total (anual) - Valores em R$ '000</t>
  </si>
  <si>
    <t>Seguro - Multiriscos (Cobertura de 5 milhões)</t>
  </si>
  <si>
    <t xml:space="preserve">Despesas com seguros </t>
  </si>
  <si>
    <t>Valor total de cobertura</t>
  </si>
  <si>
    <t>% para pagamento da apólice anual</t>
  </si>
  <si>
    <t>Despesas com seguros multiriscos</t>
  </si>
  <si>
    <t>Despesas com Seguros e Garantias da PPP</t>
  </si>
  <si>
    <t>Seguro - Responsabilidade Civil (10 milhões até o 3º ano)</t>
  </si>
  <si>
    <t>Seguro Garantia Execução</t>
  </si>
  <si>
    <t>Valor seguro garantia</t>
  </si>
  <si>
    <t>Alocação seguro garantia de execução</t>
  </si>
  <si>
    <t>Valor seguro garantia de execução</t>
  </si>
  <si>
    <t>Seguro - Garantia de Execução (5% do valor do contrato)</t>
  </si>
  <si>
    <t xml:space="preserve">Valor contrato PPP </t>
  </si>
  <si>
    <t>Parcela PPP</t>
  </si>
  <si>
    <t>Alocação seguro garantia operacional de execução</t>
  </si>
  <si>
    <t>Valor seguro garantia operacional de execução</t>
  </si>
  <si>
    <t>Seguro - Engenharia (0,35% do valor do Capex)</t>
  </si>
  <si>
    <t>Total Capex</t>
  </si>
  <si>
    <t>Taxa ARIS</t>
  </si>
  <si>
    <t xml:space="preserve">Taxas pagas mensalmente pelo prestador de serviço </t>
  </si>
  <si>
    <t>Varrição e Limpeza de Vias Públicas</t>
  </si>
  <si>
    <t>TRVL=NHxR$0,0200</t>
  </si>
  <si>
    <t>TRVL - Taxa de Regulação de Varrição e Limpeza de Vias Públicas</t>
  </si>
  <si>
    <t>NH - Número de habitantes no município</t>
  </si>
  <si>
    <t>R$ 0,0200 - valor apurado para o custo da regulação dos serviços de varrição e limpeza de vias públicas por habitante</t>
  </si>
  <si>
    <t>Coleta de Resíduos Sólidos</t>
  </si>
  <si>
    <r>
      <t>TRCR=NHxR$0,0300</t>
    </r>
    <r>
      <rPr>
        <sz val="10"/>
        <color indexed="8"/>
        <rFont val="Arial"/>
        <family val="2"/>
      </rPr>
      <t>, onde</t>
    </r>
  </si>
  <si>
    <t>TRCR - Taxa de Regulação de Coleta de Resíduos Sólidos</t>
  </si>
  <si>
    <t>R$ 0,0300 - valor apurado para o custo da regulação dos serviços de coleta de resíduos sólidos por habitante</t>
  </si>
  <si>
    <t>Transbordo e Transporte de Resíduos Sólidos</t>
  </si>
  <si>
    <r>
      <t>TRTR=NHxR$0,0100</t>
    </r>
    <r>
      <rPr>
        <sz val="10"/>
        <color indexed="8"/>
        <rFont val="Arial"/>
        <family val="2"/>
      </rPr>
      <t>, onde</t>
    </r>
  </si>
  <si>
    <t>TRTR - Taxa de Regulação de Transbordo e Transporte de Resíduos Sólidos</t>
  </si>
  <si>
    <t>R$ 0,0100 - valor apurado para o custo da regulação dos serviços de transbordo e transporte de resíduos sólidos por habitante.</t>
  </si>
  <si>
    <t>Tratamento e Destinação Final de Resíduos Sólidos</t>
  </si>
  <si>
    <r>
      <t>TRDR=NHxR$0,0300</t>
    </r>
    <r>
      <rPr>
        <sz val="10"/>
        <color indexed="8"/>
        <rFont val="Arial"/>
        <family val="2"/>
      </rPr>
      <t>, onde</t>
    </r>
  </si>
  <si>
    <t>TRDR - Taxa de Regulação de Tratamento e Destinação Final de Resíduos Sólidos</t>
  </si>
  <si>
    <t>R$ 0,0300 - valor apurado para o custo da regulação dos serviços de tratamento e destinação final de resíduos sólidos por habitante</t>
  </si>
  <si>
    <t>*PROTOCOLO DE INTENÇÕES ARIS:
Art. 88. No caso da prestadora de serviços executar duas ou mais atividades objeto das taxas de regulação e fiscalização, serão devidas as respectivas taxas cumulativamente, conforme cada atividade desempenhada pela prestadora de serviços regulada pela ARIS.</t>
  </si>
  <si>
    <t>PLANILHA DE COMPOSIÇÃO DE CUSTOS DA GESTÃO CONTRATUAL - SAMAE JARAGUÁ DO SUL</t>
  </si>
  <si>
    <t>1 - PESSOAL COM ENCARGOS</t>
  </si>
  <si>
    <t>h</t>
  </si>
  <si>
    <t>Técnico apoio a fiscalização</t>
  </si>
  <si>
    <t>Taxa de 15,00% sobre o Sub-Total do Item 1</t>
  </si>
  <si>
    <t xml:space="preserve">3 - CUSTOS ADMINISTRATIVOS </t>
  </si>
  <si>
    <t>Taxa de 10,00% sobre o Sub-Total do Item 1</t>
  </si>
  <si>
    <t>4 - DESLOCAMENTO EQUIPE/HOSPEDAGEM/ALIMENTAÇÃO</t>
  </si>
  <si>
    <t>Despesas com  combustível</t>
  </si>
  <si>
    <t>km</t>
  </si>
  <si>
    <t>Hospedagem</t>
  </si>
  <si>
    <t>diárias</t>
  </si>
  <si>
    <t>Alimentação de Pessoal</t>
  </si>
  <si>
    <t>refeições</t>
  </si>
  <si>
    <t>Passagens aéreas</t>
  </si>
  <si>
    <t>5 - DESPESAS GERAIS</t>
  </si>
  <si>
    <t>Automóvel Utilitário</t>
  </si>
  <si>
    <t>6 - EQUIPAMENTOS</t>
  </si>
  <si>
    <t xml:space="preserve">Drone </t>
  </si>
  <si>
    <t>Microcomputador com impressora</t>
  </si>
  <si>
    <t>,</t>
  </si>
  <si>
    <t>7 - SERVIÇOS GRÁFICOS E MATERIAL DE CONSUMO DE ESCRITÓRIO</t>
  </si>
  <si>
    <t>Serviços gráficos e material de consumo</t>
  </si>
  <si>
    <t>8 - DESPESAS DE SERVIÇOS DE TERCEIIROS</t>
  </si>
  <si>
    <t>despesas bancárias - compartilhadas e administração</t>
  </si>
  <si>
    <t>GLOBAL</t>
  </si>
  <si>
    <t>SOMATÓRIO DOS SUB-TOTAIS 1 A 8</t>
  </si>
  <si>
    <t xml:space="preserve">9 - REMUNERAÇÃO </t>
  </si>
  <si>
    <t>Taxa sobre o Somatório dos Sub-Totais de 1 a 7</t>
  </si>
  <si>
    <t>10 - DESPESAS FISCAIS</t>
  </si>
  <si>
    <t>Taxa de 16,33% sobre o Somatório dos Sub-Totais de 1 a 9</t>
  </si>
  <si>
    <t>SUB-TOTAL ITEM 10</t>
  </si>
  <si>
    <t>CAPEX</t>
  </si>
  <si>
    <t>Parcelas</t>
  </si>
  <si>
    <t>PIS/COFINS</t>
  </si>
  <si>
    <t>1. Coleta Domiciliar</t>
  </si>
  <si>
    <t>Caminhão Compactador com dispositivo de coleta manual</t>
  </si>
  <si>
    <t>Sim</t>
  </si>
  <si>
    <t>Caminhão Compactador com dispositivo de coleta mecanizada</t>
  </si>
  <si>
    <t>Caminhão Compactador com dispositivo de coleta manual - reserva</t>
  </si>
  <si>
    <t>Caminhão coletor compactador de pequeno porte - reserva</t>
  </si>
  <si>
    <t xml:space="preserve">2. Coleta Seletiva </t>
  </si>
  <si>
    <t>Dispositivo de coleta mecanizada</t>
  </si>
  <si>
    <t>4. Valorização e Destinção Final</t>
  </si>
  <si>
    <t>5. Serviços de Apoio</t>
  </si>
  <si>
    <t>7.Veículos Coleta de Lodo</t>
  </si>
  <si>
    <t>8. Veículos e Equipamentos dos Serviços Gerais de Limpeza</t>
  </si>
  <si>
    <t>9.Serviços de poda</t>
  </si>
  <si>
    <t>10. Veículos da Varrição Manual</t>
  </si>
  <si>
    <t>11. Estudos e Projetos</t>
  </si>
  <si>
    <t>Não</t>
  </si>
  <si>
    <t>TOTAL CRÉDITO PIS/COFINS CAPEX</t>
  </si>
  <si>
    <t>TOTAL CRÉDITO PIS/COFINS CAPEX - 1 Parcela</t>
  </si>
  <si>
    <t>TOTAL CRÉDITO PIS/COFINS CAPEX - 24 Parcelas</t>
  </si>
  <si>
    <t>OPEX</t>
  </si>
  <si>
    <t>1. Custo C/ Pessoal</t>
  </si>
  <si>
    <t>2. EPI e Uniformes</t>
  </si>
  <si>
    <t>3. Combustíveis, Óleos e Graxa</t>
  </si>
  <si>
    <t>Veículos Coleta de Lodo</t>
  </si>
  <si>
    <t>Caminhão basculante de 6m³ - Asseio</t>
  </si>
  <si>
    <t>Van - Asseio</t>
  </si>
  <si>
    <t>Motocicleta 125cc - Asseio</t>
  </si>
  <si>
    <t>Custo de óleo - veículos de apoio i limpeza urb</t>
  </si>
  <si>
    <t>Lavações</t>
  </si>
  <si>
    <t xml:space="preserve">Não </t>
  </si>
  <si>
    <t>4. Rodagem</t>
  </si>
  <si>
    <t>Caminhão lavador - mecanizada</t>
  </si>
  <si>
    <t>5. Manutenção</t>
  </si>
  <si>
    <t>Veículos e Equipamentos Asseio de Túneis, Escadarias e etc.</t>
  </si>
  <si>
    <t>6. IPVA e Licenciamento</t>
  </si>
  <si>
    <t>Coleta Domiciliar</t>
  </si>
  <si>
    <t>Coleta de RSS</t>
  </si>
  <si>
    <t>Coleta de Volumosos</t>
  </si>
  <si>
    <t>Coleta de Lodo</t>
  </si>
  <si>
    <t>7. Despesas Diversas (ADM)</t>
  </si>
  <si>
    <t xml:space="preserve">    1. Sede da SPE e Coleta</t>
  </si>
  <si>
    <t xml:space="preserve">    Parcelamento do imóvel</t>
  </si>
  <si>
    <t xml:space="preserve">    Despesas com água, luz, telefone e correio</t>
  </si>
  <si>
    <t xml:space="preserve">    Monitoramento de frota</t>
  </si>
  <si>
    <t xml:space="preserve">    Telefone celular (gerência)</t>
  </si>
  <si>
    <t xml:space="preserve">    Telefone celular (operacional)</t>
  </si>
  <si>
    <t xml:space="preserve">    Material de expediente</t>
  </si>
  <si>
    <t xml:space="preserve">    Custo de manutenção de mobília e equipamentos (10% a.a. sobre R$ 20.000,00)</t>
  </si>
  <si>
    <t xml:space="preserve">    Custo de capital sobre mobília e equipamentos (0,97% a.m. sobre R$ 20.000,00)</t>
  </si>
  <si>
    <t xml:space="preserve">    Vigilância </t>
  </si>
  <si>
    <t xml:space="preserve">    Assessoria técnica em informática</t>
  </si>
  <si>
    <t xml:space="preserve">    Assessoria jurídica</t>
  </si>
  <si>
    <t xml:space="preserve">    2. Imóvel para setor de Limpeza Urbana</t>
  </si>
  <si>
    <t xml:space="preserve">    Custo de manutneção de mobília e equipamentos (10% a.a. sobre R$ 10.000,00)</t>
  </si>
  <si>
    <t xml:space="preserve">    Custo de capital sobre mobília e equipamentos (0,97% a.m. sobre R$ 10.000,00)</t>
  </si>
  <si>
    <t xml:space="preserve">    3. Imóvel para setor de Relação com o Usuário</t>
  </si>
  <si>
    <t xml:space="preserve">    Custo de manutenção de mobília e equipamentos (10% a.a. sobre R$ 30.000,00)</t>
  </si>
  <si>
    <t xml:space="preserve">    Custo de capital sobre mobília e equipamentos (0,97% a.m. sobre R$ 50.000,00)</t>
  </si>
  <si>
    <t xml:space="preserve">    Licenças e locações de softwares e aparelhos para a central de atendimento</t>
  </si>
  <si>
    <t xml:space="preserve">    Consultoria jurídica</t>
  </si>
  <si>
    <t>8. Embalagem plástica para coleta seletiva de materiais recicláveis</t>
  </si>
  <si>
    <t>9. Despesas de cobrança bancária para autenticação de boletos</t>
  </si>
  <si>
    <t>10. Operação/dispoição final de resíduos e rejeitos</t>
  </si>
  <si>
    <t>TOTAL CRÉDITO PIS/COFINS OPEX</t>
  </si>
  <si>
    <t>TOTAL CRÉDITO PIS/COFINS (EM MILHARES DE REAIS)</t>
  </si>
  <si>
    <t>DÉBITO PIS (1,65%)</t>
  </si>
  <si>
    <t>DÉBITO COFINS (7,6%)</t>
  </si>
  <si>
    <t>SALDO A RECUPERAR/RECOLHER</t>
  </si>
  <si>
    <t>CRÉDITO PIS/COFINS CAPEX - 1 Parcela</t>
  </si>
  <si>
    <t>CRÉDITO PIS/COFINS CAPEX - 24 Parcelas</t>
  </si>
  <si>
    <t>CRÉDITO PIS/COFINS OPEX</t>
  </si>
  <si>
    <t>TOTAL DOS CRÉDITOS</t>
  </si>
  <si>
    <t>PIS/COFINS A PAGAR</t>
  </si>
  <si>
    <t>Ativo Financeiro</t>
  </si>
  <si>
    <t>Constituição ativo financeiro</t>
  </si>
  <si>
    <t>Receita Financeira (IFRIC 12)</t>
  </si>
  <si>
    <t>Amortização</t>
  </si>
  <si>
    <t>Contraprestação</t>
  </si>
  <si>
    <t>Realização (%)</t>
  </si>
  <si>
    <t>Ativo Intagível</t>
  </si>
  <si>
    <t>Receita Tarifária</t>
  </si>
  <si>
    <t>Imposto Diferido</t>
  </si>
  <si>
    <t>Constituição Diferido</t>
  </si>
  <si>
    <t>Realização Diferido</t>
  </si>
  <si>
    <t>Receita Total</t>
  </si>
  <si>
    <t>1º Contrato</t>
  </si>
  <si>
    <t>Captação</t>
  </si>
  <si>
    <t>Juros</t>
  </si>
  <si>
    <t>Saldo</t>
  </si>
  <si>
    <t>Carência</t>
  </si>
  <si>
    <t>Prazo</t>
  </si>
  <si>
    <t>Taxa</t>
  </si>
  <si>
    <t>2º Contrato</t>
  </si>
  <si>
    <t>3º Contrato</t>
  </si>
  <si>
    <t>4º Contrato</t>
  </si>
  <si>
    <t>Funding</t>
  </si>
  <si>
    <t>Terceiros</t>
  </si>
  <si>
    <t>Próprio</t>
  </si>
  <si>
    <t>1º Ciclo</t>
  </si>
  <si>
    <t>2º Ciclo</t>
  </si>
  <si>
    <t>3º Ciclo</t>
  </si>
  <si>
    <t>4º Ciclo (5 anos)</t>
  </si>
  <si>
    <t>Resultado Contábil</t>
  </si>
  <si>
    <t>Juros Financiamentos</t>
  </si>
  <si>
    <t>Base IRPJ e CSLL</t>
  </si>
  <si>
    <t>Prejuízo Fiscal</t>
  </si>
  <si>
    <t>IRPJ</t>
  </si>
  <si>
    <t>CSLL</t>
  </si>
  <si>
    <t>Balanço Patrimonial (R$)</t>
  </si>
  <si>
    <t>Ativo Circulante</t>
  </si>
  <si>
    <t>Caixa e Equivalentes</t>
  </si>
  <si>
    <t>Caixa e Equivalentes - Reserva</t>
  </si>
  <si>
    <t>Contas a Receber</t>
  </si>
  <si>
    <t>Ativo financeiro (IFRIC 12)</t>
  </si>
  <si>
    <t>Ativo intangivel (IFRIC 12)</t>
  </si>
  <si>
    <t>Imposto Diferido (Ativo)</t>
  </si>
  <si>
    <t>Total de Ativos</t>
  </si>
  <si>
    <t>Passivo</t>
  </si>
  <si>
    <t>Contas a pagar</t>
  </si>
  <si>
    <t>Obrigações sociais e trabalhistas</t>
  </si>
  <si>
    <t>Obrigações fiscais</t>
  </si>
  <si>
    <t>Imposto Diferido (Passivo)</t>
  </si>
  <si>
    <t>Financiamentos</t>
  </si>
  <si>
    <t>Passivo total</t>
  </si>
  <si>
    <t>Patrimônio Líquido</t>
  </si>
  <si>
    <t>Capital Social</t>
  </si>
  <si>
    <t>Reserva Legal</t>
  </si>
  <si>
    <t>Lucros Retidos</t>
  </si>
  <si>
    <t>Total Patrimônio Líquido</t>
  </si>
  <si>
    <t>Total Passivo e Patrimônio Líquido</t>
  </si>
  <si>
    <t>Check</t>
  </si>
  <si>
    <t>Prazo Médio de Recebimento</t>
  </si>
  <si>
    <t>Prazo Médio de Pagamento</t>
  </si>
  <si>
    <t>RECEITA OPERACIONAL BRUTA</t>
  </si>
  <si>
    <t>SERVIÇOS DE LIMPEZA URBANA</t>
  </si>
  <si>
    <t>RECEITA DA TARIFA DE COLETA, TRATAMENTO E DISPOSIÇÃO DE RESÍDUO SÓLIDO COMUM</t>
  </si>
  <si>
    <t>TRIBUTOS SOBRE A RECEITA OPERACIONAL BRUTA</t>
  </si>
  <si>
    <t>PIS-PASEP</t>
  </si>
  <si>
    <t>RECEITA OPERACIONAL LÍQUIDA</t>
  </si>
  <si>
    <t>CUSTOS E DESPESAS</t>
  </si>
  <si>
    <t>CUSTO OPERACIONAL E DESPESAS ADMINISTRATIVAS</t>
  </si>
  <si>
    <t>PERDAS POR INADIMPLÊNCIA</t>
  </si>
  <si>
    <t>SEGUROS E GARANTIAS</t>
  </si>
  <si>
    <t>DESPESAS COM SEGUROS MULTIRISCOS</t>
  </si>
  <si>
    <t>DESPESAS COM SEGURO DE RESPONSABILIDADE CIVIL</t>
  </si>
  <si>
    <t>DESPESAS COM SEGURO GARANTIA DE EXECUÇÃO</t>
  </si>
  <si>
    <t>DESPESAS COM SEGURO DE ENGENHARIA</t>
  </si>
  <si>
    <t>TAXAS DE REGULAÇÃO (ARIS)</t>
  </si>
  <si>
    <t>TAXA SAMAE (FISCALIZAÇÃO)</t>
  </si>
  <si>
    <t>TAXA SAMAE (GESTÃO ADMINISTRATIVA)</t>
  </si>
  <si>
    <t>(-) CRÉDITO DE PIS/COFINS</t>
  </si>
  <si>
    <t>RECEITA COM VENDA DE ATIVO IMOBILIZADO</t>
  </si>
  <si>
    <t>RESULTADO ANTES DAS RECEITAS E DESPESAS FINANCEIRAS</t>
  </si>
  <si>
    <t>RECEITA FINANCEIRA ATIVO FINANCEIRO/INTANGÍVEL</t>
  </si>
  <si>
    <t>AMORTIZAÇÃO ATIVO FINANCEIRO/INTANGÍVEL</t>
  </si>
  <si>
    <t>JUROS FINANCIAMENTO</t>
  </si>
  <si>
    <t>LUCRO ANTES DE IR E CSLL</t>
  </si>
  <si>
    <t>IMPOSTO DE RENDA E CONTRIBUIÇÃO SOCIAL</t>
  </si>
  <si>
    <t>IMPOSTO DE RENDA</t>
  </si>
  <si>
    <t>IMPOSTO DIFERIDO</t>
  </si>
  <si>
    <t>RESULTADO LÍQUIDO DO EXERCÍCIO</t>
  </si>
  <si>
    <t>FLUXO DE CAIXA DO PROJETO SEM FINANCIAMENTO (VALORES EM R$ '000)</t>
  </si>
  <si>
    <t>CONTAS</t>
  </si>
  <si>
    <t>SALDO INICIAL DE CAIXA</t>
  </si>
  <si>
    <t>INGRESSOS</t>
  </si>
  <si>
    <t>CICLO DE CONTAS A RECEBER</t>
  </si>
  <si>
    <t>SAÍDAS</t>
  </si>
  <si>
    <t>CICLO DE CONTAS A PAGAR</t>
  </si>
  <si>
    <t>CICLO DE IMPOSTOS</t>
  </si>
  <si>
    <t>TRIBUTOS SOBRE A RECEITA BRUTA</t>
  </si>
  <si>
    <t>IMPOSTO DE RENDA E CSLL</t>
  </si>
  <si>
    <t>FLUXO DE CAIXA OPERACIONAL</t>
  </si>
  <si>
    <t>INVESTIMENTOS</t>
  </si>
  <si>
    <t>INVESTIMENTO ANUAL</t>
  </si>
  <si>
    <t>SALDO DE CAIXA APÓS INVESTIMENTOS</t>
  </si>
  <si>
    <t>FUNDING</t>
  </si>
  <si>
    <t>TERCEIROS</t>
  </si>
  <si>
    <t>PRÓPRIO</t>
  </si>
  <si>
    <t>PRÓPRIO - SUPLEMENTAR</t>
  </si>
  <si>
    <t>PAGAMENTO FINANCIAMENTO</t>
  </si>
  <si>
    <t>SALDO FINAL APÓS FUNDING</t>
  </si>
  <si>
    <t>DESTINAÇÕES SOCIETÁRIAS</t>
  </si>
  <si>
    <t>DISTRIBUIÇÃO DE LUCROS</t>
  </si>
  <si>
    <t>RESERVA LEGAL</t>
  </si>
  <si>
    <t>SALDO FINAL DE CAIXA</t>
  </si>
  <si>
    <t>Geração de Caixa Operacional</t>
  </si>
  <si>
    <t>VPL</t>
  </si>
  <si>
    <t>Payback</t>
  </si>
  <si>
    <t>TIR Acionista</t>
  </si>
  <si>
    <t>Taxa de Desconto</t>
  </si>
  <si>
    <t>Valores</t>
  </si>
  <si>
    <t>Observação</t>
  </si>
  <si>
    <t>Taxa livre de risco</t>
  </si>
  <si>
    <t>Retorno histórico - T-Bond US (5 anos)</t>
  </si>
  <si>
    <t>Beta</t>
  </si>
  <si>
    <t>Neutro</t>
  </si>
  <si>
    <t>Prêmio de risco de mercado</t>
  </si>
  <si>
    <t>Equity Risk Premium Damodaram</t>
  </si>
  <si>
    <t>Prêmio de risco país</t>
  </si>
  <si>
    <t>Média do EMBI+ Brazil (5 anos)</t>
  </si>
  <si>
    <t>Custo de capital próprio</t>
  </si>
  <si>
    <t>USD - Nominal</t>
  </si>
  <si>
    <t>Inflacação americana</t>
  </si>
  <si>
    <t>Meta inflação americana CPI longo prazo</t>
  </si>
  <si>
    <t>BRL</t>
  </si>
  <si>
    <t>Inflacação brasileira</t>
  </si>
  <si>
    <t>Meta cental de inflação longo prazo</t>
  </si>
  <si>
    <t>Custo medio ponderado da dívida</t>
  </si>
  <si>
    <t>TLP + 1,1% (BNDES)</t>
  </si>
  <si>
    <t>Imposto sobre a renda e contribuição social</t>
  </si>
  <si>
    <t>Lucro Real</t>
  </si>
  <si>
    <t>Custo da dívida após impostos</t>
  </si>
  <si>
    <t>Proporção da dívida</t>
  </si>
  <si>
    <t>Estrutura de capital do projeto</t>
  </si>
  <si>
    <t>Proporção do patrimônio</t>
  </si>
  <si>
    <t>Custo da dívida</t>
  </si>
  <si>
    <t>Custo médio ponderado de capital</t>
  </si>
  <si>
    <t>Consultas efetuadas em 18/01/2024</t>
  </si>
  <si>
    <t>Cenário</t>
  </si>
  <si>
    <t>WACC</t>
  </si>
  <si>
    <t>Revisão Tarifária</t>
  </si>
  <si>
    <t>Cenário 1</t>
  </si>
  <si>
    <t>Cenário 2</t>
  </si>
  <si>
    <t>Cenário 3</t>
  </si>
  <si>
    <t>Cenário 4</t>
  </si>
  <si>
    <t>Cenário 5</t>
  </si>
  <si>
    <t>Correção Monetária</t>
  </si>
  <si>
    <t>IPG-M</t>
  </si>
  <si>
    <t>PIB</t>
  </si>
  <si>
    <t>PIB Serviços</t>
  </si>
  <si>
    <t>SELIC</t>
  </si>
  <si>
    <t>CDI</t>
  </si>
  <si>
    <t>TLP</t>
  </si>
  <si>
    <t>IPCA</t>
  </si>
  <si>
    <t>Value for Money</t>
  </si>
  <si>
    <t>Investimentos + Reeinvestimentos</t>
  </si>
  <si>
    <t>Investimentos</t>
  </si>
  <si>
    <t>Impostos pagos</t>
  </si>
  <si>
    <t>Investimento total por ano</t>
  </si>
  <si>
    <t>Fator de Desconto</t>
  </si>
  <si>
    <t>CENÁRIO</t>
  </si>
  <si>
    <t>Valor Presente</t>
  </si>
  <si>
    <t>PPP</t>
  </si>
  <si>
    <t>PIS</t>
  </si>
  <si>
    <t>IRPJ/CSLL</t>
  </si>
  <si>
    <t>Contraprestação Líquida</t>
  </si>
  <si>
    <t>Valor Presente: Obra Pública + Operação Própria</t>
  </si>
  <si>
    <t>Valor Presente: Contraprestação</t>
  </si>
  <si>
    <t>Viabilidade econômica resulta em:</t>
  </si>
  <si>
    <t>Diretor de Resíduos e Drenagem (50%)</t>
  </si>
  <si>
    <t>Supervisor de manejo de resíduos sólidos</t>
  </si>
  <si>
    <t>Estagiários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</si>
</sst>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(* #,##0.00_);_(* \(#,##0.00\);_(* \-??_);_(@_)"/>
    <numFmt numFmtId="168" formatCode="_(* #,##0_);_(* \(#,##0\);_(* \-??_);_(@_)"/>
    <numFmt numFmtId="169" formatCode="#,##0.00000"/>
    <numFmt numFmtId="170" formatCode="#,##0.000"/>
    <numFmt numFmtId="171" formatCode="_-* #,##0_-;\-* #,##0_-;_-* &quot;-&quot;??_-;_-@_-"/>
    <numFmt numFmtId="172" formatCode="#,##0;\-#,##0;;@"/>
    <numFmt numFmtId="173" formatCode="0.0%"/>
    <numFmt numFmtId="174" formatCode="[$-416]d\-mmm\-yy;@"/>
    <numFmt numFmtId="175" formatCode="0.000%"/>
    <numFmt numFmtId="176" formatCode="#,##0.0000"/>
    <numFmt numFmtId="177" formatCode="00000"/>
    <numFmt numFmtId="178" formatCode="#,##0_ ;\-#,##0\ "/>
    <numFmt numFmtId="179" formatCode="&quot;R$ &quot;#,##0.00"/>
    <numFmt numFmtId="180" formatCode="_(* #,##0_);* \(#,##0\);_-* &quot;-&quot;??;_-@_-"/>
    <numFmt numFmtId="181" formatCode="_(* #,##0.00%_);_(* \(#,##0.00%\);_-* &quot;-&quot;??;_-@_-"/>
    <numFmt numFmtId="182" formatCode="General\ &quot;anos&quot;"/>
    <numFmt numFmtId="183" formatCode="_-* #,##0.00000000_-;\-* #,##0.00000000_-;_-* &quot;-&quot;??_-;_-@_-"/>
    <numFmt numFmtId="184" formatCode="&quot;R$&quot;\ #,##0.00"/>
    <numFmt numFmtId="185" formatCode="0.0000%"/>
    <numFmt numFmtId="186" formatCode="0.000"/>
    <numFmt numFmtId="187" formatCode="_(* #,##0_);_(* \(#,##0\);_(* &quot;-&quot;??_);_(@_)"/>
  </numFmts>
  <fonts count="4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7"/>
      <color indexed="12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6"/>
      <name val="Calibri"/>
      <family val="2"/>
      <scheme val="minor"/>
    </font>
    <font>
      <i/>
      <sz val="10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theme="4"/>
      <name val="Arial"/>
      <family val="2"/>
    </font>
    <font>
      <b/>
      <sz val="10"/>
      <color rgb="FFFF0000"/>
      <name val="Arial"/>
      <family val="2"/>
    </font>
    <font>
      <sz val="10"/>
      <color rgb="FF00B0F0"/>
      <name val="Arial"/>
      <family val="2"/>
    </font>
    <font>
      <b/>
      <strike/>
      <sz val="10"/>
      <color theme="1"/>
      <name val="Arial"/>
      <family val="2"/>
    </font>
    <font>
      <i/>
      <sz val="10"/>
      <color theme="1"/>
      <name val="Arial"/>
      <family val="2"/>
    </font>
    <font>
      <strike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64"/>
      </bottom>
      <diagonal/>
    </border>
    <border>
      <left style="thin">
        <color indexed="12"/>
      </left>
      <right style="medium">
        <color indexed="64"/>
      </right>
      <top style="thin">
        <color indexed="12"/>
      </top>
      <bottom style="medium">
        <color indexed="64"/>
      </bottom>
      <diagonal/>
    </border>
    <border>
      <left style="medium">
        <color indexed="6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thin">
        <color indexed="12"/>
      </right>
      <top style="medium">
        <color indexed="64"/>
      </top>
      <bottom style="medium">
        <color indexed="64"/>
      </bottom>
      <diagonal/>
    </border>
    <border>
      <left style="thin">
        <color indexed="1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medium">
        <color indexed="64"/>
      </right>
      <top/>
      <bottom style="thin">
        <color indexed="12"/>
      </bottom>
      <diagonal/>
    </border>
    <border>
      <left style="thin">
        <color indexed="12"/>
      </left>
      <right style="thin">
        <color indexed="1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medium">
        <color indexed="64"/>
      </right>
      <top style="thin">
        <color indexed="12"/>
      </top>
      <bottom style="thin">
        <color indexed="12"/>
      </bottom>
      <diagonal/>
    </border>
    <border>
      <left style="thin">
        <color indexed="14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64"/>
      </left>
      <right/>
      <top style="thin">
        <color indexed="12"/>
      </top>
      <bottom style="thin">
        <color indexed="12"/>
      </bottom>
      <diagonal/>
    </border>
    <border>
      <left/>
      <right style="medium">
        <color indexed="64"/>
      </right>
      <top style="thin">
        <color indexed="12"/>
      </top>
      <bottom style="thin">
        <color indexed="12"/>
      </bottom>
      <diagonal/>
    </border>
    <border>
      <left/>
      <right/>
      <top/>
      <bottom style="medium">
        <color theme="6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22" fillId="2" borderId="38" applyNumberFormat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3" fillId="0" borderId="0" applyNumberFormat="0" applyBorder="0" applyAlignment="0" applyProtection="0"/>
    <xf numFmtId="0" fontId="24" fillId="3" borderId="39" applyNumberFormat="0" applyAlignment="0" applyProtection="0"/>
    <xf numFmtId="0" fontId="25" fillId="0" borderId="40" applyNumberFormat="0" applyAlignment="0" applyProtection="0"/>
    <xf numFmtId="166" fontId="1" fillId="0" borderId="0" applyFill="0" applyBorder="0" applyAlignment="0" applyProtection="0"/>
    <xf numFmtId="166" fontId="9" fillId="0" borderId="0" applyFill="0" applyBorder="0" applyAlignment="0" applyProtection="0"/>
    <xf numFmtId="166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ill="0" applyBorder="0" applyAlignment="0" applyProtection="0"/>
    <xf numFmtId="166" fontId="19" fillId="0" borderId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6" fillId="4" borderId="41" applyNumberFormat="0" applyFont="0" applyAlignment="0" applyProtection="0"/>
    <xf numFmtId="0" fontId="2" fillId="4" borderId="41" applyNumberFormat="0" applyFont="0" applyAlignment="0" applyProtection="0"/>
    <xf numFmtId="9" fontId="1" fillId="0" borderId="0" applyFill="0" applyBorder="0" applyAlignment="0" applyProtection="0"/>
    <xf numFmtId="9" fontId="2" fillId="0" borderId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" fillId="5" borderId="1" applyNumberFormat="0" applyProtection="0">
      <alignment horizontal="centerContinuous"/>
    </xf>
    <xf numFmtId="0" fontId="26" fillId="0" borderId="0" applyNumberFormat="0" applyFill="0" applyBorder="0" applyAlignment="0" applyProtection="0"/>
    <xf numFmtId="167" fontId="6" fillId="0" borderId="0" applyFill="0" applyBorder="0" applyAlignment="0" applyProtection="0"/>
    <xf numFmtId="167" fontId="2" fillId="0" borderId="0" applyFill="0" applyBorder="0" applyAlignment="0" applyProtection="0"/>
    <xf numFmtId="9" fontId="1" fillId="0" borderId="0" applyFill="0" applyBorder="0" applyAlignment="0" applyProtection="0"/>
    <xf numFmtId="167" fontId="1" fillId="0" borderId="0" applyFill="0" applyBorder="0" applyAlignment="0" applyProtection="0"/>
    <xf numFmtId="0" fontId="40" fillId="0" borderId="0"/>
  </cellStyleXfs>
  <cellXfs count="738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71" fontId="0" fillId="7" borderId="1" xfId="0" applyNumberFormat="1" applyFill="1" applyBorder="1"/>
    <xf numFmtId="9" fontId="1" fillId="7" borderId="1" xfId="2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72" fontId="4" fillId="9" borderId="1" xfId="0" applyNumberFormat="1" applyFont="1" applyFill="1" applyBorder="1" applyAlignment="1">
      <alignment horizontal="center" vertical="center"/>
    </xf>
    <xf numFmtId="0" fontId="2" fillId="9" borderId="0" xfId="18" applyFill="1"/>
    <xf numFmtId="0" fontId="2" fillId="9" borderId="0" xfId="18" applyFill="1" applyAlignment="1">
      <alignment horizontal="center" vertical="center"/>
    </xf>
    <xf numFmtId="0" fontId="2" fillId="9" borderId="1" xfId="18" applyFill="1" applyBorder="1" applyAlignment="1">
      <alignment horizontal="left" indent="1"/>
    </xf>
    <xf numFmtId="0" fontId="4" fillId="9" borderId="1" xfId="18" applyFont="1" applyFill="1" applyBorder="1" applyAlignment="1">
      <alignment horizontal="left"/>
    </xf>
    <xf numFmtId="0" fontId="4" fillId="9" borderId="2" xfId="18" applyFont="1" applyFill="1" applyBorder="1"/>
    <xf numFmtId="0" fontId="4" fillId="9" borderId="0" xfId="18" applyFont="1" applyFill="1" applyAlignment="1">
      <alignment horizontal="center" vertical="center"/>
    </xf>
    <xf numFmtId="0" fontId="2" fillId="9" borderId="3" xfId="18" applyFill="1" applyBorder="1" applyAlignment="1">
      <alignment horizontal="left" indent="1"/>
    </xf>
    <xf numFmtId="0" fontId="2" fillId="9" borderId="0" xfId="0" applyFont="1" applyFill="1"/>
    <xf numFmtId="0" fontId="4" fillId="9" borderId="0" xfId="0" applyFont="1" applyFill="1"/>
    <xf numFmtId="174" fontId="2" fillId="0" borderId="0" xfId="0" applyNumberFormat="1" applyFont="1" applyAlignment="1">
      <alignment vertical="center"/>
    </xf>
    <xf numFmtId="171" fontId="0" fillId="7" borderId="1" xfId="0" applyNumberFormat="1" applyFill="1" applyBorder="1" applyAlignment="1">
      <alignment horizontal="center" vertical="center"/>
    </xf>
    <xf numFmtId="0" fontId="2" fillId="0" borderId="1" xfId="18" applyBorder="1" applyAlignment="1">
      <alignment horizontal="left" indent="2"/>
    </xf>
    <xf numFmtId="171" fontId="0" fillId="6" borderId="1" xfId="0" applyNumberFormat="1" applyFill="1" applyBorder="1" applyAlignment="1">
      <alignment horizontal="center" vertical="center"/>
    </xf>
    <xf numFmtId="0" fontId="4" fillId="10" borderId="1" xfId="18" applyFont="1" applyFill="1" applyBorder="1" applyAlignment="1">
      <alignment horizontal="left" indent="1"/>
    </xf>
    <xf numFmtId="172" fontId="4" fillId="10" borderId="1" xfId="0" applyNumberFormat="1" applyFont="1" applyFill="1" applyBorder="1" applyAlignment="1">
      <alignment horizontal="center" vertical="center"/>
    </xf>
    <xf numFmtId="0" fontId="2" fillId="9" borderId="0" xfId="18" applyFill="1" applyAlignment="1">
      <alignment horizontal="center"/>
    </xf>
    <xf numFmtId="0" fontId="4" fillId="9" borderId="1" xfId="18" applyFont="1" applyFill="1" applyBorder="1"/>
    <xf numFmtId="0" fontId="4" fillId="9" borderId="1" xfId="18" applyFont="1" applyFill="1" applyBorder="1" applyAlignment="1">
      <alignment horizontal="center" vertical="center"/>
    </xf>
    <xf numFmtId="0" fontId="4" fillId="0" borderId="1" xfId="18" applyFont="1" applyBorder="1" applyAlignment="1">
      <alignment horizontal="left"/>
    </xf>
    <xf numFmtId="0" fontId="2" fillId="0" borderId="1" xfId="18" applyBorder="1" applyAlignment="1">
      <alignment horizontal="left" indent="1"/>
    </xf>
    <xf numFmtId="168" fontId="2" fillId="0" borderId="0" xfId="27" applyNumberFormat="1" applyFont="1"/>
    <xf numFmtId="0" fontId="27" fillId="0" borderId="1" xfId="18" applyFont="1" applyBorder="1" applyAlignment="1">
      <alignment horizontal="left" indent="2"/>
    </xf>
    <xf numFmtId="0" fontId="28" fillId="0" borderId="0" xfId="0" applyFont="1"/>
    <xf numFmtId="174" fontId="27" fillId="0" borderId="1" xfId="0" applyNumberFormat="1" applyFont="1" applyBorder="1" applyAlignment="1">
      <alignment horizontal="left" vertical="center" indent="2"/>
    </xf>
    <xf numFmtId="172" fontId="27" fillId="9" borderId="1" xfId="0" applyNumberFormat="1" applyFont="1" applyFill="1" applyBorder="1" applyAlignment="1">
      <alignment horizontal="center" vertical="center"/>
    </xf>
    <xf numFmtId="0" fontId="28" fillId="9" borderId="0" xfId="0" applyFont="1" applyFill="1"/>
    <xf numFmtId="0" fontId="27" fillId="9" borderId="1" xfId="18" applyFont="1" applyFill="1" applyBorder="1" applyAlignment="1">
      <alignment horizontal="left" indent="1"/>
    </xf>
    <xf numFmtId="0" fontId="27" fillId="9" borderId="0" xfId="18" applyFont="1" applyFill="1" applyAlignment="1">
      <alignment horizontal="center" vertical="center"/>
    </xf>
    <xf numFmtId="3" fontId="27" fillId="9" borderId="1" xfId="27" applyNumberFormat="1" applyFont="1" applyFill="1" applyBorder="1" applyAlignment="1">
      <alignment horizontal="center" vertical="center"/>
    </xf>
    <xf numFmtId="0" fontId="27" fillId="0" borderId="1" xfId="18" applyFont="1" applyBorder="1"/>
    <xf numFmtId="0" fontId="27" fillId="9" borderId="1" xfId="18" applyFont="1" applyFill="1" applyBorder="1" applyAlignment="1">
      <alignment horizontal="center" vertical="center"/>
    </xf>
    <xf numFmtId="0" fontId="28" fillId="9" borderId="0" xfId="18" applyFont="1" applyFill="1" applyAlignment="1">
      <alignment horizontal="center" vertical="center"/>
    </xf>
    <xf numFmtId="168" fontId="27" fillId="9" borderId="1" xfId="27" applyNumberFormat="1" applyFont="1" applyFill="1" applyBorder="1" applyAlignment="1">
      <alignment horizontal="center" vertical="center"/>
    </xf>
    <xf numFmtId="168" fontId="27" fillId="0" borderId="1" xfId="27" applyNumberFormat="1" applyFont="1" applyFill="1" applyBorder="1" applyAlignment="1">
      <alignment horizontal="center" vertical="center"/>
    </xf>
    <xf numFmtId="0" fontId="27" fillId="9" borderId="0" xfId="18" applyFont="1" applyFill="1" applyAlignment="1">
      <alignment horizontal="center"/>
    </xf>
    <xf numFmtId="0" fontId="27" fillId="9" borderId="0" xfId="18" applyFont="1" applyFill="1"/>
    <xf numFmtId="0" fontId="28" fillId="9" borderId="1" xfId="18" applyFont="1" applyFill="1" applyBorder="1"/>
    <xf numFmtId="0" fontId="28" fillId="9" borderId="1" xfId="18" applyFont="1" applyFill="1" applyBorder="1" applyAlignment="1">
      <alignment horizontal="center" vertical="center" wrapText="1"/>
    </xf>
    <xf numFmtId="0" fontId="27" fillId="9" borderId="0" xfId="0" applyFont="1" applyFill="1"/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8" fillId="10" borderId="1" xfId="18" applyFont="1" applyFill="1" applyBorder="1" applyAlignment="1">
      <alignment horizontal="left" indent="1"/>
    </xf>
    <xf numFmtId="172" fontId="28" fillId="10" borderId="1" xfId="0" applyNumberFormat="1" applyFont="1" applyFill="1" applyBorder="1" applyAlignment="1">
      <alignment horizontal="center" vertical="center"/>
    </xf>
    <xf numFmtId="0" fontId="29" fillId="9" borderId="2" xfId="0" applyFont="1" applyFill="1" applyBorder="1" applyAlignment="1">
      <alignment vertical="center"/>
    </xf>
    <xf numFmtId="0" fontId="29" fillId="9" borderId="3" xfId="0" applyFont="1" applyFill="1" applyBorder="1" applyAlignment="1">
      <alignment vertical="center"/>
    </xf>
    <xf numFmtId="168" fontId="27" fillId="10" borderId="1" xfId="27" applyNumberFormat="1" applyFont="1" applyFill="1" applyBorder="1" applyAlignment="1">
      <alignment horizontal="center" vertical="center"/>
    </xf>
    <xf numFmtId="37" fontId="27" fillId="10" borderId="1" xfId="0" applyNumberFormat="1" applyFont="1" applyFill="1" applyBorder="1" applyAlignment="1">
      <alignment horizontal="left" vertical="center" indent="1"/>
    </xf>
    <xf numFmtId="174" fontId="27" fillId="9" borderId="0" xfId="0" applyNumberFormat="1" applyFont="1" applyFill="1" applyAlignment="1">
      <alignment vertical="center"/>
    </xf>
    <xf numFmtId="168" fontId="0" fillId="0" borderId="0" xfId="0" applyNumberFormat="1"/>
    <xf numFmtId="171" fontId="4" fillId="9" borderId="1" xfId="18" applyNumberFormat="1" applyFont="1" applyFill="1" applyBorder="1" applyAlignment="1">
      <alignment horizontal="center" vertical="center"/>
    </xf>
    <xf numFmtId="171" fontId="2" fillId="9" borderId="1" xfId="18" applyNumberFormat="1" applyFill="1" applyBorder="1" applyAlignment="1">
      <alignment horizontal="center" vertical="center"/>
    </xf>
    <xf numFmtId="171" fontId="28" fillId="9" borderId="0" xfId="18" applyNumberFormat="1" applyFont="1" applyFill="1" applyAlignment="1">
      <alignment horizontal="center" vertical="center"/>
    </xf>
    <xf numFmtId="167" fontId="6" fillId="9" borderId="1" xfId="27" applyFill="1" applyBorder="1"/>
    <xf numFmtId="167" fontId="6" fillId="9" borderId="0" xfId="27" applyFill="1"/>
    <xf numFmtId="4" fontId="0" fillId="9" borderId="0" xfId="0" applyNumberFormat="1" applyFill="1" applyAlignment="1">
      <alignment horizontal="center"/>
    </xf>
    <xf numFmtId="0" fontId="0" fillId="9" borderId="0" xfId="0" applyFill="1"/>
    <xf numFmtId="0" fontId="4" fillId="9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0" fillId="9" borderId="1" xfId="0" applyFill="1" applyBorder="1"/>
    <xf numFmtId="0" fontId="4" fillId="9" borderId="1" xfId="0" applyFont="1" applyFill="1" applyBorder="1"/>
    <xf numFmtId="4" fontId="27" fillId="9" borderId="0" xfId="0" applyNumberFormat="1" applyFont="1" applyFill="1" applyAlignment="1">
      <alignment horizontal="center"/>
    </xf>
    <xf numFmtId="174" fontId="2" fillId="9" borderId="0" xfId="0" applyNumberFormat="1" applyFont="1" applyFill="1" applyAlignment="1">
      <alignment vertical="center"/>
    </xf>
    <xf numFmtId="165" fontId="27" fillId="9" borderId="0" xfId="23" applyFont="1" applyFill="1" applyAlignment="1">
      <alignment vertical="center"/>
    </xf>
    <xf numFmtId="165" fontId="2" fillId="9" borderId="0" xfId="23" applyFont="1" applyFill="1" applyAlignment="1">
      <alignment vertical="center"/>
    </xf>
    <xf numFmtId="174" fontId="4" fillId="9" borderId="0" xfId="0" applyNumberFormat="1" applyFont="1" applyFill="1" applyAlignment="1">
      <alignment vertical="center"/>
    </xf>
    <xf numFmtId="9" fontId="30" fillId="9" borderId="0" xfId="0" applyNumberFormat="1" applyFont="1" applyFill="1"/>
    <xf numFmtId="0" fontId="0" fillId="9" borderId="0" xfId="0" applyFill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171" fontId="0" fillId="9" borderId="0" xfId="0" applyNumberFormat="1" applyFill="1"/>
    <xf numFmtId="0" fontId="0" fillId="9" borderId="1" xfId="0" applyFill="1" applyBorder="1" applyAlignment="1">
      <alignment horizontal="center"/>
    </xf>
    <xf numFmtId="0" fontId="28" fillId="9" borderId="0" xfId="0" applyFont="1" applyFill="1" applyAlignment="1">
      <alignment horizontal="center"/>
    </xf>
    <xf numFmtId="0" fontId="28" fillId="11" borderId="1" xfId="0" applyFont="1" applyFill="1" applyBorder="1"/>
    <xf numFmtId="167" fontId="4" fillId="11" borderId="1" xfId="27" applyFont="1" applyFill="1" applyBorder="1"/>
    <xf numFmtId="168" fontId="28" fillId="11" borderId="1" xfId="27" applyNumberFormat="1" applyFont="1" applyFill="1" applyBorder="1" applyAlignment="1">
      <alignment horizontal="center" vertical="center"/>
    </xf>
    <xf numFmtId="0" fontId="4" fillId="11" borderId="1" xfId="0" applyFont="1" applyFill="1" applyBorder="1"/>
    <xf numFmtId="168" fontId="4" fillId="11" borderId="1" xfId="27" applyNumberFormat="1" applyFont="1" applyFill="1" applyBorder="1" applyAlignment="1">
      <alignment horizontal="center" vertical="center"/>
    </xf>
    <xf numFmtId="43" fontId="4" fillId="11" borderId="1" xfId="27" applyNumberFormat="1" applyFont="1" applyFill="1" applyBorder="1"/>
    <xf numFmtId="43" fontId="4" fillId="11" borderId="1" xfId="0" applyNumberFormat="1" applyFont="1" applyFill="1" applyBorder="1"/>
    <xf numFmtId="0" fontId="4" fillId="9" borderId="4" xfId="0" applyFont="1" applyFill="1" applyBorder="1"/>
    <xf numFmtId="0" fontId="4" fillId="12" borderId="1" xfId="0" applyFont="1" applyFill="1" applyBorder="1"/>
    <xf numFmtId="167" fontId="4" fillId="12" borderId="1" xfId="27" applyFont="1" applyFill="1" applyBorder="1"/>
    <xf numFmtId="43" fontId="4" fillId="11" borderId="2" xfId="0" applyNumberFormat="1" applyFont="1" applyFill="1" applyBorder="1"/>
    <xf numFmtId="43" fontId="1" fillId="9" borderId="1" xfId="21" applyNumberFormat="1" applyFill="1" applyBorder="1"/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top"/>
    </xf>
    <xf numFmtId="0" fontId="4" fillId="11" borderId="1" xfId="0" applyFont="1" applyFill="1" applyBorder="1" applyAlignment="1">
      <alignment horizontal="center" vertical="center"/>
    </xf>
    <xf numFmtId="43" fontId="0" fillId="9" borderId="0" xfId="0" applyNumberFormat="1" applyFill="1"/>
    <xf numFmtId="174" fontId="28" fillId="0" borderId="1" xfId="0" applyNumberFormat="1" applyFont="1" applyBorder="1" applyAlignment="1">
      <alignment horizontal="center" vertical="center" wrapText="1"/>
    </xf>
    <xf numFmtId="168" fontId="29" fillId="9" borderId="3" xfId="0" applyNumberFormat="1" applyFont="1" applyFill="1" applyBorder="1" applyAlignment="1">
      <alignment vertical="center"/>
    </xf>
    <xf numFmtId="9" fontId="29" fillId="9" borderId="3" xfId="0" applyNumberFormat="1" applyFont="1" applyFill="1" applyBorder="1" applyAlignment="1">
      <alignment vertical="center"/>
    </xf>
    <xf numFmtId="168" fontId="28" fillId="11" borderId="1" xfId="0" applyNumberFormat="1" applyFont="1" applyFill="1" applyBorder="1" applyAlignment="1">
      <alignment horizontal="right"/>
    </xf>
    <xf numFmtId="168" fontId="27" fillId="9" borderId="1" xfId="27" applyNumberFormat="1" applyFont="1" applyFill="1" applyBorder="1" applyAlignment="1">
      <alignment horizontal="right" vertical="center"/>
    </xf>
    <xf numFmtId="168" fontId="4" fillId="9" borderId="1" xfId="0" applyNumberFormat="1" applyFont="1" applyFill="1" applyBorder="1"/>
    <xf numFmtId="168" fontId="0" fillId="9" borderId="0" xfId="0" applyNumberFormat="1" applyFill="1"/>
    <xf numFmtId="167" fontId="4" fillId="0" borderId="1" xfId="27" applyFont="1" applyFill="1" applyBorder="1"/>
    <xf numFmtId="0" fontId="4" fillId="11" borderId="2" xfId="0" applyFont="1" applyFill="1" applyBorder="1"/>
    <xf numFmtId="0" fontId="3" fillId="9" borderId="3" xfId="0" applyFont="1" applyFill="1" applyBorder="1" applyAlignment="1">
      <alignment horizontal="center" vertical="center"/>
    </xf>
    <xf numFmtId="174" fontId="2" fillId="9" borderId="0" xfId="0" applyNumberFormat="1" applyFont="1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43" fontId="4" fillId="9" borderId="0" xfId="0" applyNumberFormat="1" applyFont="1" applyFill="1"/>
    <xf numFmtId="10" fontId="1" fillId="0" borderId="0" xfId="21" applyNumberFormat="1"/>
    <xf numFmtId="3" fontId="0" fillId="0" borderId="1" xfId="0" applyNumberFormat="1" applyBorder="1" applyAlignment="1">
      <alignment horizontal="center"/>
    </xf>
    <xf numFmtId="3" fontId="4" fillId="9" borderId="1" xfId="0" applyNumberFormat="1" applyFont="1" applyFill="1" applyBorder="1"/>
    <xf numFmtId="166" fontId="1" fillId="0" borderId="0" xfId="9" applyAlignment="1">
      <alignment horizontal="center"/>
    </xf>
    <xf numFmtId="9" fontId="31" fillId="7" borderId="1" xfId="21" applyFont="1" applyFill="1" applyBorder="1" applyAlignment="1">
      <alignment horizontal="center"/>
    </xf>
    <xf numFmtId="0" fontId="28" fillId="9" borderId="1" xfId="18" applyFont="1" applyFill="1" applyBorder="1" applyAlignment="1">
      <alignment horizontal="center" vertical="center" textRotation="90" wrapText="1"/>
    </xf>
    <xf numFmtId="9" fontId="0" fillId="0" borderId="0" xfId="0" applyNumberFormat="1"/>
    <xf numFmtId="168" fontId="2" fillId="0" borderId="0" xfId="28" applyNumberFormat="1"/>
    <xf numFmtId="9" fontId="0" fillId="7" borderId="1" xfId="0" applyNumberFormat="1" applyFill="1" applyBorder="1" applyAlignment="1">
      <alignment horizontal="center" vertical="center"/>
    </xf>
    <xf numFmtId="9" fontId="31" fillId="13" borderId="1" xfId="21" applyFont="1" applyFill="1" applyBorder="1" applyAlignment="1">
      <alignment horizontal="center"/>
    </xf>
    <xf numFmtId="9" fontId="32" fillId="7" borderId="1" xfId="21" applyFont="1" applyFill="1" applyBorder="1" applyAlignment="1">
      <alignment horizontal="center"/>
    </xf>
    <xf numFmtId="9" fontId="32" fillId="13" borderId="1" xfId="21" applyFont="1" applyFill="1" applyBorder="1" applyAlignment="1">
      <alignment horizontal="center"/>
    </xf>
    <xf numFmtId="10" fontId="0" fillId="13" borderId="0" xfId="0" applyNumberFormat="1" applyFill="1" applyAlignment="1">
      <alignment horizontal="center"/>
    </xf>
    <xf numFmtId="4" fontId="4" fillId="10" borderId="1" xfId="0" applyNumberFormat="1" applyFont="1" applyFill="1" applyBorder="1" applyAlignment="1">
      <alignment horizontal="center"/>
    </xf>
    <xf numFmtId="10" fontId="1" fillId="7" borderId="1" xfId="21" applyNumberFormat="1" applyFill="1" applyBorder="1"/>
    <xf numFmtId="9" fontId="32" fillId="7" borderId="1" xfId="21" applyFont="1" applyFill="1" applyBorder="1" applyAlignment="1">
      <alignment horizontal="center" vertical="center"/>
    </xf>
    <xf numFmtId="10" fontId="1" fillId="7" borderId="1" xfId="21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0" fontId="0" fillId="13" borderId="1" xfId="0" applyNumberForma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71" fontId="0" fillId="3" borderId="1" xfId="0" applyNumberFormat="1" applyFill="1" applyBorder="1"/>
    <xf numFmtId="0" fontId="0" fillId="2" borderId="1" xfId="0" applyFill="1" applyBorder="1" applyAlignment="1">
      <alignment horizontal="center" vertical="center" wrapText="1"/>
    </xf>
    <xf numFmtId="171" fontId="0" fillId="2" borderId="1" xfId="0" applyNumberFormat="1" applyFill="1" applyBorder="1"/>
    <xf numFmtId="0" fontId="4" fillId="7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8" fillId="0" borderId="1" xfId="18" applyFont="1" applyBorder="1"/>
    <xf numFmtId="0" fontId="2" fillId="0" borderId="0" xfId="18"/>
    <xf numFmtId="0" fontId="28" fillId="9" borderId="0" xfId="18" applyFont="1" applyFill="1" applyAlignment="1">
      <alignment horizontal="center" vertical="center" wrapText="1"/>
    </xf>
    <xf numFmtId="0" fontId="27" fillId="0" borderId="1" xfId="0" applyFont="1" applyBorder="1"/>
    <xf numFmtId="168" fontId="27" fillId="0" borderId="1" xfId="27" applyNumberFormat="1" applyFont="1" applyFill="1" applyBorder="1"/>
    <xf numFmtId="167" fontId="27" fillId="0" borderId="1" xfId="18" applyNumberFormat="1" applyFont="1" applyBorder="1" applyAlignment="1">
      <alignment horizontal="left" indent="2"/>
    </xf>
    <xf numFmtId="0" fontId="0" fillId="0" borderId="1" xfId="0" applyBorder="1"/>
    <xf numFmtId="167" fontId="6" fillId="0" borderId="1" xfId="27" applyFill="1" applyBorder="1"/>
    <xf numFmtId="0" fontId="27" fillId="0" borderId="0" xfId="0" applyFont="1"/>
    <xf numFmtId="167" fontId="4" fillId="9" borderId="1" xfId="28" applyFont="1" applyFill="1" applyBorder="1"/>
    <xf numFmtId="3" fontId="27" fillId="0" borderId="1" xfId="0" applyNumberFormat="1" applyFont="1" applyBorder="1"/>
    <xf numFmtId="0" fontId="4" fillId="14" borderId="0" xfId="0" applyFont="1" applyFill="1" applyAlignment="1">
      <alignment horizontal="center"/>
    </xf>
    <xf numFmtId="2" fontId="0" fillId="14" borderId="0" xfId="0" applyNumberFormat="1" applyFill="1"/>
    <xf numFmtId="2" fontId="4" fillId="14" borderId="0" xfId="0" applyNumberFormat="1" applyFont="1" applyFill="1"/>
    <xf numFmtId="0" fontId="2" fillId="0" borderId="0" xfId="0" applyFont="1"/>
    <xf numFmtId="10" fontId="4" fillId="0" borderId="1" xfId="21" applyNumberFormat="1" applyFont="1" applyFill="1" applyBorder="1" applyAlignment="1">
      <alignment horizontal="center"/>
    </xf>
    <xf numFmtId="2" fontId="4" fillId="0" borderId="1" xfId="9" applyNumberFormat="1" applyFont="1" applyFill="1" applyBorder="1" applyAlignment="1">
      <alignment horizontal="center"/>
    </xf>
    <xf numFmtId="171" fontId="28" fillId="9" borderId="5" xfId="18" applyNumberFormat="1" applyFont="1" applyFill="1" applyBorder="1" applyAlignment="1">
      <alignment horizontal="center" vertical="center"/>
    </xf>
    <xf numFmtId="10" fontId="1" fillId="9" borderId="0" xfId="21" applyNumberFormat="1" applyFill="1" applyAlignment="1">
      <alignment vertical="center"/>
    </xf>
    <xf numFmtId="0" fontId="4" fillId="0" borderId="1" xfId="0" applyFont="1" applyBorder="1"/>
    <xf numFmtId="174" fontId="4" fillId="0" borderId="1" xfId="0" applyNumberFormat="1" applyFont="1" applyBorder="1" applyAlignment="1">
      <alignment horizontal="center" vertical="center"/>
    </xf>
    <xf numFmtId="0" fontId="4" fillId="11" borderId="1" xfId="0" applyFont="1" applyFill="1" applyBorder="1" applyAlignment="1">
      <alignment horizontal="center"/>
    </xf>
    <xf numFmtId="0" fontId="2" fillId="0" borderId="1" xfId="18" applyBorder="1" applyAlignment="1">
      <alignment horizontal="center"/>
    </xf>
    <xf numFmtId="168" fontId="6" fillId="0" borderId="1" xfId="27" applyNumberFormat="1" applyFill="1" applyBorder="1" applyAlignment="1">
      <alignment horizontal="center" vertical="center"/>
    </xf>
    <xf numFmtId="168" fontId="6" fillId="0" borderId="1" xfId="27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168" fontId="6" fillId="9" borderId="0" xfId="27" applyNumberFormat="1" applyFill="1"/>
    <xf numFmtId="167" fontId="28" fillId="9" borderId="0" xfId="0" applyNumberFormat="1" applyFont="1" applyFill="1"/>
    <xf numFmtId="43" fontId="28" fillId="9" borderId="0" xfId="0" applyNumberFormat="1" applyFont="1" applyFill="1"/>
    <xf numFmtId="49" fontId="11" fillId="0" borderId="10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left" vertical="center"/>
    </xf>
    <xf numFmtId="49" fontId="12" fillId="0" borderId="13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left" vertical="center"/>
    </xf>
    <xf numFmtId="49" fontId="10" fillId="0" borderId="14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right" vertical="center"/>
    </xf>
    <xf numFmtId="179" fontId="10" fillId="0" borderId="15" xfId="0" applyNumberFormat="1" applyFont="1" applyBorder="1" applyAlignment="1">
      <alignment horizontal="right" vertical="center"/>
    </xf>
    <xf numFmtId="179" fontId="11" fillId="0" borderId="15" xfId="0" applyNumberFormat="1" applyFont="1" applyBorder="1" applyAlignment="1">
      <alignment horizontal="right" vertical="center"/>
    </xf>
    <xf numFmtId="49" fontId="10" fillId="0" borderId="13" xfId="0" applyNumberFormat="1" applyFont="1" applyBorder="1" applyAlignment="1">
      <alignment horizontal="center" vertical="center"/>
    </xf>
    <xf numFmtId="10" fontId="10" fillId="0" borderId="14" xfId="0" applyNumberFormat="1" applyFont="1" applyBorder="1" applyAlignment="1">
      <alignment horizontal="right" vertical="center"/>
    </xf>
    <xf numFmtId="49" fontId="10" fillId="0" borderId="14" xfId="0" applyNumberFormat="1" applyFont="1" applyBorder="1" applyAlignment="1">
      <alignment vertical="center"/>
    </xf>
    <xf numFmtId="4" fontId="10" fillId="0" borderId="14" xfId="0" applyNumberFormat="1" applyFont="1" applyBorder="1" applyAlignment="1">
      <alignment horizontal="right" vertical="center"/>
    </xf>
    <xf numFmtId="2" fontId="10" fillId="0" borderId="14" xfId="0" applyNumberFormat="1" applyFont="1" applyBorder="1" applyAlignment="1">
      <alignment horizontal="right" vertical="center"/>
    </xf>
    <xf numFmtId="49" fontId="12" fillId="0" borderId="14" xfId="0" applyNumberFormat="1" applyFont="1" applyBorder="1" applyAlignment="1">
      <alignment vertical="center"/>
    </xf>
    <xf numFmtId="0" fontId="13" fillId="0" borderId="0" xfId="0" applyFont="1"/>
    <xf numFmtId="166" fontId="14" fillId="0" borderId="0" xfId="9" applyFont="1" applyFill="1" applyAlignment="1"/>
    <xf numFmtId="9" fontId="14" fillId="0" borderId="0" xfId="0" applyNumberFormat="1" applyFont="1"/>
    <xf numFmtId="166" fontId="14" fillId="0" borderId="0" xfId="9" applyFont="1" applyFill="1" applyBorder="1" applyAlignment="1"/>
    <xf numFmtId="0" fontId="14" fillId="0" borderId="0" xfId="0" applyFont="1"/>
    <xf numFmtId="171" fontId="28" fillId="9" borderId="0" xfId="18" applyNumberFormat="1" applyFont="1" applyFill="1" applyAlignment="1">
      <alignment horizontal="center" vertical="center" wrapText="1"/>
    </xf>
    <xf numFmtId="37" fontId="4" fillId="10" borderId="1" xfId="0" applyNumberFormat="1" applyFont="1" applyFill="1" applyBorder="1" applyAlignment="1">
      <alignment horizontal="left" vertical="center" indent="1"/>
    </xf>
    <xf numFmtId="174" fontId="4" fillId="0" borderId="0" xfId="0" applyNumberFormat="1" applyFont="1" applyAlignment="1">
      <alignment vertical="center"/>
    </xf>
    <xf numFmtId="167" fontId="2" fillId="0" borderId="0" xfId="27" applyFont="1"/>
    <xf numFmtId="0" fontId="15" fillId="0" borderId="0" xfId="5" applyFont="1" applyAlignment="1" applyProtection="1"/>
    <xf numFmtId="0" fontId="4" fillId="10" borderId="3" xfId="0" applyFont="1" applyFill="1" applyBorder="1"/>
    <xf numFmtId="168" fontId="4" fillId="0" borderId="0" xfId="0" applyNumberFormat="1" applyFont="1"/>
    <xf numFmtId="0" fontId="4" fillId="11" borderId="3" xfId="0" applyFont="1" applyFill="1" applyBorder="1"/>
    <xf numFmtId="0" fontId="4" fillId="11" borderId="3" xfId="0" applyFont="1" applyFill="1" applyBorder="1" applyAlignment="1">
      <alignment horizontal="center"/>
    </xf>
    <xf numFmtId="168" fontId="4" fillId="10" borderId="3" xfId="0" applyNumberFormat="1" applyFont="1" applyFill="1" applyBorder="1"/>
    <xf numFmtId="0" fontId="2" fillId="9" borderId="0" xfId="0" applyFont="1" applyFill="1" applyAlignment="1">
      <alignment vertical="center"/>
    </xf>
    <xf numFmtId="0" fontId="4" fillId="9" borderId="0" xfId="0" applyFont="1" applyFill="1" applyAlignment="1">
      <alignment horizontal="left" vertical="center"/>
    </xf>
    <xf numFmtId="0" fontId="4" fillId="9" borderId="0" xfId="0" applyFont="1" applyFill="1" applyAlignment="1">
      <alignment horizontal="centerContinuous" vertical="center"/>
    </xf>
    <xf numFmtId="0" fontId="4" fillId="9" borderId="0" xfId="0" applyFont="1" applyFill="1" applyAlignment="1">
      <alignment vertical="center"/>
    </xf>
    <xf numFmtId="0" fontId="4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left" vertical="center" indent="1"/>
    </xf>
    <xf numFmtId="0" fontId="4" fillId="11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left" vertical="center"/>
    </xf>
    <xf numFmtId="180" fontId="4" fillId="9" borderId="0" xfId="0" applyNumberFormat="1" applyFont="1" applyFill="1" applyAlignment="1">
      <alignment horizontal="center" vertical="center"/>
    </xf>
    <xf numFmtId="180" fontId="4" fillId="10" borderId="3" xfId="0" applyNumberFormat="1" applyFont="1" applyFill="1" applyBorder="1" applyAlignment="1">
      <alignment horizontal="center" vertical="center"/>
    </xf>
    <xf numFmtId="0" fontId="4" fillId="10" borderId="16" xfId="0" applyFont="1" applyFill="1" applyBorder="1" applyAlignment="1">
      <alignment horizontal="left" vertical="center" indent="1"/>
    </xf>
    <xf numFmtId="180" fontId="4" fillId="10" borderId="16" xfId="0" applyNumberFormat="1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left" vertical="center" indent="1"/>
    </xf>
    <xf numFmtId="10" fontId="0" fillId="0" borderId="0" xfId="0" applyNumberFormat="1"/>
    <xf numFmtId="10" fontId="4" fillId="0" borderId="0" xfId="0" applyNumberFormat="1" applyFont="1"/>
    <xf numFmtId="171" fontId="0" fillId="0" borderId="0" xfId="0" applyNumberFormat="1"/>
    <xf numFmtId="180" fontId="0" fillId="0" borderId="0" xfId="0" applyNumberFormat="1"/>
    <xf numFmtId="180" fontId="4" fillId="10" borderId="3" xfId="0" applyNumberFormat="1" applyFont="1" applyFill="1" applyBorder="1"/>
    <xf numFmtId="180" fontId="4" fillId="0" borderId="0" xfId="0" applyNumberFormat="1" applyFont="1" applyAlignment="1">
      <alignment horizontal="center" vertical="center"/>
    </xf>
    <xf numFmtId="10" fontId="4" fillId="10" borderId="7" xfId="21" applyNumberFormat="1" applyFont="1" applyFill="1" applyBorder="1" applyAlignment="1">
      <alignment horizontal="right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vertical="center" wrapText="1"/>
    </xf>
    <xf numFmtId="180" fontId="4" fillId="0" borderId="0" xfId="27" applyNumberFormat="1" applyFont="1" applyFill="1" applyBorder="1" applyAlignment="1">
      <alignment horizontal="right" vertical="center" wrapText="1" indent="1"/>
    </xf>
    <xf numFmtId="180" fontId="4" fillId="10" borderId="3" xfId="27" applyNumberFormat="1" applyFont="1" applyFill="1" applyBorder="1" applyAlignment="1">
      <alignment horizontal="right" vertical="center" wrapText="1" indent="1"/>
    </xf>
    <xf numFmtId="0" fontId="4" fillId="15" borderId="5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3" xfId="0" applyFont="1" applyFill="1" applyBorder="1"/>
    <xf numFmtId="10" fontId="4" fillId="15" borderId="3" xfId="21" applyNumberFormat="1" applyFont="1" applyFill="1" applyBorder="1"/>
    <xf numFmtId="0" fontId="4" fillId="15" borderId="2" xfId="0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27" fillId="0" borderId="17" xfId="0" applyFont="1" applyBorder="1"/>
    <xf numFmtId="0" fontId="27" fillId="0" borderId="18" xfId="0" applyFont="1" applyBorder="1"/>
    <xf numFmtId="0" fontId="27" fillId="0" borderId="19" xfId="0" applyFont="1" applyBorder="1"/>
    <xf numFmtId="10" fontId="27" fillId="0" borderId="20" xfId="21" applyNumberFormat="1" applyFont="1" applyFill="1" applyBorder="1" applyAlignment="1">
      <alignment horizontal="center"/>
    </xf>
    <xf numFmtId="10" fontId="27" fillId="0" borderId="22" xfId="21" applyNumberFormat="1" applyFont="1" applyFill="1" applyBorder="1" applyAlignment="1">
      <alignment horizontal="center"/>
    </xf>
    <xf numFmtId="168" fontId="6" fillId="0" borderId="0" xfId="27" applyNumberFormat="1"/>
    <xf numFmtId="168" fontId="4" fillId="0" borderId="0" xfId="27" applyNumberFormat="1" applyFont="1"/>
    <xf numFmtId="0" fontId="4" fillId="0" borderId="16" xfId="0" applyFont="1" applyBorder="1"/>
    <xf numFmtId="10" fontId="4" fillId="0" borderId="0" xfId="21" applyNumberFormat="1" applyFont="1" applyAlignment="1">
      <alignment horizontal="left"/>
    </xf>
    <xf numFmtId="168" fontId="6" fillId="0" borderId="21" xfId="27" applyNumberFormat="1" applyBorder="1" applyAlignment="1">
      <alignment horizontal="center"/>
    </xf>
    <xf numFmtId="168" fontId="6" fillId="0" borderId="22" xfId="27" applyNumberFormat="1" applyBorder="1" applyAlignment="1">
      <alignment horizontal="center"/>
    </xf>
    <xf numFmtId="167" fontId="0" fillId="9" borderId="0" xfId="0" applyNumberFormat="1" applyFill="1"/>
    <xf numFmtId="172" fontId="27" fillId="0" borderId="1" xfId="0" applyNumberFormat="1" applyFont="1" applyBorder="1" applyAlignment="1">
      <alignment horizontal="center" vertical="center"/>
    </xf>
    <xf numFmtId="0" fontId="35" fillId="9" borderId="0" xfId="0" applyFont="1" applyFill="1"/>
    <xf numFmtId="0" fontId="2" fillId="0" borderId="0" xfId="18" applyAlignment="1">
      <alignment horizontal="center" vertical="center"/>
    </xf>
    <xf numFmtId="0" fontId="28" fillId="0" borderId="1" xfId="18" applyFont="1" applyBorder="1" applyAlignment="1">
      <alignment horizontal="left"/>
    </xf>
    <xf numFmtId="0" fontId="27" fillId="0" borderId="0" xfId="18" applyFont="1" applyAlignment="1">
      <alignment horizontal="center" vertical="center"/>
    </xf>
    <xf numFmtId="0" fontId="27" fillId="0" borderId="1" xfId="18" applyFont="1" applyBorder="1" applyAlignment="1">
      <alignment horizontal="center" vertical="center"/>
    </xf>
    <xf numFmtId="0" fontId="27" fillId="0" borderId="0" xfId="18" applyFont="1"/>
    <xf numFmtId="0" fontId="27" fillId="0" borderId="1" xfId="18" applyFont="1" applyBorder="1" applyAlignment="1">
      <alignment horizontal="left" indent="1"/>
    </xf>
    <xf numFmtId="0" fontId="4" fillId="0" borderId="1" xfId="0" applyFont="1" applyBorder="1" applyAlignment="1">
      <alignment vertical="center" wrapText="1"/>
    </xf>
    <xf numFmtId="0" fontId="28" fillId="0" borderId="1" xfId="18" applyFont="1" applyBorder="1" applyAlignment="1">
      <alignment horizontal="left" indent="1"/>
    </xf>
    <xf numFmtId="168" fontId="27" fillId="0" borderId="2" xfId="27" applyNumberFormat="1" applyFont="1" applyFill="1" applyBorder="1" applyAlignment="1">
      <alignment horizontal="center" vertical="center"/>
    </xf>
    <xf numFmtId="171" fontId="27" fillId="0" borderId="1" xfId="18" applyNumberFormat="1" applyFont="1" applyBorder="1" applyAlignment="1">
      <alignment horizontal="center" vertical="center"/>
    </xf>
    <xf numFmtId="0" fontId="27" fillId="0" borderId="1" xfId="18" applyFont="1" applyBorder="1" applyAlignment="1">
      <alignment horizontal="center"/>
    </xf>
    <xf numFmtId="0" fontId="27" fillId="0" borderId="0" xfId="18" applyFont="1" applyAlignment="1">
      <alignment horizontal="center"/>
    </xf>
    <xf numFmtId="0" fontId="28" fillId="0" borderId="1" xfId="18" applyFont="1" applyBorder="1" applyAlignment="1">
      <alignment horizontal="center" vertical="center" wrapText="1"/>
    </xf>
    <xf numFmtId="0" fontId="28" fillId="0" borderId="0" xfId="18" applyFont="1" applyAlignment="1">
      <alignment horizontal="center" vertical="center"/>
    </xf>
    <xf numFmtId="10" fontId="27" fillId="0" borderId="1" xfId="21" applyNumberFormat="1" applyFont="1" applyFill="1" applyBorder="1" applyAlignment="1">
      <alignment horizontal="center" vertical="center"/>
    </xf>
    <xf numFmtId="0" fontId="28" fillId="0" borderId="1" xfId="0" applyFont="1" applyBorder="1"/>
    <xf numFmtId="168" fontId="28" fillId="0" borderId="1" xfId="0" applyNumberFormat="1" applyFont="1" applyBorder="1"/>
    <xf numFmtId="168" fontId="27" fillId="0" borderId="1" xfId="27" applyNumberFormat="1" applyFont="1" applyFill="1" applyBorder="1" applyAlignment="1">
      <alignment horizontal="center"/>
    </xf>
    <xf numFmtId="168" fontId="28" fillId="0" borderId="1" xfId="27" applyNumberFormat="1" applyFont="1" applyFill="1" applyBorder="1"/>
    <xf numFmtId="167" fontId="27" fillId="0" borderId="1" xfId="27" applyFont="1" applyFill="1" applyBorder="1"/>
    <xf numFmtId="167" fontId="27" fillId="0" borderId="1" xfId="27" applyFont="1" applyFill="1" applyBorder="1" applyAlignment="1">
      <alignment horizontal="center"/>
    </xf>
    <xf numFmtId="167" fontId="27" fillId="0" borderId="1" xfId="27" applyFont="1" applyFill="1" applyBorder="1" applyAlignment="1"/>
    <xf numFmtId="167" fontId="27" fillId="0" borderId="1" xfId="27" applyFont="1" applyFill="1" applyBorder="1" applyAlignment="1">
      <alignment horizontal="center" vertical="center"/>
    </xf>
    <xf numFmtId="168" fontId="27" fillId="0" borderId="1" xfId="27" applyNumberFormat="1" applyFont="1" applyFill="1" applyBorder="1" applyAlignment="1">
      <alignment horizontal="right" vertical="center"/>
    </xf>
    <xf numFmtId="37" fontId="0" fillId="0" borderId="1" xfId="0" applyNumberFormat="1" applyBorder="1"/>
    <xf numFmtId="173" fontId="33" fillId="0" borderId="1" xfId="0" applyNumberFormat="1" applyFont="1" applyBorder="1"/>
    <xf numFmtId="168" fontId="32" fillId="8" borderId="1" xfId="27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vertical="center"/>
    </xf>
    <xf numFmtId="43" fontId="4" fillId="9" borderId="3" xfId="0" applyNumberFormat="1" applyFont="1" applyFill="1" applyBorder="1" applyAlignment="1">
      <alignment vertical="center"/>
    </xf>
    <xf numFmtId="0" fontId="4" fillId="9" borderId="3" xfId="0" applyFont="1" applyFill="1" applyBorder="1" applyAlignment="1">
      <alignment vertical="center"/>
    </xf>
    <xf numFmtId="1" fontId="4" fillId="0" borderId="1" xfId="25" applyNumberFormat="1" applyFont="1" applyFill="1" applyAlignment="1">
      <alignment horizontal="left"/>
    </xf>
    <xf numFmtId="1" fontId="4" fillId="0" borderId="1" xfId="25" applyNumberFormat="1" applyFont="1" applyFill="1">
      <alignment horizontal="centerContinuous"/>
    </xf>
    <xf numFmtId="0" fontId="17" fillId="0" borderId="0" xfId="6" applyFont="1" applyBorder="1"/>
    <xf numFmtId="0" fontId="18" fillId="0" borderId="0" xfId="6" applyFont="1" applyBorder="1"/>
    <xf numFmtId="0" fontId="4" fillId="0" borderId="1" xfId="25" applyFont="1" applyFill="1">
      <alignment horizontal="centerContinuous"/>
    </xf>
    <xf numFmtId="180" fontId="4" fillId="0" borderId="0" xfId="0" applyNumberFormat="1" applyFont="1"/>
    <xf numFmtId="0" fontId="4" fillId="0" borderId="1" xfId="25" applyFont="1" applyFill="1" applyAlignment="1">
      <alignment horizontal="right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27" fillId="0" borderId="0" xfId="0" applyNumberFormat="1" applyFont="1" applyAlignment="1">
      <alignment horizontal="center" vertical="center"/>
    </xf>
    <xf numFmtId="180" fontId="27" fillId="0" borderId="0" xfId="3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4" fillId="0" borderId="0" xfId="4" applyFont="1" applyFill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11" borderId="3" xfId="4" applyFont="1" applyFill="1" applyBorder="1" applyAlignment="1">
      <alignment horizontal="left"/>
    </xf>
    <xf numFmtId="168" fontId="4" fillId="0" borderId="0" xfId="27" applyNumberFormat="1" applyFont="1" applyFill="1" applyBorder="1"/>
    <xf numFmtId="0" fontId="28" fillId="10" borderId="3" xfId="0" applyFont="1" applyFill="1" applyBorder="1"/>
    <xf numFmtId="168" fontId="4" fillId="10" borderId="3" xfId="27" applyNumberFormat="1" applyFont="1" applyFill="1" applyBorder="1"/>
    <xf numFmtId="168" fontId="4" fillId="0" borderId="0" xfId="27" applyNumberFormat="1" applyFont="1" applyBorder="1"/>
    <xf numFmtId="0" fontId="36" fillId="0" borderId="0" xfId="0" applyFont="1"/>
    <xf numFmtId="0" fontId="4" fillId="10" borderId="3" xfId="0" applyFont="1" applyFill="1" applyBorder="1" applyAlignment="1">
      <alignment horizontal="center"/>
    </xf>
    <xf numFmtId="10" fontId="4" fillId="10" borderId="3" xfId="21" applyNumberFormat="1" applyFont="1" applyFill="1" applyBorder="1"/>
    <xf numFmtId="164" fontId="4" fillId="10" borderId="3" xfId="21" applyNumberFormat="1" applyFont="1" applyFill="1" applyBorder="1"/>
    <xf numFmtId="182" fontId="28" fillId="10" borderId="3" xfId="0" applyNumberFormat="1" applyFont="1" applyFill="1" applyBorder="1" applyAlignment="1">
      <alignment horizontal="right"/>
    </xf>
    <xf numFmtId="168" fontId="6" fillId="0" borderId="1" xfId="27" applyNumberFormat="1" applyBorder="1" applyAlignment="1">
      <alignment horizontal="center" vertical="center"/>
    </xf>
    <xf numFmtId="175" fontId="1" fillId="0" borderId="1" xfId="21" applyNumberFormat="1" applyFill="1" applyBorder="1" applyAlignment="1">
      <alignment horizontal="center" vertical="center"/>
    </xf>
    <xf numFmtId="0" fontId="28" fillId="0" borderId="1" xfId="18" applyFont="1" applyBorder="1" applyAlignment="1">
      <alignment horizontal="left" indent="2"/>
    </xf>
    <xf numFmtId="172" fontId="28" fillId="0" borderId="1" xfId="0" applyNumberFormat="1" applyFont="1" applyBorder="1" applyAlignment="1">
      <alignment horizontal="center" vertical="center"/>
    </xf>
    <xf numFmtId="167" fontId="6" fillId="9" borderId="3" xfId="27" applyFill="1" applyBorder="1" applyAlignment="1">
      <alignment horizontal="center" vertical="center"/>
    </xf>
    <xf numFmtId="43" fontId="27" fillId="9" borderId="0" xfId="0" applyNumberFormat="1" applyFont="1" applyFill="1"/>
    <xf numFmtId="0" fontId="0" fillId="10" borderId="1" xfId="0" applyFill="1" applyBorder="1" applyAlignment="1">
      <alignment horizontal="center"/>
    </xf>
    <xf numFmtId="172" fontId="4" fillId="0" borderId="1" xfId="0" applyNumberFormat="1" applyFont="1" applyBorder="1" applyAlignment="1">
      <alignment horizontal="center" vertical="center"/>
    </xf>
    <xf numFmtId="167" fontId="28" fillId="0" borderId="1" xfId="27" applyFont="1" applyFill="1" applyBorder="1"/>
    <xf numFmtId="0" fontId="4" fillId="0" borderId="6" xfId="18" applyFont="1" applyBorder="1" applyAlignment="1">
      <alignment horizontal="left"/>
    </xf>
    <xf numFmtId="37" fontId="4" fillId="0" borderId="1" xfId="0" applyNumberFormat="1" applyFont="1" applyBorder="1" applyAlignment="1">
      <alignment horizontal="left" vertical="center" indent="1"/>
    </xf>
    <xf numFmtId="171" fontId="0" fillId="10" borderId="1" xfId="0" applyNumberFormat="1" applyFill="1" applyBorder="1" applyAlignment="1">
      <alignment horizontal="center" vertical="center"/>
    </xf>
    <xf numFmtId="9" fontId="0" fillId="10" borderId="1" xfId="0" applyNumberFormat="1" applyFill="1" applyBorder="1" applyAlignment="1">
      <alignment horizontal="center" vertical="center"/>
    </xf>
    <xf numFmtId="9" fontId="31" fillId="10" borderId="1" xfId="21" applyFont="1" applyFill="1" applyBorder="1" applyAlignment="1">
      <alignment horizontal="center"/>
    </xf>
    <xf numFmtId="171" fontId="0" fillId="10" borderId="1" xfId="0" applyNumberFormat="1" applyFill="1" applyBorder="1"/>
    <xf numFmtId="10" fontId="1" fillId="10" borderId="1" xfId="21" applyNumberFormat="1" applyFill="1" applyBorder="1"/>
    <xf numFmtId="9" fontId="32" fillId="10" borderId="1" xfId="21" applyFont="1" applyFill="1" applyBorder="1" applyAlignment="1">
      <alignment horizontal="center" vertical="center"/>
    </xf>
    <xf numFmtId="0" fontId="28" fillId="0" borderId="2" xfId="18" applyFont="1" applyBorder="1" applyAlignment="1">
      <alignment horizontal="center" vertical="center" wrapText="1"/>
    </xf>
    <xf numFmtId="168" fontId="27" fillId="0" borderId="2" xfId="28" applyNumberFormat="1" applyFont="1" applyFill="1" applyBorder="1" applyAlignment="1">
      <alignment horizontal="center" vertical="center"/>
    </xf>
    <xf numFmtId="167" fontId="2" fillId="0" borderId="1" xfId="28" applyFill="1" applyBorder="1"/>
    <xf numFmtId="184" fontId="2" fillId="0" borderId="1" xfId="22" applyNumberFormat="1" applyFill="1" applyBorder="1" applyAlignment="1">
      <alignment horizontal="center"/>
    </xf>
    <xf numFmtId="167" fontId="2" fillId="0" borderId="1" xfId="28" applyFill="1" applyBorder="1" applyAlignment="1">
      <alignment horizontal="center"/>
    </xf>
    <xf numFmtId="168" fontId="27" fillId="0" borderId="1" xfId="28" applyNumberFormat="1" applyFont="1" applyFill="1" applyBorder="1" applyAlignment="1">
      <alignment horizontal="center" vertical="center"/>
    </xf>
    <xf numFmtId="168" fontId="2" fillId="0" borderId="1" xfId="28" applyNumberFormat="1" applyFill="1" applyBorder="1" applyAlignment="1">
      <alignment horizontal="center" vertical="center"/>
    </xf>
    <xf numFmtId="0" fontId="4" fillId="0" borderId="0" xfId="18" applyFont="1"/>
    <xf numFmtId="171" fontId="28" fillId="0" borderId="1" xfId="18" applyNumberFormat="1" applyFont="1" applyBorder="1" applyAlignment="1">
      <alignment horizontal="center" vertical="center"/>
    </xf>
    <xf numFmtId="171" fontId="2" fillId="0" borderId="1" xfId="18" applyNumberFormat="1" applyBorder="1" applyAlignment="1">
      <alignment horizontal="center" vertical="center"/>
    </xf>
    <xf numFmtId="0" fontId="37" fillId="0" borderId="0" xfId="18" applyFont="1" applyAlignment="1">
      <alignment horizontal="center" vertical="center"/>
    </xf>
    <xf numFmtId="171" fontId="4" fillId="0" borderId="1" xfId="18" applyNumberFormat="1" applyFont="1" applyBorder="1" applyAlignment="1">
      <alignment horizontal="center" vertical="center"/>
    </xf>
    <xf numFmtId="3" fontId="27" fillId="0" borderId="1" xfId="18" applyNumberFormat="1" applyFont="1" applyBorder="1" applyAlignment="1">
      <alignment horizontal="center" vertical="center"/>
    </xf>
    <xf numFmtId="3" fontId="2" fillId="0" borderId="1" xfId="18" applyNumberForma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3" fontId="27" fillId="0" borderId="1" xfId="0" applyNumberFormat="1" applyFont="1" applyBorder="1" applyAlignment="1">
      <alignment horizontal="center" vertical="center"/>
    </xf>
    <xf numFmtId="167" fontId="27" fillId="0" borderId="0" xfId="27" applyFont="1" applyFill="1"/>
    <xf numFmtId="10" fontId="1" fillId="9" borderId="1" xfId="21" applyNumberFormat="1" applyFill="1" applyBorder="1"/>
    <xf numFmtId="49" fontId="11" fillId="9" borderId="10" xfId="0" applyNumberFormat="1" applyFont="1" applyFill="1" applyBorder="1" applyAlignment="1">
      <alignment horizontal="center" vertical="center" wrapText="1"/>
    </xf>
    <xf numFmtId="49" fontId="11" fillId="9" borderId="11" xfId="0" applyNumberFormat="1" applyFont="1" applyFill="1" applyBorder="1" applyAlignment="1">
      <alignment horizontal="center" vertical="center" wrapText="1"/>
    </xf>
    <xf numFmtId="49" fontId="11" fillId="9" borderId="12" xfId="0" applyNumberFormat="1" applyFont="1" applyFill="1" applyBorder="1" applyAlignment="1">
      <alignment horizontal="center" vertical="center" wrapText="1"/>
    </xf>
    <xf numFmtId="49" fontId="11" fillId="9" borderId="13" xfId="0" applyNumberFormat="1" applyFont="1" applyFill="1" applyBorder="1" applyAlignment="1">
      <alignment horizontal="left" vertical="center"/>
    </xf>
    <xf numFmtId="49" fontId="12" fillId="9" borderId="13" xfId="0" applyNumberFormat="1" applyFont="1" applyFill="1" applyBorder="1" applyAlignment="1">
      <alignment horizontal="center" vertical="center"/>
    </xf>
    <xf numFmtId="49" fontId="10" fillId="9" borderId="14" xfId="0" applyNumberFormat="1" applyFont="1" applyFill="1" applyBorder="1" applyAlignment="1">
      <alignment horizontal="left" vertical="center"/>
    </xf>
    <xf numFmtId="49" fontId="10" fillId="9" borderId="14" xfId="0" applyNumberFormat="1" applyFont="1" applyFill="1" applyBorder="1" applyAlignment="1">
      <alignment horizontal="center" vertical="center"/>
    </xf>
    <xf numFmtId="186" fontId="10" fillId="9" borderId="14" xfId="0" applyNumberFormat="1" applyFont="1" applyFill="1" applyBorder="1" applyAlignment="1">
      <alignment horizontal="center" vertical="center"/>
    </xf>
    <xf numFmtId="179" fontId="10" fillId="9" borderId="14" xfId="0" applyNumberFormat="1" applyFont="1" applyFill="1" applyBorder="1" applyAlignment="1">
      <alignment horizontal="right" vertical="center"/>
    </xf>
    <xf numFmtId="179" fontId="10" fillId="9" borderId="15" xfId="0" applyNumberFormat="1" applyFont="1" applyFill="1" applyBorder="1" applyAlignment="1">
      <alignment horizontal="right" vertical="center"/>
    </xf>
    <xf numFmtId="2" fontId="10" fillId="9" borderId="14" xfId="0" applyNumberFormat="1" applyFont="1" applyFill="1" applyBorder="1" applyAlignment="1">
      <alignment horizontal="center" vertical="center"/>
    </xf>
    <xf numFmtId="179" fontId="11" fillId="9" borderId="15" xfId="0" applyNumberFormat="1" applyFont="1" applyFill="1" applyBorder="1" applyAlignment="1">
      <alignment horizontal="right" vertical="center"/>
    </xf>
    <xf numFmtId="49" fontId="10" fillId="9" borderId="13" xfId="0" applyNumberFormat="1" applyFont="1" applyFill="1" applyBorder="1" applyAlignment="1">
      <alignment horizontal="center" vertical="center"/>
    </xf>
    <xf numFmtId="10" fontId="10" fillId="9" borderId="14" xfId="0" applyNumberFormat="1" applyFont="1" applyFill="1" applyBorder="1" applyAlignment="1">
      <alignment horizontal="right" vertical="center"/>
    </xf>
    <xf numFmtId="0" fontId="13" fillId="9" borderId="0" xfId="0" applyFont="1" applyFill="1"/>
    <xf numFmtId="166" fontId="14" fillId="9" borderId="0" xfId="15" applyFont="1" applyFill="1" applyAlignment="1"/>
    <xf numFmtId="9" fontId="14" fillId="9" borderId="0" xfId="0" applyNumberFormat="1" applyFont="1" applyFill="1" applyAlignment="1">
      <alignment horizontal="right"/>
    </xf>
    <xf numFmtId="166" fontId="14" fillId="9" borderId="0" xfId="15" applyFont="1" applyFill="1" applyBorder="1" applyAlignment="1"/>
    <xf numFmtId="0" fontId="14" fillId="9" borderId="0" xfId="0" applyFont="1" applyFill="1"/>
    <xf numFmtId="9" fontId="14" fillId="9" borderId="0" xfId="0" applyNumberFormat="1" applyFont="1" applyFill="1"/>
    <xf numFmtId="0" fontId="13" fillId="9" borderId="0" xfId="0" applyFont="1" applyFill="1" applyAlignment="1">
      <alignment horizontal="right"/>
    </xf>
    <xf numFmtId="49" fontId="10" fillId="9" borderId="14" xfId="0" applyNumberFormat="1" applyFont="1" applyFill="1" applyBorder="1" applyAlignment="1">
      <alignment vertical="center"/>
    </xf>
    <xf numFmtId="179" fontId="10" fillId="9" borderId="0" xfId="0" applyNumberFormat="1" applyFont="1" applyFill="1" applyAlignment="1">
      <alignment horizontal="right" vertical="center"/>
    </xf>
    <xf numFmtId="179" fontId="11" fillId="9" borderId="0" xfId="0" applyNumberFormat="1" applyFont="1" applyFill="1" applyAlignment="1">
      <alignment horizontal="right" vertical="center"/>
    </xf>
    <xf numFmtId="0" fontId="2" fillId="9" borderId="2" xfId="18" applyFill="1" applyBorder="1" applyAlignment="1">
      <alignment horizontal="left" indent="1"/>
    </xf>
    <xf numFmtId="174" fontId="4" fillId="9" borderId="0" xfId="0" applyNumberFormat="1" applyFont="1" applyFill="1" applyAlignment="1">
      <alignment horizontal="center" vertical="center"/>
    </xf>
    <xf numFmtId="9" fontId="1" fillId="9" borderId="0" xfId="21" applyFill="1" applyAlignment="1">
      <alignment horizontal="center" vertical="center"/>
    </xf>
    <xf numFmtId="174" fontId="4" fillId="9" borderId="3" xfId="0" applyNumberFormat="1" applyFont="1" applyFill="1" applyBorder="1" applyAlignment="1">
      <alignment horizontal="center" vertical="center"/>
    </xf>
    <xf numFmtId="165" fontId="4" fillId="9" borderId="3" xfId="23" applyFont="1" applyFill="1" applyBorder="1" applyAlignment="1">
      <alignment vertical="center"/>
    </xf>
    <xf numFmtId="1" fontId="4" fillId="9" borderId="3" xfId="23" applyNumberFormat="1" applyFont="1" applyFill="1" applyBorder="1" applyAlignment="1">
      <alignment horizontal="center" vertical="center"/>
    </xf>
    <xf numFmtId="180" fontId="1" fillId="9" borderId="0" xfId="21" applyNumberFormat="1" applyFill="1" applyAlignment="1">
      <alignment horizontal="center" vertical="center"/>
    </xf>
    <xf numFmtId="174" fontId="4" fillId="9" borderId="3" xfId="0" applyNumberFormat="1" applyFont="1" applyFill="1" applyBorder="1" applyAlignment="1">
      <alignment vertical="center"/>
    </xf>
    <xf numFmtId="187" fontId="4" fillId="9" borderId="3" xfId="23" applyNumberFormat="1" applyFont="1" applyFill="1" applyBorder="1" applyAlignment="1">
      <alignment vertical="center"/>
    </xf>
    <xf numFmtId="174" fontId="4" fillId="16" borderId="3" xfId="0" applyNumberFormat="1" applyFont="1" applyFill="1" applyBorder="1" applyAlignment="1">
      <alignment horizontal="center" vertical="center"/>
    </xf>
    <xf numFmtId="174" fontId="4" fillId="16" borderId="3" xfId="0" applyNumberFormat="1" applyFont="1" applyFill="1" applyBorder="1" applyAlignment="1">
      <alignment vertical="center"/>
    </xf>
    <xf numFmtId="1" fontId="4" fillId="16" borderId="3" xfId="23" applyNumberFormat="1" applyFont="1" applyFill="1" applyBorder="1" applyAlignment="1">
      <alignment horizontal="center" vertical="center"/>
    </xf>
    <xf numFmtId="174" fontId="4" fillId="16" borderId="3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37" fontId="4" fillId="0" borderId="1" xfId="0" applyNumberFormat="1" applyFont="1" applyBorder="1" applyAlignment="1">
      <alignment horizontal="center" vertical="center"/>
    </xf>
    <xf numFmtId="168" fontId="4" fillId="0" borderId="1" xfId="27" applyNumberFormat="1" applyFont="1" applyFill="1" applyBorder="1"/>
    <xf numFmtId="0" fontId="4" fillId="0" borderId="3" xfId="0" applyFont="1" applyBorder="1"/>
    <xf numFmtId="168" fontId="4" fillId="0" borderId="3" xfId="0" applyNumberFormat="1" applyFont="1" applyBorder="1"/>
    <xf numFmtId="0" fontId="38" fillId="0" borderId="1" xfId="0" applyFont="1" applyBorder="1"/>
    <xf numFmtId="0" fontId="38" fillId="0" borderId="1" xfId="0" applyFont="1" applyBorder="1" applyAlignment="1">
      <alignment horizontal="center"/>
    </xf>
    <xf numFmtId="168" fontId="4" fillId="0" borderId="1" xfId="0" applyNumberFormat="1" applyFont="1" applyBorder="1"/>
    <xf numFmtId="3" fontId="27" fillId="0" borderId="1" xfId="18" applyNumberFormat="1" applyFont="1" applyBorder="1" applyAlignment="1">
      <alignment horizontal="center" vertical="center" wrapText="1"/>
    </xf>
    <xf numFmtId="178" fontId="4" fillId="9" borderId="0" xfId="0" applyNumberFormat="1" applyFont="1" applyFill="1" applyAlignment="1">
      <alignment horizontal="center" vertical="center"/>
    </xf>
    <xf numFmtId="10" fontId="4" fillId="0" borderId="1" xfId="0" applyNumberFormat="1" applyFont="1" applyBorder="1" applyAlignment="1">
      <alignment horizontal="center"/>
    </xf>
    <xf numFmtId="174" fontId="27" fillId="0" borderId="0" xfId="0" applyNumberFormat="1" applyFont="1" applyAlignment="1">
      <alignment vertical="center"/>
    </xf>
    <xf numFmtId="174" fontId="28" fillId="0" borderId="0" xfId="0" applyNumberFormat="1" applyFont="1" applyAlignment="1">
      <alignment vertical="center"/>
    </xf>
    <xf numFmtId="174" fontId="31" fillId="0" borderId="0" xfId="0" applyNumberFormat="1" applyFont="1" applyAlignment="1">
      <alignment vertical="center"/>
    </xf>
    <xf numFmtId="183" fontId="4" fillId="0" borderId="1" xfId="0" applyNumberFormat="1" applyFont="1" applyBorder="1" applyAlignment="1">
      <alignment horizontal="center" vertical="center"/>
    </xf>
    <xf numFmtId="174" fontId="1" fillId="0" borderId="1" xfId="0" applyNumberFormat="1" applyFont="1" applyBorder="1" applyAlignment="1">
      <alignment horizontal="left" vertical="center" indent="2"/>
    </xf>
    <xf numFmtId="174" fontId="1" fillId="0" borderId="1" xfId="0" applyNumberFormat="1" applyFont="1" applyBorder="1" applyAlignment="1">
      <alignment horizontal="center" vertical="center"/>
    </xf>
    <xf numFmtId="168" fontId="1" fillId="0" borderId="1" xfId="27" applyNumberFormat="1" applyFont="1" applyFill="1" applyBorder="1"/>
    <xf numFmtId="0" fontId="1" fillId="0" borderId="0" xfId="0" applyFont="1"/>
    <xf numFmtId="0" fontId="1" fillId="0" borderId="1" xfId="18" applyFont="1" applyBorder="1" applyAlignment="1">
      <alignment horizontal="left" indent="2"/>
    </xf>
    <xf numFmtId="0" fontId="1" fillId="0" borderId="1" xfId="18" applyFont="1" applyBorder="1" applyAlignment="1">
      <alignment horizontal="center"/>
    </xf>
    <xf numFmtId="168" fontId="1" fillId="0" borderId="0" xfId="0" applyNumberFormat="1" applyFont="1"/>
    <xf numFmtId="168" fontId="1" fillId="0" borderId="1" xfId="0" applyNumberFormat="1" applyFont="1" applyBorder="1"/>
    <xf numFmtId="0" fontId="1" fillId="0" borderId="0" xfId="18" applyFont="1" applyAlignment="1">
      <alignment horizontal="left" indent="2"/>
    </xf>
    <xf numFmtId="0" fontId="1" fillId="0" borderId="3" xfId="0" applyFont="1" applyBorder="1"/>
    <xf numFmtId="168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8" fontId="4" fillId="0" borderId="3" xfId="0" applyNumberFormat="1" applyFont="1" applyBorder="1" applyAlignment="1">
      <alignment horizontal="center"/>
    </xf>
    <xf numFmtId="0" fontId="6" fillId="0" borderId="1" xfId="27" applyNumberFormat="1" applyBorder="1" applyAlignment="1">
      <alignment horizontal="center"/>
    </xf>
    <xf numFmtId="165" fontId="1" fillId="9" borderId="0" xfId="23" applyFont="1" applyFill="1" applyAlignment="1">
      <alignment vertical="center"/>
    </xf>
    <xf numFmtId="174" fontId="1" fillId="9" borderId="0" xfId="0" applyNumberFormat="1" applyFont="1" applyFill="1" applyAlignment="1">
      <alignment vertical="center"/>
    </xf>
    <xf numFmtId="1" fontId="1" fillId="9" borderId="0" xfId="0" applyNumberFormat="1" applyFont="1" applyFill="1" applyAlignment="1">
      <alignment horizontal="center" vertical="center"/>
    </xf>
    <xf numFmtId="187" fontId="1" fillId="9" borderId="0" xfId="23" applyNumberFormat="1" applyFont="1" applyFill="1" applyAlignment="1">
      <alignment vertical="center"/>
    </xf>
    <xf numFmtId="0" fontId="6" fillId="0" borderId="1" xfId="27" applyNumberFormat="1" applyBorder="1" applyAlignment="1">
      <alignment horizontal="center" vertical="center"/>
    </xf>
    <xf numFmtId="0" fontId="6" fillId="0" borderId="0" xfId="27" applyNumberFormat="1" applyAlignment="1">
      <alignment horizontal="center"/>
    </xf>
    <xf numFmtId="0" fontId="6" fillId="0" borderId="3" xfId="27" applyNumberFormat="1" applyBorder="1" applyAlignment="1">
      <alignment horizontal="center"/>
    </xf>
    <xf numFmtId="10" fontId="27" fillId="0" borderId="0" xfId="21" applyNumberFormat="1" applyFont="1" applyFill="1" applyBorder="1"/>
    <xf numFmtId="10" fontId="27" fillId="0" borderId="16" xfId="21" applyNumberFormat="1" applyFont="1" applyFill="1" applyBorder="1"/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9" fontId="27" fillId="10" borderId="1" xfId="21" applyFont="1" applyFill="1" applyBorder="1" applyAlignment="1">
      <alignment horizontal="center" vertical="center"/>
    </xf>
    <xf numFmtId="0" fontId="0" fillId="17" borderId="0" xfId="0" applyFill="1"/>
    <xf numFmtId="0" fontId="4" fillId="17" borderId="1" xfId="0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171" fontId="0" fillId="17" borderId="1" xfId="0" applyNumberFormat="1" applyFill="1" applyBorder="1"/>
    <xf numFmtId="4" fontId="4" fillId="17" borderId="1" xfId="0" applyNumberFormat="1" applyFont="1" applyFill="1" applyBorder="1" applyAlignment="1">
      <alignment horizontal="center"/>
    </xf>
    <xf numFmtId="3" fontId="27" fillId="0" borderId="1" xfId="27" applyNumberFormat="1" applyFont="1" applyFill="1" applyBorder="1" applyAlignment="1">
      <alignment horizontal="center"/>
    </xf>
    <xf numFmtId="4" fontId="27" fillId="9" borderId="0" xfId="0" applyNumberFormat="1" applyFont="1" applyFill="1"/>
    <xf numFmtId="167" fontId="1" fillId="0" borderId="1" xfId="27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3" fontId="39" fillId="0" borderId="0" xfId="0" applyNumberFormat="1" applyFont="1"/>
    <xf numFmtId="167" fontId="6" fillId="0" borderId="0" xfId="27"/>
    <xf numFmtId="43" fontId="0" fillId="0" borderId="0" xfId="0" applyNumberFormat="1"/>
    <xf numFmtId="168" fontId="0" fillId="0" borderId="1" xfId="0" applyNumberFormat="1" applyBorder="1"/>
    <xf numFmtId="0" fontId="32" fillId="8" borderId="1" xfId="0" applyFont="1" applyFill="1" applyBorder="1" applyAlignment="1">
      <alignment horizontal="center"/>
    </xf>
    <xf numFmtId="185" fontId="1" fillId="9" borderId="0" xfId="21" applyNumberFormat="1" applyFill="1"/>
    <xf numFmtId="175" fontId="0" fillId="9" borderId="0" xfId="0" applyNumberFormat="1" applyFill="1" applyAlignment="1">
      <alignment horizontal="center"/>
    </xf>
    <xf numFmtId="10" fontId="4" fillId="9" borderId="1" xfId="0" applyNumberFormat="1" applyFont="1" applyFill="1" applyBorder="1" applyAlignment="1">
      <alignment horizontal="center"/>
    </xf>
    <xf numFmtId="3" fontId="0" fillId="9" borderId="0" xfId="0" applyNumberFormat="1" applyFill="1" applyAlignment="1">
      <alignment horizontal="center"/>
    </xf>
    <xf numFmtId="2" fontId="4" fillId="18" borderId="1" xfId="9" applyNumberFormat="1" applyFont="1" applyFill="1" applyBorder="1"/>
    <xf numFmtId="10" fontId="33" fillId="18" borderId="1" xfId="0" applyNumberFormat="1" applyFont="1" applyFill="1" applyBorder="1"/>
    <xf numFmtId="167" fontId="6" fillId="18" borderId="1" xfId="27" applyFill="1" applyBorder="1"/>
    <xf numFmtId="0" fontId="0" fillId="18" borderId="8" xfId="0" applyFill="1" applyBorder="1" applyAlignment="1">
      <alignment horizontal="center"/>
    </xf>
    <xf numFmtId="10" fontId="0" fillId="18" borderId="9" xfId="0" applyNumberFormat="1" applyFill="1" applyBorder="1" applyAlignment="1">
      <alignment horizontal="center"/>
    </xf>
    <xf numFmtId="10" fontId="1" fillId="0" borderId="0" xfId="21" applyNumberFormat="1" applyFill="1"/>
    <xf numFmtId="172" fontId="2" fillId="0" borderId="0" xfId="18" applyNumberFormat="1" applyAlignment="1">
      <alignment horizontal="center" vertical="center"/>
    </xf>
    <xf numFmtId="3" fontId="2" fillId="9" borderId="1" xfId="18" applyNumberFormat="1" applyFill="1" applyBorder="1"/>
    <xf numFmtId="3" fontId="2" fillId="0" borderId="1" xfId="18" applyNumberFormat="1" applyBorder="1"/>
    <xf numFmtId="3" fontId="27" fillId="9" borderId="1" xfId="27" applyNumberFormat="1" applyFont="1" applyFill="1" applyBorder="1" applyAlignment="1"/>
    <xf numFmtId="3" fontId="2" fillId="0" borderId="0" xfId="18" applyNumberFormat="1"/>
    <xf numFmtId="3" fontId="28" fillId="0" borderId="1" xfId="18" applyNumberFormat="1" applyFont="1" applyBorder="1"/>
    <xf numFmtId="3" fontId="27" fillId="0" borderId="2" xfId="27" applyNumberFormat="1" applyFont="1" applyFill="1" applyBorder="1" applyAlignment="1"/>
    <xf numFmtId="3" fontId="4" fillId="0" borderId="1" xfId="18" applyNumberFormat="1" applyFont="1" applyBorder="1"/>
    <xf numFmtId="0" fontId="1" fillId="0" borderId="3" xfId="18" applyFont="1" applyBorder="1" applyAlignment="1">
      <alignment horizontal="left" indent="1"/>
    </xf>
    <xf numFmtId="0" fontId="1" fillId="0" borderId="1" xfId="18" applyFont="1" applyBorder="1" applyAlignment="1">
      <alignment horizontal="left" indent="1"/>
    </xf>
    <xf numFmtId="43" fontId="28" fillId="0" borderId="1" xfId="18" applyNumberFormat="1" applyFont="1" applyBorder="1" applyAlignment="1">
      <alignment horizontal="left" indent="1"/>
    </xf>
    <xf numFmtId="0" fontId="1" fillId="0" borderId="1" xfId="0" applyFont="1" applyBorder="1" applyAlignment="1">
      <alignment horizontal="left" vertical="center"/>
    </xf>
    <xf numFmtId="167" fontId="1" fillId="0" borderId="1" xfId="30" applyFill="1" applyBorder="1"/>
    <xf numFmtId="3" fontId="6" fillId="0" borderId="1" xfId="27" applyNumberFormat="1" applyFill="1" applyBorder="1"/>
    <xf numFmtId="3" fontId="6" fillId="0" borderId="1" xfId="27" applyNumberFormat="1" applyBorder="1"/>
    <xf numFmtId="3" fontId="27" fillId="0" borderId="1" xfId="27" applyNumberFormat="1" applyFont="1" applyFill="1" applyBorder="1"/>
    <xf numFmtId="0" fontId="1" fillId="0" borderId="7" xfId="18" applyFont="1" applyBorder="1" applyAlignment="1">
      <alignment horizontal="left" indent="1"/>
    </xf>
    <xf numFmtId="3" fontId="27" fillId="0" borderId="1" xfId="27" applyNumberFormat="1" applyFont="1" applyFill="1" applyBorder="1" applyAlignment="1">
      <alignment horizontal="center" vertical="center"/>
    </xf>
    <xf numFmtId="0" fontId="4" fillId="0" borderId="7" xfId="18" applyFont="1" applyBorder="1" applyAlignment="1">
      <alignment horizontal="left" indent="1"/>
    </xf>
    <xf numFmtId="0" fontId="4" fillId="0" borderId="3" xfId="18" applyFont="1" applyBorder="1" applyAlignment="1">
      <alignment horizontal="left" indent="1"/>
    </xf>
    <xf numFmtId="37" fontId="1" fillId="0" borderId="1" xfId="0" applyNumberFormat="1" applyFont="1" applyBorder="1"/>
    <xf numFmtId="4" fontId="1" fillId="0" borderId="0" xfId="0" applyNumberFormat="1" applyFont="1" applyAlignment="1">
      <alignment horizontal="center"/>
    </xf>
    <xf numFmtId="3" fontId="1" fillId="0" borderId="1" xfId="0" applyNumberFormat="1" applyFont="1" applyBorder="1" applyAlignment="1">
      <alignment horizontal="center"/>
    </xf>
    <xf numFmtId="10" fontId="1" fillId="0" borderId="1" xfId="21" applyNumberFormat="1" applyFill="1" applyBorder="1" applyAlignment="1">
      <alignment horizontal="center"/>
    </xf>
    <xf numFmtId="10" fontId="1" fillId="0" borderId="6" xfId="21" applyNumberFormat="1" applyFill="1" applyBorder="1" applyAlignment="1">
      <alignment horizontal="center"/>
    </xf>
    <xf numFmtId="9" fontId="1" fillId="0" borderId="1" xfId="21" applyFill="1" applyBorder="1" applyAlignment="1">
      <alignment horizontal="center"/>
    </xf>
    <xf numFmtId="4" fontId="1" fillId="0" borderId="1" xfId="21" applyNumberFormat="1" applyFill="1" applyBorder="1" applyAlignment="1">
      <alignment horizontal="center"/>
    </xf>
    <xf numFmtId="167" fontId="1" fillId="0" borderId="0" xfId="27" applyFont="1" applyFill="1"/>
    <xf numFmtId="174" fontId="1" fillId="0" borderId="1" xfId="0" applyNumberFormat="1" applyFont="1" applyBorder="1" applyAlignment="1">
      <alignment vertical="center"/>
    </xf>
    <xf numFmtId="167" fontId="1" fillId="0" borderId="1" xfId="27" applyFont="1" applyFill="1" applyBorder="1" applyAlignment="1">
      <alignment horizontal="center"/>
    </xf>
    <xf numFmtId="177" fontId="1" fillId="0" borderId="1" xfId="27" applyNumberFormat="1" applyFont="1" applyFill="1" applyBorder="1"/>
    <xf numFmtId="0" fontId="1" fillId="0" borderId="1" xfId="9" applyNumberFormat="1" applyFill="1" applyBorder="1" applyAlignment="1">
      <alignment horizontal="center"/>
    </xf>
    <xf numFmtId="10" fontId="1" fillId="0" borderId="0" xfId="0" applyNumberFormat="1" applyFont="1"/>
    <xf numFmtId="3" fontId="1" fillId="0" borderId="1" xfId="21" applyNumberFormat="1" applyFill="1" applyBorder="1" applyAlignment="1">
      <alignment horizontal="center"/>
    </xf>
    <xf numFmtId="173" fontId="1" fillId="0" borderId="1" xfId="21" applyNumberFormat="1" applyFill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68" fontId="1" fillId="0" borderId="0" xfId="27" applyNumberFormat="1" applyFont="1"/>
    <xf numFmtId="168" fontId="1" fillId="0" borderId="0" xfId="27" applyNumberFormat="1" applyFont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4" fontId="1" fillId="9" borderId="0" xfId="0" applyNumberFormat="1" applyFont="1" applyFill="1" applyAlignment="1">
      <alignment horizontal="center"/>
    </xf>
    <xf numFmtId="0" fontId="1" fillId="9" borderId="0" xfId="0" applyFont="1" applyFill="1"/>
    <xf numFmtId="43" fontId="1" fillId="9" borderId="0" xfId="0" applyNumberFormat="1" applyFont="1" applyFill="1"/>
    <xf numFmtId="3" fontId="1" fillId="9" borderId="0" xfId="0" applyNumberFormat="1" applyFont="1" applyFill="1"/>
    <xf numFmtId="172" fontId="1" fillId="0" borderId="1" xfId="0" applyNumberFormat="1" applyFont="1" applyBorder="1" applyAlignment="1">
      <alignment horizontal="center" vertical="center"/>
    </xf>
    <xf numFmtId="0" fontId="1" fillId="10" borderId="1" xfId="0" applyFont="1" applyFill="1" applyBorder="1"/>
    <xf numFmtId="172" fontId="1" fillId="0" borderId="1" xfId="0" applyNumberFormat="1" applyFont="1" applyBorder="1" applyAlignment="1">
      <alignment horizontal="center"/>
    </xf>
    <xf numFmtId="172" fontId="1" fillId="9" borderId="1" xfId="0" applyNumberFormat="1" applyFont="1" applyFill="1" applyBorder="1" applyAlignment="1">
      <alignment horizontal="center" vertical="center"/>
    </xf>
    <xf numFmtId="172" fontId="1" fillId="9" borderId="0" xfId="0" applyNumberFormat="1" applyFont="1" applyFill="1" applyAlignment="1">
      <alignment horizontal="center" vertical="center"/>
    </xf>
    <xf numFmtId="172" fontId="1" fillId="0" borderId="0" xfId="0" applyNumberFormat="1" applyFont="1" applyAlignment="1">
      <alignment horizontal="center" vertical="center"/>
    </xf>
    <xf numFmtId="168" fontId="1" fillId="9" borderId="1" xfId="27" applyNumberFormat="1" applyFont="1" applyFill="1" applyBorder="1" applyAlignment="1">
      <alignment horizontal="center" vertical="center"/>
    </xf>
    <xf numFmtId="10" fontId="1" fillId="9" borderId="1" xfId="21" applyNumberFormat="1" applyFill="1" applyBorder="1" applyAlignment="1">
      <alignment horizontal="center" vertical="center"/>
    </xf>
    <xf numFmtId="168" fontId="1" fillId="0" borderId="1" xfId="27" applyNumberFormat="1" applyFont="1" applyFill="1" applyBorder="1" applyAlignment="1">
      <alignment horizontal="center" vertical="center"/>
    </xf>
    <xf numFmtId="10" fontId="1" fillId="0" borderId="1" xfId="21" applyNumberFormat="1" applyFill="1" applyBorder="1" applyAlignment="1">
      <alignment horizontal="center" vertical="center"/>
    </xf>
    <xf numFmtId="168" fontId="1" fillId="9" borderId="1" xfId="27" applyNumberFormat="1" applyFont="1" applyFill="1" applyBorder="1" applyAlignment="1">
      <alignment horizontal="left" vertical="center"/>
    </xf>
    <xf numFmtId="3" fontId="1" fillId="9" borderId="2" xfId="27" applyNumberFormat="1" applyFont="1" applyFill="1" applyBorder="1" applyAlignment="1"/>
    <xf numFmtId="3" fontId="1" fillId="9" borderId="1" xfId="27" applyNumberFormat="1" applyFont="1" applyFill="1" applyBorder="1" applyAlignment="1"/>
    <xf numFmtId="3" fontId="1" fillId="0" borderId="1" xfId="27" applyNumberFormat="1" applyFont="1" applyFill="1" applyBorder="1" applyAlignment="1"/>
    <xf numFmtId="3" fontId="1" fillId="0" borderId="2" xfId="27" applyNumberFormat="1" applyFont="1" applyFill="1" applyBorder="1" applyAlignment="1"/>
    <xf numFmtId="168" fontId="1" fillId="9" borderId="2" xfId="27" applyNumberFormat="1" applyFont="1" applyFill="1" applyBorder="1" applyAlignment="1">
      <alignment horizontal="center" vertical="center"/>
    </xf>
    <xf numFmtId="37" fontId="1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9" borderId="1" xfId="0" applyFont="1" applyFill="1" applyBorder="1"/>
    <xf numFmtId="167" fontId="1" fillId="9" borderId="6" xfId="27" applyFont="1" applyFill="1" applyBorder="1"/>
    <xf numFmtId="167" fontId="1" fillId="9" borderId="1" xfId="27" applyFont="1" applyFill="1" applyBorder="1"/>
    <xf numFmtId="0" fontId="1" fillId="9" borderId="1" xfId="0" applyFont="1" applyFill="1" applyBorder="1" applyAlignment="1">
      <alignment wrapText="1"/>
    </xf>
    <xf numFmtId="167" fontId="1" fillId="9" borderId="5" xfId="27" applyFont="1" applyFill="1" applyBorder="1"/>
    <xf numFmtId="0" fontId="1" fillId="9" borderId="19" xfId="0" applyFont="1" applyFill="1" applyBorder="1"/>
    <xf numFmtId="167" fontId="1" fillId="9" borderId="16" xfId="27" applyFont="1" applyFill="1" applyBorder="1"/>
    <xf numFmtId="167" fontId="1" fillId="9" borderId="20" xfId="27" applyFont="1" applyFill="1" applyBorder="1"/>
    <xf numFmtId="44" fontId="1" fillId="9" borderId="0" xfId="0" applyNumberFormat="1" applyFont="1" applyFill="1" applyAlignment="1">
      <alignment vertical="center"/>
    </xf>
    <xf numFmtId="174" fontId="1" fillId="9" borderId="0" xfId="0" applyNumberFormat="1" applyFont="1" applyFill="1" applyAlignment="1">
      <alignment horizontal="center" vertical="center"/>
    </xf>
    <xf numFmtId="167" fontId="1" fillId="10" borderId="1" xfId="27" applyFont="1" applyFill="1" applyBorder="1" applyAlignment="1">
      <alignment horizontal="center" vertical="center"/>
    </xf>
    <xf numFmtId="167" fontId="1" fillId="0" borderId="1" xfId="27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174" fontId="1" fillId="0" borderId="0" xfId="0" applyNumberFormat="1" applyFont="1" applyAlignment="1">
      <alignment vertical="center"/>
    </xf>
    <xf numFmtId="167" fontId="1" fillId="0" borderId="1" xfId="27" applyFont="1" applyFill="1" applyBorder="1" applyAlignment="1">
      <alignment horizontal="left" indent="2"/>
    </xf>
    <xf numFmtId="165" fontId="1" fillId="0" borderId="1" xfId="23" applyFont="1" applyFill="1" applyBorder="1" applyAlignment="1">
      <alignment vertical="center"/>
    </xf>
    <xf numFmtId="168" fontId="1" fillId="9" borderId="0" xfId="27" applyNumberFormat="1" applyFont="1" applyFill="1" applyBorder="1" applyAlignment="1">
      <alignment vertical="center"/>
    </xf>
    <xf numFmtId="174" fontId="1" fillId="9" borderId="0" xfId="0" applyNumberFormat="1" applyFont="1" applyFill="1" applyAlignment="1">
      <alignment vertical="center" wrapText="1"/>
    </xf>
    <xf numFmtId="174" fontId="1" fillId="9" borderId="0" xfId="0" applyNumberFormat="1" applyFont="1" applyFill="1" applyAlignment="1">
      <alignment horizontal="center" vertical="center" wrapText="1"/>
    </xf>
    <xf numFmtId="168" fontId="1" fillId="10" borderId="1" xfId="27" applyNumberFormat="1" applyFont="1" applyFill="1" applyBorder="1" applyAlignment="1">
      <alignment horizontal="center" vertical="center"/>
    </xf>
    <xf numFmtId="165" fontId="1" fillId="16" borderId="3" xfId="23" applyFont="1" applyFill="1" applyBorder="1" applyAlignment="1">
      <alignment vertical="center"/>
    </xf>
    <xf numFmtId="9" fontId="1" fillId="9" borderId="0" xfId="0" applyNumberFormat="1" applyFont="1" applyFill="1"/>
    <xf numFmtId="0" fontId="1" fillId="9" borderId="0" xfId="0" applyFont="1" applyFill="1" applyAlignment="1">
      <alignment horizontal="right"/>
    </xf>
    <xf numFmtId="168" fontId="1" fillId="0" borderId="1" xfId="0" applyNumberFormat="1" applyFont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/>
    </xf>
    <xf numFmtId="168" fontId="1" fillId="9" borderId="1" xfId="27" applyNumberFormat="1" applyFont="1" applyFill="1" applyBorder="1"/>
    <xf numFmtId="0" fontId="1" fillId="0" borderId="2" xfId="0" applyFont="1" applyBorder="1"/>
    <xf numFmtId="0" fontId="1" fillId="9" borderId="0" xfId="0" applyFont="1" applyFill="1" applyAlignment="1">
      <alignment horizontal="center"/>
    </xf>
    <xf numFmtId="0" fontId="1" fillId="9" borderId="0" xfId="0" applyFont="1" applyFill="1" applyAlignment="1">
      <alignment horizontal="center" vertical="center"/>
    </xf>
    <xf numFmtId="0" fontId="1" fillId="9" borderId="1" xfId="0" applyFont="1" applyFill="1" applyBorder="1" applyAlignment="1">
      <alignment horizontal="center" vertical="top"/>
    </xf>
    <xf numFmtId="43" fontId="1" fillId="0" borderId="1" xfId="0" applyNumberFormat="1" applyFont="1" applyBorder="1"/>
    <xf numFmtId="43" fontId="1" fillId="9" borderId="1" xfId="0" applyNumberFormat="1" applyFont="1" applyFill="1" applyBorder="1"/>
    <xf numFmtId="10" fontId="1" fillId="9" borderId="0" xfId="0" applyNumberFormat="1" applyFont="1" applyFill="1"/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/>
    <xf numFmtId="0" fontId="1" fillId="9" borderId="5" xfId="0" applyFont="1" applyFill="1" applyBorder="1" applyAlignment="1">
      <alignment horizontal="center"/>
    </xf>
    <xf numFmtId="9" fontId="1" fillId="9" borderId="1" xfId="21" applyFill="1" applyBorder="1"/>
    <xf numFmtId="180" fontId="1" fillId="0" borderId="1" xfId="7" applyNumberFormat="1" applyFont="1" applyFill="1" applyBorder="1"/>
    <xf numFmtId="10" fontId="1" fillId="0" borderId="1" xfId="21" applyNumberFormat="1" applyFill="1" applyBorder="1" applyAlignment="1"/>
    <xf numFmtId="171" fontId="1" fillId="0" borderId="1" xfId="8" applyNumberFormat="1" applyFont="1" applyBorder="1"/>
    <xf numFmtId="180" fontId="1" fillId="0" borderId="0" xfId="0" applyNumberFormat="1" applyFont="1"/>
    <xf numFmtId="171" fontId="1" fillId="0" borderId="0" xfId="0" applyNumberFormat="1" applyFont="1"/>
    <xf numFmtId="10" fontId="1" fillId="0" borderId="1" xfId="0" applyNumberFormat="1" applyFont="1" applyBorder="1"/>
    <xf numFmtId="181" fontId="1" fillId="0" borderId="1" xfId="7" applyNumberFormat="1" applyFont="1" applyFill="1" applyBorder="1"/>
    <xf numFmtId="181" fontId="1" fillId="0" borderId="1" xfId="7" applyNumberFormat="1" applyFont="1" applyFill="1" applyBorder="1" applyAlignment="1">
      <alignment horizontal="center"/>
    </xf>
    <xf numFmtId="171" fontId="1" fillId="0" borderId="1" xfId="8" applyNumberFormat="1" applyFont="1" applyBorder="1" applyAlignment="1">
      <alignment horizontal="center"/>
    </xf>
    <xf numFmtId="180" fontId="1" fillId="0" borderId="0" xfId="3" applyFont="1" applyFill="1" applyBorder="1"/>
    <xf numFmtId="10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168" fontId="1" fillId="0" borderId="0" xfId="27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9" fontId="1" fillId="0" borderId="0" xfId="0" applyNumberFormat="1" applyFont="1"/>
    <xf numFmtId="1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center"/>
    </xf>
    <xf numFmtId="168" fontId="1" fillId="0" borderId="0" xfId="27" applyNumberFormat="1" applyFont="1" applyFill="1" applyBorder="1"/>
    <xf numFmtId="168" fontId="1" fillId="0" borderId="0" xfId="27" applyNumberFormat="1" applyFont="1" applyBorder="1"/>
    <xf numFmtId="9" fontId="1" fillId="0" borderId="0" xfId="21" applyBorder="1"/>
    <xf numFmtId="180" fontId="1" fillId="0" borderId="0" xfId="27" applyNumberFormat="1" applyFont="1" applyFill="1" applyBorder="1" applyAlignment="1">
      <alignment horizontal="right" vertical="center" wrapText="1" indent="1"/>
    </xf>
    <xf numFmtId="0" fontId="1" fillId="9" borderId="0" xfId="0" applyFont="1" applyFill="1" applyAlignment="1">
      <alignment vertical="center"/>
    </xf>
    <xf numFmtId="0" fontId="1" fillId="9" borderId="0" xfId="0" applyFont="1" applyFill="1" applyAlignment="1">
      <alignment horizontal="centerContinuous" vertical="center"/>
    </xf>
    <xf numFmtId="172" fontId="1" fillId="9" borderId="0" xfId="0" applyNumberFormat="1" applyFont="1" applyFill="1" applyAlignment="1">
      <alignment vertical="center"/>
    </xf>
    <xf numFmtId="0" fontId="1" fillId="9" borderId="0" xfId="0" applyFont="1" applyFill="1" applyAlignment="1">
      <alignment horizontal="left" vertical="center"/>
    </xf>
    <xf numFmtId="180" fontId="1" fillId="9" borderId="0" xfId="0" applyNumberFormat="1" applyFont="1" applyFill="1" applyAlignment="1">
      <alignment horizontal="center" vertical="center"/>
    </xf>
    <xf numFmtId="180" fontId="1" fillId="0" borderId="0" xfId="0" applyNumberFormat="1" applyFont="1" applyAlignment="1">
      <alignment horizontal="center" vertical="center"/>
    </xf>
    <xf numFmtId="0" fontId="1" fillId="9" borderId="0" xfId="0" applyFont="1" applyFill="1" applyAlignment="1">
      <alignment horizontal="left" vertical="center" wrapText="1"/>
    </xf>
    <xf numFmtId="0" fontId="1" fillId="9" borderId="0" xfId="0" applyFont="1" applyFill="1" applyAlignment="1">
      <alignment horizontal="left" vertical="center" indent="1"/>
    </xf>
    <xf numFmtId="180" fontId="1" fillId="9" borderId="0" xfId="27" applyNumberFormat="1" applyFont="1" applyFill="1" applyBorder="1" applyAlignment="1">
      <alignment vertical="center"/>
    </xf>
    <xf numFmtId="180" fontId="1" fillId="9" borderId="0" xfId="0" applyNumberFormat="1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7" xfId="0" applyFont="1" applyBorder="1"/>
    <xf numFmtId="10" fontId="1" fillId="0" borderId="7" xfId="21" applyNumberFormat="1" applyBorder="1"/>
    <xf numFmtId="0" fontId="1" fillId="0" borderId="16" xfId="0" applyFont="1" applyBorder="1"/>
    <xf numFmtId="10" fontId="1" fillId="0" borderId="16" xfId="21" applyNumberFormat="1" applyBorder="1"/>
    <xf numFmtId="10" fontId="1" fillId="0" borderId="0" xfId="21" applyNumberFormat="1" applyAlignment="1">
      <alignment horizontal="left"/>
    </xf>
    <xf numFmtId="0" fontId="1" fillId="0" borderId="0" xfId="0" applyFont="1" applyAlignment="1">
      <alignment horizontal="left"/>
    </xf>
    <xf numFmtId="167" fontId="1" fillId="0" borderId="0" xfId="27" applyFont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right"/>
    </xf>
    <xf numFmtId="3" fontId="1" fillId="9" borderId="1" xfId="21" applyNumberFormat="1" applyFill="1" applyBorder="1" applyAlignment="1">
      <alignment horizontal="center"/>
    </xf>
    <xf numFmtId="0" fontId="28" fillId="9" borderId="1" xfId="18" applyFont="1" applyFill="1" applyBorder="1" applyAlignment="1">
      <alignment vertical="center"/>
    </xf>
    <xf numFmtId="169" fontId="1" fillId="0" borderId="1" xfId="19" applyNumberFormat="1" applyFont="1" applyFill="1" applyBorder="1" applyAlignment="1">
      <alignment horizontal="left"/>
    </xf>
    <xf numFmtId="0" fontId="1" fillId="0" borderId="0" xfId="0" applyFont="1" applyAlignment="1">
      <alignment wrapText="1"/>
    </xf>
    <xf numFmtId="43" fontId="2" fillId="9" borderId="0" xfId="18" applyNumberFormat="1" applyFill="1" applyAlignment="1">
      <alignment horizontal="center" vertical="center"/>
    </xf>
    <xf numFmtId="43" fontId="4" fillId="9" borderId="0" xfId="18" applyNumberFormat="1" applyFont="1" applyFill="1" applyAlignment="1">
      <alignment horizontal="center" vertical="center"/>
    </xf>
    <xf numFmtId="9" fontId="1" fillId="0" borderId="0" xfId="21"/>
    <xf numFmtId="0" fontId="1" fillId="0" borderId="1" xfId="0" applyFont="1" applyBorder="1" applyAlignment="1">
      <alignment horizontal="left" vertical="center" wrapText="1"/>
    </xf>
    <xf numFmtId="0" fontId="41" fillId="19" borderId="1" xfId="0" applyFont="1" applyFill="1" applyBorder="1"/>
    <xf numFmtId="166" fontId="41" fillId="19" borderId="1" xfId="9" applyFont="1" applyFill="1" applyBorder="1" applyAlignment="1">
      <alignment horizontal="center"/>
    </xf>
    <xf numFmtId="0" fontId="4" fillId="10" borderId="1" xfId="0" applyFont="1" applyFill="1" applyBorder="1"/>
    <xf numFmtId="37" fontId="4" fillId="10" borderId="1" xfId="0" applyNumberFormat="1" applyFont="1" applyFill="1" applyBorder="1"/>
    <xf numFmtId="3" fontId="1" fillId="0" borderId="1" xfId="9" applyNumberFormat="1" applyFill="1" applyBorder="1" applyAlignment="1">
      <alignment horizontal="right"/>
    </xf>
    <xf numFmtId="3" fontId="4" fillId="10" borderId="1" xfId="9" applyNumberFormat="1" applyFont="1" applyFill="1" applyBorder="1" applyAlignment="1">
      <alignment horizontal="right"/>
    </xf>
    <xf numFmtId="3" fontId="1" fillId="0" borderId="1" xfId="9" applyNumberFormat="1" applyBorder="1" applyAlignment="1">
      <alignment horizontal="right"/>
    </xf>
    <xf numFmtId="0" fontId="2" fillId="0" borderId="7" xfId="18" applyBorder="1" applyAlignment="1">
      <alignment horizontal="center"/>
    </xf>
    <xf numFmtId="0" fontId="1" fillId="0" borderId="7" xfId="18" applyFont="1" applyBorder="1" applyAlignment="1">
      <alignment horizontal="left" indent="2"/>
    </xf>
    <xf numFmtId="2" fontId="6" fillId="9" borderId="0" xfId="27" applyNumberFormat="1" applyFill="1" applyAlignment="1">
      <alignment vertical="center"/>
    </xf>
    <xf numFmtId="2" fontId="1" fillId="9" borderId="0" xfId="0" applyNumberFormat="1" applyFont="1" applyFill="1" applyAlignment="1">
      <alignment vertical="center"/>
    </xf>
    <xf numFmtId="167" fontId="6" fillId="9" borderId="0" xfId="27" applyFill="1" applyAlignment="1">
      <alignment vertical="center"/>
    </xf>
    <xf numFmtId="2" fontId="4" fillId="0" borderId="1" xfId="9" applyNumberFormat="1" applyFont="1" applyFill="1" applyBorder="1"/>
    <xf numFmtId="4" fontId="0" fillId="9" borderId="0" xfId="0" applyNumberFormat="1" applyFill="1" applyAlignment="1">
      <alignment horizontal="center" vertical="center"/>
    </xf>
    <xf numFmtId="0" fontId="0" fillId="9" borderId="0" xfId="0" applyFill="1" applyAlignment="1">
      <alignment vertical="center"/>
    </xf>
    <xf numFmtId="9" fontId="4" fillId="6" borderId="1" xfId="0" applyNumberFormat="1" applyFont="1" applyFill="1" applyBorder="1" applyAlignment="1">
      <alignment horizontal="center" vertical="center"/>
    </xf>
    <xf numFmtId="10" fontId="4" fillId="6" borderId="1" xfId="21" applyNumberFormat="1" applyFont="1" applyFill="1" applyBorder="1" applyAlignment="1">
      <alignment horizontal="center" vertical="center"/>
    </xf>
    <xf numFmtId="4" fontId="4" fillId="10" borderId="1" xfId="0" applyNumberFormat="1" applyFont="1" applyFill="1" applyBorder="1" applyAlignment="1">
      <alignment horizontal="center" vertical="center"/>
    </xf>
    <xf numFmtId="10" fontId="1" fillId="13" borderId="0" xfId="0" applyNumberFormat="1" applyFont="1" applyFill="1" applyAlignment="1">
      <alignment horizontal="center"/>
    </xf>
    <xf numFmtId="4" fontId="0" fillId="9" borderId="1" xfId="0" applyNumberFormat="1" applyFill="1" applyBorder="1" applyAlignment="1">
      <alignment horizontal="center"/>
    </xf>
    <xf numFmtId="0" fontId="0" fillId="9" borderId="42" xfId="0" applyFill="1" applyBorder="1"/>
    <xf numFmtId="4" fontId="0" fillId="9" borderId="43" xfId="0" applyNumberFormat="1" applyFill="1" applyBorder="1" applyAlignment="1">
      <alignment horizontal="center"/>
    </xf>
    <xf numFmtId="0" fontId="0" fillId="9" borderId="44" xfId="0" applyFill="1" applyBorder="1"/>
    <xf numFmtId="4" fontId="0" fillId="9" borderId="45" xfId="0" applyNumberFormat="1" applyFill="1" applyBorder="1" applyAlignment="1">
      <alignment horizontal="center"/>
    </xf>
    <xf numFmtId="4" fontId="0" fillId="9" borderId="46" xfId="0" applyNumberFormat="1" applyFill="1" applyBorder="1" applyAlignment="1">
      <alignment horizontal="center"/>
    </xf>
    <xf numFmtId="0" fontId="0" fillId="9" borderId="49" xfId="0" applyFill="1" applyBorder="1"/>
    <xf numFmtId="4" fontId="0" fillId="9" borderId="6" xfId="0" applyNumberFormat="1" applyFill="1" applyBorder="1" applyAlignment="1">
      <alignment horizontal="center"/>
    </xf>
    <xf numFmtId="4" fontId="0" fillId="9" borderId="50" xfId="0" applyNumberFormat="1" applyFill="1" applyBorder="1" applyAlignment="1">
      <alignment horizontal="center"/>
    </xf>
    <xf numFmtId="0" fontId="4" fillId="9" borderId="51" xfId="0" applyFont="1" applyFill="1" applyBorder="1" applyAlignment="1">
      <alignment horizontal="center"/>
    </xf>
    <xf numFmtId="0" fontId="4" fillId="9" borderId="52" xfId="0" applyFont="1" applyFill="1" applyBorder="1" applyAlignment="1">
      <alignment horizontal="center"/>
    </xf>
    <xf numFmtId="0" fontId="4" fillId="9" borderId="53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7" fillId="0" borderId="4" xfId="0" applyFont="1" applyBorder="1" applyAlignment="1">
      <alignment horizontal="left"/>
    </xf>
    <xf numFmtId="4" fontId="1" fillId="0" borderId="4" xfId="0" applyNumberFormat="1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1" fillId="0" borderId="6" xfId="0" applyFont="1" applyBorder="1"/>
    <xf numFmtId="170" fontId="1" fillId="0" borderId="1" xfId="0" applyNumberFormat="1" applyFont="1" applyBorder="1" applyAlignment="1">
      <alignment horizontal="center"/>
    </xf>
    <xf numFmtId="0" fontId="31" fillId="0" borderId="0" xfId="0" applyFont="1"/>
    <xf numFmtId="4" fontId="1" fillId="0" borderId="1" xfId="0" applyNumberFormat="1" applyFont="1" applyBorder="1" applyAlignment="1">
      <alignment horizontal="left"/>
    </xf>
    <xf numFmtId="4" fontId="27" fillId="0" borderId="1" xfId="0" applyNumberFormat="1" applyFont="1" applyBorder="1" applyAlignment="1">
      <alignment horizontal="center"/>
    </xf>
    <xf numFmtId="0" fontId="34" fillId="0" borderId="0" xfId="0" applyFont="1"/>
    <xf numFmtId="167" fontId="1" fillId="0" borderId="1" xfId="30" applyFill="1" applyBorder="1" applyAlignment="1">
      <alignment horizontal="center"/>
    </xf>
    <xf numFmtId="0" fontId="30" fillId="0" borderId="0" xfId="0" applyFont="1"/>
    <xf numFmtId="3" fontId="27" fillId="0" borderId="1" xfId="0" applyNumberFormat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167" fontId="1" fillId="0" borderId="1" xfId="28" applyFont="1" applyFill="1" applyBorder="1"/>
    <xf numFmtId="176" fontId="1" fillId="0" borderId="1" xfId="0" applyNumberFormat="1" applyFont="1" applyBorder="1" applyAlignment="1">
      <alignment horizontal="center"/>
    </xf>
    <xf numFmtId="16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1" fontId="0" fillId="0" borderId="1" xfId="0" applyNumberFormat="1" applyBorder="1"/>
    <xf numFmtId="37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28" fillId="9" borderId="2" xfId="18" applyFont="1" applyFill="1" applyBorder="1" applyAlignment="1">
      <alignment horizontal="center" vertical="center"/>
    </xf>
    <xf numFmtId="0" fontId="28" fillId="9" borderId="3" xfId="18" applyFont="1" applyFill="1" applyBorder="1" applyAlignment="1">
      <alignment horizontal="center" vertical="center"/>
    </xf>
    <xf numFmtId="0" fontId="28" fillId="9" borderId="5" xfId="18" applyFont="1" applyFill="1" applyBorder="1" applyAlignment="1">
      <alignment horizontal="center" vertical="center"/>
    </xf>
    <xf numFmtId="174" fontId="28" fillId="0" borderId="2" xfId="0" applyNumberFormat="1" applyFont="1" applyBorder="1" applyAlignment="1">
      <alignment horizontal="center" vertical="center" wrapText="1"/>
    </xf>
    <xf numFmtId="174" fontId="28" fillId="0" borderId="5" xfId="0" applyNumberFormat="1" applyFont="1" applyBorder="1" applyAlignment="1">
      <alignment horizontal="center" vertical="center" wrapText="1"/>
    </xf>
    <xf numFmtId="49" fontId="11" fillId="9" borderId="23" xfId="0" applyNumberFormat="1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49" fontId="11" fillId="9" borderId="26" xfId="0" applyNumberFormat="1" applyFont="1" applyFill="1" applyBorder="1" applyAlignment="1">
      <alignment horizontal="left" vertical="center"/>
    </xf>
    <xf numFmtId="0" fontId="11" fillId="9" borderId="27" xfId="0" applyFont="1" applyFill="1" applyBorder="1" applyAlignment="1">
      <alignment horizontal="left" vertical="center"/>
    </xf>
    <xf numFmtId="0" fontId="11" fillId="9" borderId="28" xfId="0" applyFont="1" applyFill="1" applyBorder="1" applyAlignment="1">
      <alignment horizontal="left" vertical="center"/>
    </xf>
    <xf numFmtId="49" fontId="11" fillId="9" borderId="29" xfId="0" applyNumberFormat="1" applyFont="1" applyFill="1" applyBorder="1" applyAlignment="1">
      <alignment horizontal="left" vertical="center"/>
    </xf>
    <xf numFmtId="0" fontId="11" fillId="9" borderId="30" xfId="0" applyFont="1" applyFill="1" applyBorder="1" applyAlignment="1">
      <alignment horizontal="left" vertical="center"/>
    </xf>
    <xf numFmtId="0" fontId="11" fillId="9" borderId="31" xfId="0" applyFont="1" applyFill="1" applyBorder="1" applyAlignment="1">
      <alignment horizontal="left" vertical="center"/>
    </xf>
    <xf numFmtId="49" fontId="11" fillId="9" borderId="13" xfId="0" applyNumberFormat="1" applyFont="1" applyFill="1" applyBorder="1" applyAlignment="1">
      <alignment horizontal="right" vertical="center"/>
    </xf>
    <xf numFmtId="0" fontId="11" fillId="9" borderId="14" xfId="0" applyFont="1" applyFill="1" applyBorder="1" applyAlignment="1">
      <alignment horizontal="right" vertical="center"/>
    </xf>
    <xf numFmtId="49" fontId="11" fillId="9" borderId="13" xfId="0" applyNumberFormat="1" applyFont="1" applyFill="1" applyBorder="1" applyAlignment="1">
      <alignment horizontal="left" vertical="center"/>
    </xf>
    <xf numFmtId="0" fontId="11" fillId="9" borderId="14" xfId="0" applyFont="1" applyFill="1" applyBorder="1" applyAlignment="1">
      <alignment horizontal="left" vertical="center"/>
    </xf>
    <xf numFmtId="0" fontId="11" fillId="9" borderId="15" xfId="0" applyFont="1" applyFill="1" applyBorder="1" applyAlignment="1">
      <alignment horizontal="left" vertical="center"/>
    </xf>
    <xf numFmtId="49" fontId="10" fillId="9" borderId="29" xfId="0" applyNumberFormat="1" applyFont="1" applyFill="1" applyBorder="1" applyAlignment="1">
      <alignment horizontal="left" vertical="center"/>
    </xf>
    <xf numFmtId="0" fontId="10" fillId="9" borderId="30" xfId="0" applyFont="1" applyFill="1" applyBorder="1" applyAlignment="1">
      <alignment horizontal="left" vertical="center"/>
    </xf>
    <xf numFmtId="0" fontId="10" fillId="9" borderId="32" xfId="0" applyFont="1" applyFill="1" applyBorder="1" applyAlignment="1">
      <alignment horizontal="left" vertical="center"/>
    </xf>
    <xf numFmtId="49" fontId="10" fillId="9" borderId="33" xfId="0" applyNumberFormat="1" applyFont="1" applyFill="1" applyBorder="1" applyAlignment="1">
      <alignment horizontal="left" vertical="center"/>
    </xf>
    <xf numFmtId="49" fontId="10" fillId="9" borderId="34" xfId="0" applyNumberFormat="1" applyFont="1" applyFill="1" applyBorder="1" applyAlignment="1">
      <alignment horizontal="left" vertical="center"/>
    </xf>
    <xf numFmtId="49" fontId="10" fillId="9" borderId="35" xfId="0" applyNumberFormat="1" applyFont="1" applyFill="1" applyBorder="1" applyAlignment="1">
      <alignment horizontal="left" vertical="center"/>
    </xf>
    <xf numFmtId="49" fontId="11" fillId="9" borderId="36" xfId="0" applyNumberFormat="1" applyFont="1" applyFill="1" applyBorder="1" applyAlignment="1">
      <alignment horizontal="left" vertical="center"/>
    </xf>
    <xf numFmtId="49" fontId="11" fillId="9" borderId="34" xfId="0" applyNumberFormat="1" applyFont="1" applyFill="1" applyBorder="1" applyAlignment="1">
      <alignment horizontal="left" vertical="center"/>
    </xf>
    <xf numFmtId="49" fontId="11" fillId="9" borderId="37" xfId="0" applyNumberFormat="1" applyFont="1" applyFill="1" applyBorder="1" applyAlignment="1">
      <alignment horizontal="left" vertical="center"/>
    </xf>
    <xf numFmtId="49" fontId="11" fillId="9" borderId="36" xfId="0" applyNumberFormat="1" applyFont="1" applyFill="1" applyBorder="1" applyAlignment="1">
      <alignment horizontal="right" vertical="center"/>
    </xf>
    <xf numFmtId="49" fontId="11" fillId="9" borderId="34" xfId="0" applyNumberFormat="1" applyFont="1" applyFill="1" applyBorder="1" applyAlignment="1">
      <alignment horizontal="right" vertical="center"/>
    </xf>
    <xf numFmtId="49" fontId="11" fillId="9" borderId="35" xfId="0" applyNumberFormat="1" applyFont="1" applyFill="1" applyBorder="1" applyAlignment="1">
      <alignment horizontal="right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47" xfId="0" applyFont="1" applyFill="1" applyBorder="1" applyAlignment="1">
      <alignment horizontal="center"/>
    </xf>
    <xf numFmtId="0" fontId="4" fillId="9" borderId="48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4" fillId="11" borderId="2" xfId="0" applyFont="1" applyFill="1" applyBorder="1" applyAlignment="1">
      <alignment horizontal="left"/>
    </xf>
    <xf numFmtId="0" fontId="4" fillId="11" borderId="5" xfId="0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9" fontId="11" fillId="0" borderId="13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49" fontId="11" fillId="0" borderId="13" xfId="0" applyNumberFormat="1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49" fontId="10" fillId="0" borderId="33" xfId="0" applyNumberFormat="1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49" fontId="10" fillId="0" borderId="29" xfId="0" applyNumberFormat="1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49" fontId="11" fillId="0" borderId="23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49" fontId="11" fillId="0" borderId="29" xfId="0" applyNumberFormat="1" applyFont="1" applyBorder="1" applyAlignment="1">
      <alignment horizontal="left" vertical="center"/>
    </xf>
    <xf numFmtId="0" fontId="11" fillId="0" borderId="30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4" fillId="15" borderId="5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</cellXfs>
  <cellStyles count="32">
    <cellStyle name="Comma 2" xfId="1" xr:uid="{00000000-0005-0000-0000-000000000000}"/>
    <cellStyle name="Comma 2 2" xfId="2" xr:uid="{00000000-0005-0000-0000-000001000000}"/>
    <cellStyle name="Comma[0]" xfId="3" xr:uid="{00000000-0005-0000-0000-000002000000}"/>
    <cellStyle name="H0" xfId="4" xr:uid="{00000000-0005-0000-0000-000003000000}"/>
    <cellStyle name="Hiperlink" xfId="5" builtinId="8"/>
    <cellStyle name="Info" xfId="6" xr:uid="{00000000-0005-0000-0000-000005000000}"/>
    <cellStyle name="Inputs" xfId="7" xr:uid="{00000000-0005-0000-0000-000006000000}"/>
    <cellStyle name="Insheet" xfId="8" xr:uid="{00000000-0005-0000-0000-000007000000}"/>
    <cellStyle name="Moeda" xfId="9" builtinId="4"/>
    <cellStyle name="Moeda 2" xfId="10" xr:uid="{00000000-0005-0000-0000-000009000000}"/>
    <cellStyle name="Moeda 2 2" xfId="11" xr:uid="{00000000-0005-0000-0000-00000A000000}"/>
    <cellStyle name="Moeda 3" xfId="12" xr:uid="{00000000-0005-0000-0000-00000B000000}"/>
    <cellStyle name="Moeda 3 2" xfId="13" xr:uid="{00000000-0005-0000-0000-00000C000000}"/>
    <cellStyle name="Moeda 4" xfId="14" xr:uid="{00000000-0005-0000-0000-00000D000000}"/>
    <cellStyle name="Moeda 5" xfId="15" xr:uid="{00000000-0005-0000-0000-00000E000000}"/>
    <cellStyle name="Moeda 5 2" xfId="16" xr:uid="{00000000-0005-0000-0000-00000F000000}"/>
    <cellStyle name="Normal" xfId="0" builtinId="0"/>
    <cellStyle name="Normal 2" xfId="17" xr:uid="{00000000-0005-0000-0000-000011000000}"/>
    <cellStyle name="Normal 3" xfId="18" xr:uid="{00000000-0005-0000-0000-000012000000}"/>
    <cellStyle name="Normal 4 2" xfId="31" xr:uid="{00000000-0005-0000-0000-000013000000}"/>
    <cellStyle name="Nota" xfId="19" builtinId="10"/>
    <cellStyle name="Nota 2" xfId="20" xr:uid="{00000000-0005-0000-0000-000015000000}"/>
    <cellStyle name="Porcentagem" xfId="21" builtinId="5"/>
    <cellStyle name="Porcentagem 2" xfId="22" xr:uid="{00000000-0005-0000-0000-000017000000}"/>
    <cellStyle name="Porcentagem 9" xfId="29" xr:uid="{00000000-0005-0000-0000-000018000000}"/>
    <cellStyle name="Separador de milhares 2" xfId="23" xr:uid="{00000000-0005-0000-0000-000019000000}"/>
    <cellStyle name="Separador de milhares 2 2" xfId="24" xr:uid="{00000000-0005-0000-0000-00001A000000}"/>
    <cellStyle name="Table" xfId="25" xr:uid="{00000000-0005-0000-0000-00001B000000}"/>
    <cellStyle name="Unit" xfId="26" xr:uid="{00000000-0005-0000-0000-00001C000000}"/>
    <cellStyle name="Vírgula" xfId="27" builtinId="3"/>
    <cellStyle name="Vírgula 2" xfId="28" xr:uid="{00000000-0005-0000-0000-00001E000000}"/>
    <cellStyle name="Vírgula 5" xfId="30" xr:uid="{00000000-0005-0000-0000-00001F000000}"/>
  </cellStyles>
  <dxfs count="8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99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30</xdr:row>
      <xdr:rowOff>28575</xdr:rowOff>
    </xdr:from>
    <xdr:to>
      <xdr:col>17</xdr:col>
      <xdr:colOff>390525</xdr:colOff>
      <xdr:row>42</xdr:row>
      <xdr:rowOff>53788</xdr:rowOff>
    </xdr:to>
    <xdr:pic>
      <xdr:nvPicPr>
        <xdr:cNvPr id="4571" name="Imagem 1">
          <a:extLst>
            <a:ext uri="{FF2B5EF4-FFF2-40B4-BE49-F238E27FC236}">
              <a16:creationId xmlns:a16="http://schemas.microsoft.com/office/drawing/2014/main" id="{095CB2D7-2E25-DCB9-D91A-4C654C283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8100" y="6657975"/>
          <a:ext cx="66103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H379"/>
  <sheetViews>
    <sheetView showGridLines="0" zoomScale="85" zoomScaleNormal="85" workbookViewId="0">
      <selection activeCell="C41" sqref="C41"/>
    </sheetView>
  </sheetViews>
  <sheetFormatPr defaultColWidth="9.28515625" defaultRowHeight="13.15" customHeight="1" x14ac:dyDescent="0.2"/>
  <cols>
    <col min="1" max="1" width="9.28515625" style="158"/>
    <col min="2" max="2" width="81.28515625" style="158" bestFit="1" customWidth="1"/>
    <col min="3" max="3" width="30.42578125" style="171" bestFit="1" customWidth="1"/>
    <col min="4" max="4" width="19.7109375" style="158" customWidth="1"/>
    <col min="5" max="5" width="20.5703125" style="7" customWidth="1"/>
    <col min="6" max="6" width="12.28515625" style="158" customWidth="1"/>
    <col min="7" max="7" width="13.28515625" style="158" bestFit="1" customWidth="1"/>
    <col min="8" max="8" width="12.28515625" style="158" bestFit="1" customWidth="1"/>
    <col min="9" max="16384" width="9.28515625" style="158"/>
  </cols>
  <sheetData>
    <row r="1" spans="1:8" ht="13.15" customHeight="1" x14ac:dyDescent="0.2">
      <c r="A1" s="8" t="s">
        <v>0</v>
      </c>
      <c r="B1" s="8"/>
      <c r="C1" s="473"/>
      <c r="D1" s="403"/>
      <c r="E1" s="411"/>
      <c r="F1" s="403"/>
      <c r="G1" s="403"/>
      <c r="H1" s="403"/>
    </row>
    <row r="2" spans="1:8" ht="13.15" customHeight="1" x14ac:dyDescent="0.2">
      <c r="A2" s="8" t="s">
        <v>1</v>
      </c>
      <c r="B2" s="8"/>
      <c r="C2" s="473"/>
      <c r="D2" s="403"/>
      <c r="E2" s="411"/>
      <c r="F2" s="403"/>
      <c r="G2" s="403"/>
      <c r="H2" s="403"/>
    </row>
    <row r="3" spans="1:8" ht="13.15" customHeight="1" x14ac:dyDescent="0.2">
      <c r="A3" s="8" t="s">
        <v>2</v>
      </c>
      <c r="B3" s="8"/>
      <c r="C3" s="473"/>
      <c r="D3" s="403"/>
      <c r="E3" s="411"/>
      <c r="F3" s="403"/>
      <c r="G3" s="403"/>
      <c r="H3" s="403"/>
    </row>
    <row r="5" spans="1:8" ht="13.15" customHeight="1" x14ac:dyDescent="0.2">
      <c r="A5" s="169">
        <v>1</v>
      </c>
      <c r="B5" s="163" t="s">
        <v>3</v>
      </c>
      <c r="C5" s="170" t="s">
        <v>4</v>
      </c>
      <c r="D5" s="169" t="s">
        <v>5</v>
      </c>
      <c r="E5" s="169" t="s">
        <v>6</v>
      </c>
      <c r="F5" s="403"/>
      <c r="G5" s="403"/>
      <c r="H5" s="403"/>
    </row>
    <row r="6" spans="1:8" ht="13.15" customHeight="1" x14ac:dyDescent="0.2">
      <c r="A6" s="434" t="s">
        <v>7</v>
      </c>
      <c r="B6" s="423" t="s">
        <v>8</v>
      </c>
      <c r="C6" s="474">
        <f>182660</f>
        <v>182660</v>
      </c>
      <c r="D6" s="434" t="s">
        <v>9</v>
      </c>
      <c r="E6" s="434" t="s">
        <v>10</v>
      </c>
      <c r="F6" s="403"/>
      <c r="G6" s="403"/>
      <c r="H6" s="403"/>
    </row>
    <row r="7" spans="1:8" ht="13.15" customHeight="1" x14ac:dyDescent="0.2">
      <c r="A7" s="434" t="s">
        <v>11</v>
      </c>
      <c r="B7" s="423" t="s">
        <v>12</v>
      </c>
      <c r="C7" s="436">
        <f>SUM(C8:C10)</f>
        <v>38988</v>
      </c>
      <c r="D7" s="434" t="s">
        <v>13</v>
      </c>
      <c r="E7" s="434" t="s">
        <v>14</v>
      </c>
      <c r="F7" s="403"/>
      <c r="G7" s="403"/>
      <c r="H7" s="403"/>
    </row>
    <row r="8" spans="1:8" ht="13.15" customHeight="1" x14ac:dyDescent="0.2">
      <c r="A8" s="434" t="s">
        <v>15</v>
      </c>
      <c r="B8" s="154" t="s">
        <v>16</v>
      </c>
      <c r="C8" s="436">
        <f>33227-2896</f>
        <v>30331</v>
      </c>
      <c r="D8" s="634" t="s">
        <v>13</v>
      </c>
      <c r="E8" s="434" t="s">
        <v>17</v>
      </c>
      <c r="F8" s="403"/>
      <c r="G8" s="403"/>
      <c r="H8" s="403"/>
    </row>
    <row r="9" spans="1:8" ht="13.15" customHeight="1" x14ac:dyDescent="0.2">
      <c r="A9" s="434" t="s">
        <v>18</v>
      </c>
      <c r="B9" s="154" t="s">
        <v>19</v>
      </c>
      <c r="C9" s="436">
        <v>1415</v>
      </c>
      <c r="D9" s="634" t="s">
        <v>13</v>
      </c>
      <c r="E9" s="434" t="s">
        <v>17</v>
      </c>
      <c r="F9" s="403"/>
      <c r="G9" s="403"/>
      <c r="H9" s="403"/>
    </row>
    <row r="10" spans="1:8" ht="13.15" customHeight="1" x14ac:dyDescent="0.2">
      <c r="A10" s="434" t="s">
        <v>20</v>
      </c>
      <c r="B10" s="635" t="s">
        <v>21</v>
      </c>
      <c r="C10" s="636">
        <v>7242</v>
      </c>
      <c r="D10" s="634" t="s">
        <v>13</v>
      </c>
      <c r="E10" s="434" t="s">
        <v>17</v>
      </c>
      <c r="F10" s="403"/>
      <c r="G10" s="403"/>
      <c r="H10" s="403"/>
    </row>
    <row r="11" spans="1:8" ht="13.15" customHeight="1" x14ac:dyDescent="0.2">
      <c r="A11" s="434" t="s">
        <v>22</v>
      </c>
      <c r="B11" s="423" t="s">
        <v>23</v>
      </c>
      <c r="C11" s="636">
        <v>2896</v>
      </c>
      <c r="D11" s="634" t="s">
        <v>13</v>
      </c>
      <c r="E11" s="434" t="s">
        <v>17</v>
      </c>
      <c r="F11" s="403"/>
      <c r="G11" s="403"/>
      <c r="H11" s="403"/>
    </row>
    <row r="12" spans="1:8" ht="13.15" customHeight="1" x14ac:dyDescent="0.2">
      <c r="A12" s="434" t="s">
        <v>24</v>
      </c>
      <c r="B12" s="423" t="s">
        <v>25</v>
      </c>
      <c r="C12" s="636">
        <f>C10-C11</f>
        <v>4346</v>
      </c>
      <c r="D12" s="634" t="s">
        <v>13</v>
      </c>
      <c r="E12" s="434" t="s">
        <v>17</v>
      </c>
      <c r="F12" s="403"/>
      <c r="G12" s="403"/>
      <c r="H12" s="403"/>
    </row>
    <row r="13" spans="1:8" ht="13.15" customHeight="1" x14ac:dyDescent="0.2">
      <c r="A13" s="434" t="s">
        <v>26</v>
      </c>
      <c r="B13" s="637" t="s">
        <v>27</v>
      </c>
      <c r="C13" s="475">
        <f>C10/C7</f>
        <v>0.18574946137273007</v>
      </c>
      <c r="D13" s="634" t="s">
        <v>28</v>
      </c>
      <c r="E13" s="434" t="s">
        <v>29</v>
      </c>
      <c r="F13" s="403"/>
      <c r="G13" s="403"/>
      <c r="H13" s="403"/>
    </row>
    <row r="14" spans="1:8" ht="13.15" customHeight="1" x14ac:dyDescent="0.2">
      <c r="A14" s="434" t="s">
        <v>30</v>
      </c>
      <c r="B14" s="637" t="s">
        <v>31</v>
      </c>
      <c r="C14" s="476">
        <f>C12/C7</f>
        <v>0.11147019595773058</v>
      </c>
      <c r="D14" s="634" t="s">
        <v>28</v>
      </c>
      <c r="E14" s="434" t="s">
        <v>29</v>
      </c>
      <c r="F14" s="403"/>
      <c r="G14" s="403"/>
      <c r="H14" s="403"/>
    </row>
    <row r="15" spans="1:8" ht="13.15" customHeight="1" x14ac:dyDescent="0.2">
      <c r="A15" s="434" t="s">
        <v>32</v>
      </c>
      <c r="B15" s="637" t="s">
        <v>33</v>
      </c>
      <c r="C15" s="476">
        <f>C12/C10</f>
        <v>0.60011046672190005</v>
      </c>
      <c r="D15" s="634" t="s">
        <v>28</v>
      </c>
      <c r="E15" s="434" t="s">
        <v>29</v>
      </c>
      <c r="F15" s="403"/>
      <c r="G15" s="403"/>
      <c r="H15" s="403"/>
    </row>
    <row r="16" spans="1:8" ht="13.15" customHeight="1" x14ac:dyDescent="0.2">
      <c r="A16" s="434" t="s">
        <v>34</v>
      </c>
      <c r="B16" s="638" t="s">
        <v>35</v>
      </c>
      <c r="C16" s="476">
        <f>C27+C28+C29+C30+C32</f>
        <v>0.35000000000000003</v>
      </c>
      <c r="D16" s="634" t="s">
        <v>28</v>
      </c>
      <c r="E16" s="434" t="s">
        <v>29</v>
      </c>
      <c r="F16" s="403"/>
      <c r="G16" s="403"/>
      <c r="H16" s="403"/>
    </row>
    <row r="17" spans="1:5" ht="13.15" customHeight="1" x14ac:dyDescent="0.2">
      <c r="A17" s="434" t="s">
        <v>36</v>
      </c>
      <c r="B17" s="638" t="s">
        <v>37</v>
      </c>
      <c r="C17" s="476">
        <f>C16-C14</f>
        <v>0.23852980404226945</v>
      </c>
      <c r="D17" s="634" t="s">
        <v>28</v>
      </c>
      <c r="E17" s="434" t="s">
        <v>29</v>
      </c>
    </row>
    <row r="18" spans="1:5" ht="13.15" customHeight="1" x14ac:dyDescent="0.2">
      <c r="A18" s="434" t="s">
        <v>38</v>
      </c>
      <c r="B18" s="423" t="s">
        <v>39</v>
      </c>
      <c r="C18" s="436">
        <f>C7*1000/C6/365</f>
        <v>0.5847828662879907</v>
      </c>
      <c r="D18" s="434" t="s">
        <v>40</v>
      </c>
      <c r="E18" s="434" t="s">
        <v>41</v>
      </c>
    </row>
    <row r="19" spans="1:5" ht="13.15" customHeight="1" x14ac:dyDescent="0.2">
      <c r="A19" s="434" t="s">
        <v>42</v>
      </c>
      <c r="B19" s="423" t="s">
        <v>43</v>
      </c>
      <c r="C19" s="436">
        <v>300</v>
      </c>
      <c r="D19" s="434" t="s">
        <v>44</v>
      </c>
      <c r="E19" s="434" t="s">
        <v>17</v>
      </c>
    </row>
    <row r="20" spans="1:5" ht="13.15" customHeight="1" x14ac:dyDescent="0.2">
      <c r="A20" s="434" t="s">
        <v>45</v>
      </c>
      <c r="B20" s="639" t="s">
        <v>46</v>
      </c>
      <c r="C20" s="640">
        <f>300*1000/C6/365</f>
        <v>4.4997142681439733E-3</v>
      </c>
      <c r="D20" s="434" t="s">
        <v>40</v>
      </c>
      <c r="E20" s="434" t="s">
        <v>29</v>
      </c>
    </row>
    <row r="21" spans="1:5" s="641" customFormat="1" ht="13.15" customHeight="1" x14ac:dyDescent="0.2">
      <c r="A21" s="434" t="s">
        <v>47</v>
      </c>
      <c r="B21" s="423" t="s">
        <v>48</v>
      </c>
      <c r="C21" s="475">
        <v>1.6500000000000001E-2</v>
      </c>
      <c r="D21" s="434" t="s">
        <v>28</v>
      </c>
      <c r="E21" s="434" t="s">
        <v>49</v>
      </c>
    </row>
    <row r="22" spans="1:5" s="641" customFormat="1" ht="13.15" customHeight="1" x14ac:dyDescent="0.2">
      <c r="A22" s="434" t="s">
        <v>50</v>
      </c>
      <c r="B22" s="423" t="s">
        <v>51</v>
      </c>
      <c r="C22" s="475">
        <v>7.5999999999999998E-2</v>
      </c>
      <c r="D22" s="434" t="s">
        <v>28</v>
      </c>
      <c r="E22" s="434" t="s">
        <v>49</v>
      </c>
    </row>
    <row r="23" spans="1:5" s="641" customFormat="1" ht="13.15" customHeight="1" x14ac:dyDescent="0.2">
      <c r="A23" s="434" t="s">
        <v>52</v>
      </c>
      <c r="B23" s="423" t="s">
        <v>53</v>
      </c>
      <c r="C23" s="475">
        <v>0.05</v>
      </c>
      <c r="D23" s="434" t="s">
        <v>28</v>
      </c>
      <c r="E23" s="434" t="s">
        <v>49</v>
      </c>
    </row>
    <row r="24" spans="1:5" ht="13.15" customHeight="1" x14ac:dyDescent="0.2">
      <c r="A24" s="434"/>
      <c r="B24" s="423"/>
      <c r="C24" s="436"/>
      <c r="D24" s="434"/>
      <c r="E24" s="434"/>
    </row>
    <row r="25" spans="1:5" ht="13.15" customHeight="1" x14ac:dyDescent="0.2">
      <c r="A25" s="169">
        <v>2</v>
      </c>
      <c r="B25" s="163" t="s">
        <v>54</v>
      </c>
      <c r="C25" s="170" t="s">
        <v>4</v>
      </c>
      <c r="D25" s="169" t="s">
        <v>5</v>
      </c>
      <c r="E25" s="169" t="s">
        <v>6</v>
      </c>
    </row>
    <row r="26" spans="1:5" ht="13.15" customHeight="1" x14ac:dyDescent="0.2">
      <c r="A26" s="434" t="s">
        <v>55</v>
      </c>
      <c r="B26" s="423" t="s">
        <v>56</v>
      </c>
      <c r="C26" s="477">
        <v>0.4</v>
      </c>
      <c r="D26" s="434" t="s">
        <v>28</v>
      </c>
      <c r="E26" s="434" t="s">
        <v>57</v>
      </c>
    </row>
    <row r="27" spans="1:5" ht="13.15" customHeight="1" x14ac:dyDescent="0.2">
      <c r="A27" s="434" t="s">
        <v>58</v>
      </c>
      <c r="B27" s="423" t="s">
        <v>59</v>
      </c>
      <c r="C27" s="477">
        <v>0.06</v>
      </c>
      <c r="D27" s="434" t="s">
        <v>28</v>
      </c>
      <c r="E27" s="434" t="s">
        <v>57</v>
      </c>
    </row>
    <row r="28" spans="1:5" ht="13.15" customHeight="1" x14ac:dyDescent="0.2">
      <c r="A28" s="434" t="s">
        <v>60</v>
      </c>
      <c r="B28" s="423" t="s">
        <v>61</v>
      </c>
      <c r="C28" s="477">
        <v>0.26</v>
      </c>
      <c r="D28" s="434" t="s">
        <v>28</v>
      </c>
      <c r="E28" s="434" t="s">
        <v>57</v>
      </c>
    </row>
    <row r="29" spans="1:5" ht="13.15" customHeight="1" x14ac:dyDescent="0.2">
      <c r="A29" s="434" t="s">
        <v>62</v>
      </c>
      <c r="B29" s="423" t="s">
        <v>63</v>
      </c>
      <c r="C29" s="477">
        <v>0.01</v>
      </c>
      <c r="D29" s="434" t="s">
        <v>28</v>
      </c>
      <c r="E29" s="434" t="s">
        <v>57</v>
      </c>
    </row>
    <row r="30" spans="1:5" ht="13.15" customHeight="1" x14ac:dyDescent="0.2">
      <c r="A30" s="434" t="s">
        <v>64</v>
      </c>
      <c r="B30" s="423" t="s">
        <v>65</v>
      </c>
      <c r="C30" s="477">
        <v>0.01</v>
      </c>
      <c r="D30" s="434" t="s">
        <v>28</v>
      </c>
      <c r="E30" s="434" t="s">
        <v>57</v>
      </c>
    </row>
    <row r="31" spans="1:5" ht="13.15" customHeight="1" x14ac:dyDescent="0.2">
      <c r="A31" s="434" t="s">
        <v>66</v>
      </c>
      <c r="B31" s="423" t="s">
        <v>67</v>
      </c>
      <c r="C31" s="477">
        <v>0.25</v>
      </c>
      <c r="D31" s="434" t="s">
        <v>28</v>
      </c>
      <c r="E31" s="434" t="s">
        <v>57</v>
      </c>
    </row>
    <row r="32" spans="1:5" ht="13.15" customHeight="1" x14ac:dyDescent="0.2">
      <c r="A32" s="434" t="s">
        <v>68</v>
      </c>
      <c r="B32" s="423" t="s">
        <v>69</v>
      </c>
      <c r="C32" s="477">
        <v>0.01</v>
      </c>
      <c r="D32" s="434" t="s">
        <v>28</v>
      </c>
      <c r="E32" s="434" t="s">
        <v>57</v>
      </c>
    </row>
    <row r="33" spans="1:5" ht="13.15" customHeight="1" x14ac:dyDescent="0.2">
      <c r="A33" s="434" t="s">
        <v>70</v>
      </c>
      <c r="B33" s="423" t="s">
        <v>71</v>
      </c>
      <c r="C33" s="477">
        <f>SUM(C26:C32)</f>
        <v>1</v>
      </c>
      <c r="D33" s="434" t="s">
        <v>28</v>
      </c>
      <c r="E33" s="434" t="s">
        <v>57</v>
      </c>
    </row>
    <row r="34" spans="1:5" ht="13.15" customHeight="1" x14ac:dyDescent="0.2">
      <c r="A34" s="434"/>
      <c r="B34" s="423"/>
      <c r="C34" s="436"/>
      <c r="D34" s="434"/>
      <c r="E34" s="434"/>
    </row>
    <row r="35" spans="1:5" ht="13.15" customHeight="1" x14ac:dyDescent="0.2">
      <c r="A35" s="169">
        <v>3</v>
      </c>
      <c r="B35" s="163" t="s">
        <v>72</v>
      </c>
      <c r="C35" s="170" t="s">
        <v>4</v>
      </c>
      <c r="D35" s="169" t="s">
        <v>5</v>
      </c>
      <c r="E35" s="169" t="s">
        <v>6</v>
      </c>
    </row>
    <row r="36" spans="1:5" ht="13.15" customHeight="1" x14ac:dyDescent="0.2">
      <c r="A36" s="434" t="s">
        <v>73</v>
      </c>
      <c r="B36" s="423" t="s">
        <v>74</v>
      </c>
      <c r="C36" s="424">
        <v>1412</v>
      </c>
      <c r="D36" s="434" t="s">
        <v>75</v>
      </c>
      <c r="E36" s="434" t="s">
        <v>76</v>
      </c>
    </row>
    <row r="37" spans="1:5" ht="13.15" customHeight="1" x14ac:dyDescent="0.2">
      <c r="A37" s="434" t="s">
        <v>77</v>
      </c>
      <c r="B37" s="423" t="s">
        <v>78</v>
      </c>
      <c r="C37" s="477">
        <v>0.2</v>
      </c>
      <c r="D37" s="434" t="s">
        <v>28</v>
      </c>
      <c r="E37" s="434" t="s">
        <v>79</v>
      </c>
    </row>
    <row r="38" spans="1:5" ht="13.15" customHeight="1" x14ac:dyDescent="0.2">
      <c r="A38" s="434" t="s">
        <v>80</v>
      </c>
      <c r="B38" s="423" t="s">
        <v>81</v>
      </c>
      <c r="C38" s="477">
        <v>0.4</v>
      </c>
      <c r="D38" s="434" t="s">
        <v>28</v>
      </c>
      <c r="E38" s="434" t="s">
        <v>79</v>
      </c>
    </row>
    <row r="39" spans="1:5" ht="13.15" customHeight="1" x14ac:dyDescent="0.2">
      <c r="A39" s="434" t="s">
        <v>82</v>
      </c>
      <c r="B39" s="423" t="s">
        <v>83</v>
      </c>
      <c r="C39" s="475">
        <v>0.66039999999999999</v>
      </c>
      <c r="D39" s="434" t="s">
        <v>28</v>
      </c>
      <c r="E39" s="434" t="s">
        <v>84</v>
      </c>
    </row>
    <row r="40" spans="1:5" ht="13.15" customHeight="1" x14ac:dyDescent="0.2">
      <c r="A40" s="434" t="s">
        <v>85</v>
      </c>
      <c r="B40" s="423" t="s">
        <v>86</v>
      </c>
      <c r="C40" s="475">
        <v>0.66039999999999999</v>
      </c>
      <c r="D40" s="434" t="s">
        <v>28</v>
      </c>
      <c r="E40" s="434" t="s">
        <v>84</v>
      </c>
    </row>
    <row r="41" spans="1:5" ht="13.15" customHeight="1" x14ac:dyDescent="0.2">
      <c r="A41" s="434" t="s">
        <v>87</v>
      </c>
      <c r="B41" s="423" t="s">
        <v>88</v>
      </c>
      <c r="C41" s="477">
        <v>0.2</v>
      </c>
      <c r="D41" s="434" t="s">
        <v>28</v>
      </c>
      <c r="E41" s="434" t="s">
        <v>89</v>
      </c>
    </row>
    <row r="42" spans="1:5" ht="13.15" customHeight="1" x14ac:dyDescent="0.2">
      <c r="A42" s="434"/>
      <c r="B42" s="423"/>
      <c r="C42" s="478"/>
      <c r="D42" s="434"/>
      <c r="E42" s="434"/>
    </row>
    <row r="43" spans="1:5" ht="13.15" customHeight="1" x14ac:dyDescent="0.2">
      <c r="A43" s="169">
        <v>4</v>
      </c>
      <c r="B43" s="163" t="s">
        <v>90</v>
      </c>
      <c r="C43" s="170" t="s">
        <v>4</v>
      </c>
      <c r="D43" s="169" t="s">
        <v>5</v>
      </c>
      <c r="E43" s="169" t="s">
        <v>6</v>
      </c>
    </row>
    <row r="44" spans="1:5" ht="13.15" customHeight="1" x14ac:dyDescent="0.2">
      <c r="A44" s="434" t="s">
        <v>91</v>
      </c>
      <c r="B44" s="423" t="s">
        <v>92</v>
      </c>
      <c r="C44" s="436">
        <v>563200</v>
      </c>
      <c r="D44" s="434" t="s">
        <v>75</v>
      </c>
      <c r="E44" s="434" t="s">
        <v>93</v>
      </c>
    </row>
    <row r="45" spans="1:5" ht="13.15" customHeight="1" x14ac:dyDescent="0.2">
      <c r="A45" s="434" t="s">
        <v>94</v>
      </c>
      <c r="B45" s="423" t="s">
        <v>95</v>
      </c>
      <c r="C45" s="436">
        <v>563200</v>
      </c>
      <c r="D45" s="434" t="s">
        <v>75</v>
      </c>
      <c r="E45" s="434" t="s">
        <v>93</v>
      </c>
    </row>
    <row r="46" spans="1:5" ht="13.15" customHeight="1" x14ac:dyDescent="0.2">
      <c r="A46" s="434" t="s">
        <v>96</v>
      </c>
      <c r="B46" s="423" t="s">
        <v>97</v>
      </c>
      <c r="C46" s="436">
        <v>563200</v>
      </c>
      <c r="D46" s="434" t="s">
        <v>75</v>
      </c>
      <c r="E46" s="434" t="s">
        <v>93</v>
      </c>
    </row>
    <row r="47" spans="1:5" ht="13.15" customHeight="1" x14ac:dyDescent="0.2">
      <c r="A47" s="434" t="s">
        <v>98</v>
      </c>
      <c r="B47" s="423" t="s">
        <v>99</v>
      </c>
      <c r="C47" s="436">
        <v>547733</v>
      </c>
      <c r="D47" s="434" t="s">
        <v>75</v>
      </c>
      <c r="E47" s="434" t="s">
        <v>93</v>
      </c>
    </row>
    <row r="48" spans="1:5" s="641" customFormat="1" ht="13.15" customHeight="1" x14ac:dyDescent="0.2">
      <c r="A48" s="434" t="s">
        <v>100</v>
      </c>
      <c r="B48" s="642" t="s">
        <v>101</v>
      </c>
      <c r="C48" s="436">
        <v>563200</v>
      </c>
      <c r="D48" s="436" t="s">
        <v>75</v>
      </c>
      <c r="E48" s="436" t="s">
        <v>93</v>
      </c>
    </row>
    <row r="49" spans="1:5" ht="13.15" customHeight="1" x14ac:dyDescent="0.2">
      <c r="A49" s="434" t="s">
        <v>102</v>
      </c>
      <c r="B49" s="423" t="s">
        <v>103</v>
      </c>
      <c r="C49" s="436">
        <v>249300</v>
      </c>
      <c r="D49" s="434" t="s">
        <v>75</v>
      </c>
      <c r="E49" s="434" t="s">
        <v>93</v>
      </c>
    </row>
    <row r="50" spans="1:5" ht="13.15" customHeight="1" x14ac:dyDescent="0.2">
      <c r="A50" s="434" t="s">
        <v>104</v>
      </c>
      <c r="B50" s="423" t="s">
        <v>105</v>
      </c>
      <c r="C50" s="436">
        <f>C49+C51</f>
        <v>267300</v>
      </c>
      <c r="D50" s="434" t="s">
        <v>75</v>
      </c>
      <c r="E50" s="434" t="s">
        <v>93</v>
      </c>
    </row>
    <row r="51" spans="1:5" ht="13.15" customHeight="1" x14ac:dyDescent="0.2">
      <c r="A51" s="434" t="s">
        <v>106</v>
      </c>
      <c r="B51" s="423" t="s">
        <v>107</v>
      </c>
      <c r="C51" s="436">
        <v>18000</v>
      </c>
      <c r="D51" s="434" t="s">
        <v>75</v>
      </c>
      <c r="E51" s="434" t="s">
        <v>93</v>
      </c>
    </row>
    <row r="52" spans="1:5" s="641" customFormat="1" ht="13.15" customHeight="1" x14ac:dyDescent="0.2">
      <c r="A52" s="434" t="s">
        <v>108</v>
      </c>
      <c r="B52" s="423" t="s">
        <v>109</v>
      </c>
      <c r="C52" s="436">
        <v>1289700</v>
      </c>
      <c r="D52" s="434" t="s">
        <v>75</v>
      </c>
      <c r="E52" s="434" t="s">
        <v>93</v>
      </c>
    </row>
    <row r="53" spans="1:5" s="644" customFormat="1" ht="13.15" customHeight="1" x14ac:dyDescent="0.2">
      <c r="A53" s="434" t="s">
        <v>110</v>
      </c>
      <c r="B53" s="423" t="s">
        <v>111</v>
      </c>
      <c r="C53" s="643">
        <v>223300</v>
      </c>
      <c r="D53" s="434" t="s">
        <v>75</v>
      </c>
      <c r="E53" s="434" t="s">
        <v>93</v>
      </c>
    </row>
    <row r="54" spans="1:5" ht="13.15" customHeight="1" x14ac:dyDescent="0.2">
      <c r="A54" s="434" t="s">
        <v>112</v>
      </c>
      <c r="B54" s="423" t="s">
        <v>113</v>
      </c>
      <c r="C54" s="643">
        <f>C49</f>
        <v>249300</v>
      </c>
      <c r="D54" s="434" t="s">
        <v>75</v>
      </c>
      <c r="E54" s="434" t="s">
        <v>93</v>
      </c>
    </row>
    <row r="55" spans="1:5" ht="13.15" customHeight="1" x14ac:dyDescent="0.2">
      <c r="A55" s="434" t="s">
        <v>114</v>
      </c>
      <c r="B55" s="147" t="s">
        <v>115</v>
      </c>
      <c r="C55" s="643">
        <v>100815</v>
      </c>
      <c r="D55" s="434" t="s">
        <v>75</v>
      </c>
      <c r="E55" s="434" t="s">
        <v>93</v>
      </c>
    </row>
    <row r="56" spans="1:5" ht="13.15" customHeight="1" x14ac:dyDescent="0.2">
      <c r="A56" s="434" t="s">
        <v>116</v>
      </c>
      <c r="B56" s="147" t="s">
        <v>117</v>
      </c>
      <c r="C56" s="643">
        <v>75267</v>
      </c>
      <c r="D56" s="434" t="s">
        <v>75</v>
      </c>
      <c r="E56" s="434" t="s">
        <v>93</v>
      </c>
    </row>
    <row r="57" spans="1:5" ht="13.15" customHeight="1" x14ac:dyDescent="0.2">
      <c r="A57" s="434" t="s">
        <v>118</v>
      </c>
      <c r="B57" s="423" t="s">
        <v>119</v>
      </c>
      <c r="C57" s="643">
        <v>17119</v>
      </c>
      <c r="D57" s="434" t="s">
        <v>75</v>
      </c>
      <c r="E57" s="434" t="s">
        <v>93</v>
      </c>
    </row>
    <row r="58" spans="1:5" ht="13.15" customHeight="1" x14ac:dyDescent="0.2">
      <c r="A58" s="434" t="s">
        <v>120</v>
      </c>
      <c r="B58" s="423" t="s">
        <v>121</v>
      </c>
      <c r="C58" s="436">
        <f>(1721.11+1682.09+2089.16)/3</f>
        <v>1830.7866666666666</v>
      </c>
      <c r="D58" s="434" t="s">
        <v>75</v>
      </c>
      <c r="E58" s="434" t="s">
        <v>93</v>
      </c>
    </row>
    <row r="59" spans="1:5" s="641" customFormat="1" ht="13.15" customHeight="1" x14ac:dyDescent="0.2">
      <c r="A59" s="434" t="s">
        <v>122</v>
      </c>
      <c r="B59" s="423" t="s">
        <v>123</v>
      </c>
      <c r="C59" s="436">
        <f>C51</f>
        <v>18000</v>
      </c>
      <c r="D59" s="434" t="s">
        <v>75</v>
      </c>
      <c r="E59" s="434" t="s">
        <v>93</v>
      </c>
    </row>
    <row r="60" spans="1:5" ht="13.15" customHeight="1" x14ac:dyDescent="0.2">
      <c r="A60" s="434" t="s">
        <v>124</v>
      </c>
      <c r="B60" s="480" t="s">
        <v>125</v>
      </c>
      <c r="C60" s="436">
        <f>122.87+109.76</f>
        <v>232.63</v>
      </c>
      <c r="D60" s="434" t="s">
        <v>75</v>
      </c>
      <c r="E60" s="434" t="s">
        <v>93</v>
      </c>
    </row>
    <row r="61" spans="1:5" ht="13.15" customHeight="1" x14ac:dyDescent="0.2">
      <c r="A61" s="434" t="s">
        <v>126</v>
      </c>
      <c r="B61" s="480" t="s">
        <v>127</v>
      </c>
      <c r="C61" s="474">
        <v>78809.03</v>
      </c>
      <c r="D61" s="434" t="s">
        <v>75</v>
      </c>
      <c r="E61" s="434" t="s">
        <v>93</v>
      </c>
    </row>
    <row r="62" spans="1:5" ht="13.15" customHeight="1" x14ac:dyDescent="0.2">
      <c r="A62" s="434" t="s">
        <v>128</v>
      </c>
      <c r="B62" s="480" t="s">
        <v>129</v>
      </c>
      <c r="C62" s="474">
        <v>959440.89</v>
      </c>
      <c r="D62" s="434" t="s">
        <v>75</v>
      </c>
      <c r="E62" s="434" t="s">
        <v>93</v>
      </c>
    </row>
    <row r="63" spans="1:5" ht="13.15" customHeight="1" x14ac:dyDescent="0.2">
      <c r="A63" s="434" t="s">
        <v>130</v>
      </c>
      <c r="B63" s="423" t="s">
        <v>131</v>
      </c>
      <c r="C63" s="436">
        <f>433677+47000+70000</f>
        <v>550677</v>
      </c>
      <c r="D63" s="434" t="s">
        <v>75</v>
      </c>
      <c r="E63" s="434" t="s">
        <v>93</v>
      </c>
    </row>
    <row r="64" spans="1:5" ht="13.15" customHeight="1" x14ac:dyDescent="0.2">
      <c r="A64" s="434" t="s">
        <v>132</v>
      </c>
      <c r="B64" s="423" t="s">
        <v>133</v>
      </c>
      <c r="C64" s="436">
        <v>115400</v>
      </c>
      <c r="D64" s="434" t="s">
        <v>75</v>
      </c>
      <c r="E64" s="434" t="s">
        <v>93</v>
      </c>
    </row>
    <row r="65" spans="1:5" ht="13.15" customHeight="1" x14ac:dyDescent="0.2">
      <c r="A65" s="434" t="s">
        <v>134</v>
      </c>
      <c r="B65" s="423" t="s">
        <v>135</v>
      </c>
      <c r="C65" s="436">
        <f>C44</f>
        <v>563200</v>
      </c>
      <c r="D65" s="434" t="s">
        <v>75</v>
      </c>
      <c r="E65" s="434" t="s">
        <v>93</v>
      </c>
    </row>
    <row r="66" spans="1:5" ht="13.15" customHeight="1" x14ac:dyDescent="0.2">
      <c r="A66" s="434" t="s">
        <v>136</v>
      </c>
      <c r="B66" s="423" t="s">
        <v>137</v>
      </c>
      <c r="C66" s="436">
        <v>84452.56</v>
      </c>
      <c r="D66" s="434" t="s">
        <v>75</v>
      </c>
      <c r="E66" s="434" t="s">
        <v>93</v>
      </c>
    </row>
    <row r="67" spans="1:5" ht="13.15" customHeight="1" x14ac:dyDescent="0.2">
      <c r="A67" s="434" t="s">
        <v>138</v>
      </c>
      <c r="B67" s="423" t="s">
        <v>139</v>
      </c>
      <c r="C67" s="436">
        <v>55762.93</v>
      </c>
      <c r="D67" s="434" t="s">
        <v>75</v>
      </c>
      <c r="E67" s="434" t="s">
        <v>93</v>
      </c>
    </row>
    <row r="68" spans="1:5" ht="13.15" customHeight="1" x14ac:dyDescent="0.2">
      <c r="A68" s="434" t="s">
        <v>140</v>
      </c>
      <c r="B68" s="423" t="s">
        <v>141</v>
      </c>
      <c r="C68" s="436">
        <v>59000</v>
      </c>
      <c r="D68" s="434" t="s">
        <v>75</v>
      </c>
      <c r="E68" s="434" t="s">
        <v>93</v>
      </c>
    </row>
    <row r="69" spans="1:5" s="641" customFormat="1" ht="13.15" customHeight="1" x14ac:dyDescent="0.2">
      <c r="A69" s="434" t="s">
        <v>142</v>
      </c>
      <c r="B69" s="423" t="s">
        <v>143</v>
      </c>
      <c r="C69" s="436">
        <v>290000</v>
      </c>
      <c r="D69" s="434" t="s">
        <v>75</v>
      </c>
      <c r="E69" s="434" t="s">
        <v>93</v>
      </c>
    </row>
    <row r="70" spans="1:5" s="641" customFormat="1" ht="13.15" customHeight="1" x14ac:dyDescent="0.2">
      <c r="A70" s="434" t="s">
        <v>144</v>
      </c>
      <c r="B70" s="423" t="s">
        <v>145</v>
      </c>
      <c r="C70" s="436">
        <v>31946.45</v>
      </c>
      <c r="D70" s="434" t="s">
        <v>75</v>
      </c>
      <c r="E70" s="434" t="s">
        <v>93</v>
      </c>
    </row>
    <row r="71" spans="1:5" ht="13.15" customHeight="1" x14ac:dyDescent="0.2">
      <c r="A71" s="434" t="s">
        <v>146</v>
      </c>
      <c r="B71" s="423" t="s">
        <v>147</v>
      </c>
      <c r="C71" s="436">
        <f>290000+27274.17</f>
        <v>317274.17</v>
      </c>
      <c r="D71" s="434" t="s">
        <v>75</v>
      </c>
      <c r="E71" s="434" t="s">
        <v>93</v>
      </c>
    </row>
    <row r="72" spans="1:5" ht="13.15" customHeight="1" x14ac:dyDescent="0.2">
      <c r="A72" s="434" t="s">
        <v>148</v>
      </c>
      <c r="B72" s="423" t="s">
        <v>149</v>
      </c>
      <c r="C72" s="436">
        <f>(2499+2499+2493.5)/3</f>
        <v>2497.1666666666665</v>
      </c>
      <c r="D72" s="434" t="s">
        <v>75</v>
      </c>
      <c r="E72" s="434" t="s">
        <v>93</v>
      </c>
    </row>
    <row r="73" spans="1:5" ht="13.15" customHeight="1" x14ac:dyDescent="0.2">
      <c r="A73" s="434" t="s">
        <v>150</v>
      </c>
      <c r="B73" s="423" t="s">
        <v>151</v>
      </c>
      <c r="C73" s="436">
        <f>(3349+2754.05+2799.9)/3</f>
        <v>2967.65</v>
      </c>
      <c r="D73" s="434" t="s">
        <v>75</v>
      </c>
      <c r="E73" s="434" t="s">
        <v>93</v>
      </c>
    </row>
    <row r="74" spans="1:5" s="644" customFormat="1" ht="13.15" customHeight="1" x14ac:dyDescent="0.2">
      <c r="A74" s="434" t="s">
        <v>152</v>
      </c>
      <c r="B74" s="423" t="s">
        <v>153</v>
      </c>
      <c r="C74" s="436">
        <v>685000</v>
      </c>
      <c r="D74" s="434" t="s">
        <v>75</v>
      </c>
      <c r="E74" s="434" t="s">
        <v>93</v>
      </c>
    </row>
    <row r="75" spans="1:5" ht="13.15" customHeight="1" x14ac:dyDescent="0.2">
      <c r="A75" s="434" t="s">
        <v>154</v>
      </c>
      <c r="B75" s="423" t="s">
        <v>155</v>
      </c>
      <c r="C75" s="436">
        <v>182187</v>
      </c>
      <c r="D75" s="434" t="s">
        <v>75</v>
      </c>
      <c r="E75" s="434" t="s">
        <v>93</v>
      </c>
    </row>
    <row r="76" spans="1:5" ht="13.15" customHeight="1" x14ac:dyDescent="0.2">
      <c r="A76" s="434" t="s">
        <v>156</v>
      </c>
      <c r="B76" s="423" t="s">
        <v>157</v>
      </c>
      <c r="C76" s="436">
        <v>293</v>
      </c>
      <c r="D76" s="434" t="s">
        <v>75</v>
      </c>
      <c r="E76" s="434" t="s">
        <v>93</v>
      </c>
    </row>
    <row r="77" spans="1:5" ht="13.15" customHeight="1" x14ac:dyDescent="0.2">
      <c r="A77" s="434" t="s">
        <v>158</v>
      </c>
      <c r="B77" s="423" t="s">
        <v>159</v>
      </c>
      <c r="C77" s="436">
        <v>35000</v>
      </c>
      <c r="D77" s="434" t="s">
        <v>75</v>
      </c>
      <c r="E77" s="434" t="s">
        <v>93</v>
      </c>
    </row>
    <row r="78" spans="1:5" ht="13.15" customHeight="1" x14ac:dyDescent="0.2">
      <c r="A78" s="434" t="s">
        <v>160</v>
      </c>
      <c r="B78" s="423" t="s">
        <v>161</v>
      </c>
      <c r="C78" s="436">
        <v>160000</v>
      </c>
      <c r="D78" s="434" t="s">
        <v>75</v>
      </c>
      <c r="E78" s="434" t="s">
        <v>93</v>
      </c>
    </row>
    <row r="79" spans="1:5" ht="13.15" customHeight="1" x14ac:dyDescent="0.2">
      <c r="A79" s="434" t="s">
        <v>162</v>
      </c>
      <c r="B79" s="423" t="s">
        <v>163</v>
      </c>
      <c r="C79" s="436">
        <v>3700</v>
      </c>
      <c r="D79" s="434" t="s">
        <v>75</v>
      </c>
      <c r="E79" s="434" t="s">
        <v>93</v>
      </c>
    </row>
    <row r="80" spans="1:5" ht="13.15" customHeight="1" x14ac:dyDescent="0.2">
      <c r="A80" s="434" t="s">
        <v>164</v>
      </c>
      <c r="B80" s="423" t="s">
        <v>165</v>
      </c>
      <c r="C80" s="436">
        <v>3299.9</v>
      </c>
      <c r="D80" s="434" t="s">
        <v>75</v>
      </c>
      <c r="E80" s="434" t="s">
        <v>93</v>
      </c>
    </row>
    <row r="81" spans="1:5" ht="13.15" customHeight="1" x14ac:dyDescent="0.2">
      <c r="A81" s="434" t="s">
        <v>166</v>
      </c>
      <c r="B81" s="423" t="s">
        <v>167</v>
      </c>
      <c r="C81" s="436">
        <f>(((58.9+45+41.79)/3)*6)+(((((18.76+26.95+27.69)/3)/10)+(((26.9/2)+(78.95/4)+(39.9))/3))*12)+(((32.39+32.71+37.99)/3)*4)+(((35.92+25.99+35.9)/3)*6)+(((((77.95+85.9+51.3)/3)/100)*100*12))</f>
        <v>1806.7633333333333</v>
      </c>
      <c r="D81" s="434" t="s">
        <v>168</v>
      </c>
      <c r="E81" s="434" t="s">
        <v>93</v>
      </c>
    </row>
    <row r="82" spans="1:5" ht="13.15" customHeight="1" x14ac:dyDescent="0.2">
      <c r="A82" s="434" t="s">
        <v>169</v>
      </c>
      <c r="B82" s="423" t="s">
        <v>170</v>
      </c>
      <c r="C82" s="436">
        <v>0.2</v>
      </c>
      <c r="D82" s="434" t="s">
        <v>75</v>
      </c>
      <c r="E82" s="434" t="s">
        <v>93</v>
      </c>
    </row>
    <row r="83" spans="1:5" ht="13.15" customHeight="1" x14ac:dyDescent="0.2">
      <c r="A83" s="434" t="s">
        <v>171</v>
      </c>
      <c r="B83" s="423" t="s">
        <v>172</v>
      </c>
      <c r="C83" s="436">
        <v>357</v>
      </c>
      <c r="D83" s="434" t="s">
        <v>75</v>
      </c>
      <c r="E83" s="434" t="s">
        <v>93</v>
      </c>
    </row>
    <row r="84" spans="1:5" ht="13.15" customHeight="1" x14ac:dyDescent="0.2">
      <c r="A84" s="434"/>
      <c r="B84" s="423"/>
      <c r="C84" s="478"/>
      <c r="D84" s="434"/>
      <c r="E84" s="434"/>
    </row>
    <row r="85" spans="1:5" ht="13.15" customHeight="1" x14ac:dyDescent="0.2">
      <c r="A85" s="169">
        <v>5</v>
      </c>
      <c r="B85" s="109" t="s">
        <v>173</v>
      </c>
      <c r="C85" s="170" t="s">
        <v>4</v>
      </c>
      <c r="D85" s="169" t="s">
        <v>5</v>
      </c>
      <c r="E85" s="169" t="s">
        <v>6</v>
      </c>
    </row>
    <row r="86" spans="1:5" ht="13.15" customHeight="1" x14ac:dyDescent="0.2">
      <c r="A86" s="434" t="s">
        <v>174</v>
      </c>
      <c r="B86" s="433" t="s">
        <v>175</v>
      </c>
      <c r="C86" s="436">
        <v>100</v>
      </c>
      <c r="D86" s="434" t="s">
        <v>75</v>
      </c>
      <c r="E86" s="434" t="s">
        <v>93</v>
      </c>
    </row>
    <row r="87" spans="1:5" ht="13.15" customHeight="1" x14ac:dyDescent="0.2">
      <c r="A87" s="434" t="s">
        <v>176</v>
      </c>
      <c r="B87" s="433" t="s">
        <v>177</v>
      </c>
      <c r="C87" s="436">
        <v>76.5</v>
      </c>
      <c r="D87" s="434" t="s">
        <v>75</v>
      </c>
      <c r="E87" s="434" t="s">
        <v>93</v>
      </c>
    </row>
    <row r="88" spans="1:5" ht="13.15" customHeight="1" x14ac:dyDescent="0.2">
      <c r="A88" s="434" t="s">
        <v>178</v>
      </c>
      <c r="B88" s="433" t="s">
        <v>179</v>
      </c>
      <c r="C88" s="436">
        <v>150</v>
      </c>
      <c r="D88" s="434" t="s">
        <v>75</v>
      </c>
      <c r="E88" s="434" t="s">
        <v>93</v>
      </c>
    </row>
    <row r="89" spans="1:5" ht="13.15" customHeight="1" x14ac:dyDescent="0.2">
      <c r="A89" s="434" t="s">
        <v>180</v>
      </c>
      <c r="B89" s="433" t="s">
        <v>181</v>
      </c>
      <c r="C89" s="436">
        <v>26.7</v>
      </c>
      <c r="D89" s="434" t="s">
        <v>75</v>
      </c>
      <c r="E89" s="481" t="s">
        <v>93</v>
      </c>
    </row>
    <row r="90" spans="1:5" ht="13.15" customHeight="1" x14ac:dyDescent="0.2">
      <c r="A90" s="434" t="s">
        <v>182</v>
      </c>
      <c r="B90" s="433" t="s">
        <v>183</v>
      </c>
      <c r="C90" s="436">
        <v>76.5</v>
      </c>
      <c r="D90" s="434" t="s">
        <v>75</v>
      </c>
      <c r="E90" s="481" t="s">
        <v>93</v>
      </c>
    </row>
    <row r="91" spans="1:5" ht="13.15" customHeight="1" x14ac:dyDescent="0.2">
      <c r="A91" s="434" t="s">
        <v>184</v>
      </c>
      <c r="B91" s="433" t="s">
        <v>185</v>
      </c>
      <c r="C91" s="436">
        <v>80</v>
      </c>
      <c r="D91" s="434" t="s">
        <v>75</v>
      </c>
      <c r="E91" s="481" t="s">
        <v>93</v>
      </c>
    </row>
    <row r="92" spans="1:5" ht="13.15" customHeight="1" x14ac:dyDescent="0.2">
      <c r="A92" s="434" t="s">
        <v>186</v>
      </c>
      <c r="B92" s="433" t="s">
        <v>187</v>
      </c>
      <c r="C92" s="436">
        <v>12.66</v>
      </c>
      <c r="D92" s="434" t="s">
        <v>75</v>
      </c>
      <c r="E92" s="481" t="s">
        <v>93</v>
      </c>
    </row>
    <row r="93" spans="1:5" ht="13.15" customHeight="1" x14ac:dyDescent="0.2">
      <c r="A93" s="434" t="s">
        <v>188</v>
      </c>
      <c r="B93" s="433" t="s">
        <v>189</v>
      </c>
      <c r="C93" s="436">
        <v>89.71</v>
      </c>
      <c r="D93" s="434" t="s">
        <v>75</v>
      </c>
      <c r="E93" s="481" t="s">
        <v>93</v>
      </c>
    </row>
    <row r="94" spans="1:5" ht="13.15" customHeight="1" x14ac:dyDescent="0.2">
      <c r="A94" s="434" t="s">
        <v>190</v>
      </c>
      <c r="B94" s="433" t="s">
        <v>191</v>
      </c>
      <c r="C94" s="436">
        <v>91.105000000000004</v>
      </c>
      <c r="D94" s="434" t="s">
        <v>75</v>
      </c>
      <c r="E94" s="481" t="s">
        <v>93</v>
      </c>
    </row>
    <row r="95" spans="1:5" ht="13.15" customHeight="1" x14ac:dyDescent="0.2">
      <c r="A95" s="434" t="s">
        <v>192</v>
      </c>
      <c r="B95" s="433" t="s">
        <v>193</v>
      </c>
      <c r="C95" s="436">
        <v>17.195</v>
      </c>
      <c r="D95" s="434" t="s">
        <v>75</v>
      </c>
      <c r="E95" s="481" t="s">
        <v>93</v>
      </c>
    </row>
    <row r="96" spans="1:5" ht="13.15" customHeight="1" x14ac:dyDescent="0.2">
      <c r="A96" s="434" t="s">
        <v>194</v>
      </c>
      <c r="B96" s="433" t="s">
        <v>195</v>
      </c>
      <c r="C96" s="436">
        <v>5.63</v>
      </c>
      <c r="D96" s="434" t="s">
        <v>75</v>
      </c>
      <c r="E96" s="481" t="s">
        <v>93</v>
      </c>
    </row>
    <row r="97" spans="1:5" ht="13.15" customHeight="1" x14ac:dyDescent="0.2">
      <c r="A97" s="434" t="s">
        <v>196</v>
      </c>
      <c r="B97" s="433" t="s">
        <v>197</v>
      </c>
      <c r="C97" s="436">
        <v>24.72</v>
      </c>
      <c r="D97" s="434" t="s">
        <v>75</v>
      </c>
      <c r="E97" s="481" t="s">
        <v>93</v>
      </c>
    </row>
    <row r="98" spans="1:5" ht="13.15" customHeight="1" x14ac:dyDescent="0.2">
      <c r="A98" s="434" t="s">
        <v>198</v>
      </c>
      <c r="B98" s="423" t="s">
        <v>199</v>
      </c>
      <c r="C98" s="333">
        <v>17.649999999999999</v>
      </c>
      <c r="D98" s="434" t="s">
        <v>75</v>
      </c>
      <c r="E98" s="334" t="s">
        <v>93</v>
      </c>
    </row>
    <row r="99" spans="1:5" ht="13.15" customHeight="1" x14ac:dyDescent="0.2">
      <c r="A99" s="434" t="s">
        <v>200</v>
      </c>
      <c r="B99" s="423" t="s">
        <v>201</v>
      </c>
      <c r="C99" s="333">
        <v>31.06</v>
      </c>
      <c r="D99" s="434" t="s">
        <v>75</v>
      </c>
      <c r="E99" s="334" t="s">
        <v>93</v>
      </c>
    </row>
    <row r="100" spans="1:5" ht="13.15" customHeight="1" x14ac:dyDescent="0.2">
      <c r="A100" s="434" t="s">
        <v>202</v>
      </c>
      <c r="B100" s="423" t="s">
        <v>203</v>
      </c>
      <c r="C100" s="333">
        <v>1.71</v>
      </c>
      <c r="D100" s="434" t="s">
        <v>75</v>
      </c>
      <c r="E100" s="334" t="s">
        <v>93</v>
      </c>
    </row>
    <row r="101" spans="1:5" ht="13.15" customHeight="1" x14ac:dyDescent="0.2">
      <c r="A101" s="434"/>
      <c r="B101" s="423"/>
      <c r="C101" s="478"/>
      <c r="D101" s="434"/>
      <c r="E101" s="434"/>
    </row>
    <row r="102" spans="1:5" ht="13.15" customHeight="1" x14ac:dyDescent="0.2">
      <c r="A102" s="169">
        <v>6</v>
      </c>
      <c r="B102" s="109" t="s">
        <v>204</v>
      </c>
      <c r="C102" s="170" t="s">
        <v>4</v>
      </c>
      <c r="D102" s="169" t="s">
        <v>5</v>
      </c>
      <c r="E102" s="169" t="s">
        <v>6</v>
      </c>
    </row>
    <row r="103" spans="1:5" ht="13.15" customHeight="1" x14ac:dyDescent="0.2">
      <c r="A103" s="434" t="s">
        <v>205</v>
      </c>
      <c r="B103" s="433" t="s">
        <v>206</v>
      </c>
      <c r="C103" s="477">
        <v>0.02</v>
      </c>
      <c r="D103" s="434" t="s">
        <v>28</v>
      </c>
      <c r="E103" s="481" t="s">
        <v>207</v>
      </c>
    </row>
    <row r="104" spans="1:5" ht="13.15" customHeight="1" x14ac:dyDescent="0.2">
      <c r="A104" s="434" t="s">
        <v>208</v>
      </c>
      <c r="B104" s="433" t="s">
        <v>209</v>
      </c>
      <c r="C104" s="477">
        <v>0.01</v>
      </c>
      <c r="D104" s="434" t="s">
        <v>28</v>
      </c>
      <c r="E104" s="481" t="s">
        <v>207</v>
      </c>
    </row>
    <row r="105" spans="1:5" ht="13.15" customHeight="1" x14ac:dyDescent="0.2">
      <c r="A105" s="434" t="s">
        <v>210</v>
      </c>
      <c r="B105" s="433" t="s">
        <v>211</v>
      </c>
      <c r="C105" s="477">
        <v>0.01</v>
      </c>
      <c r="D105" s="434" t="s">
        <v>28</v>
      </c>
      <c r="E105" s="481" t="s">
        <v>207</v>
      </c>
    </row>
    <row r="106" spans="1:5" ht="13.15" customHeight="1" x14ac:dyDescent="0.2">
      <c r="A106" s="434" t="s">
        <v>212</v>
      </c>
      <c r="B106" s="433" t="s">
        <v>213</v>
      </c>
      <c r="C106" s="477">
        <v>0.01</v>
      </c>
      <c r="D106" s="434" t="s">
        <v>28</v>
      </c>
      <c r="E106" s="481" t="s">
        <v>207</v>
      </c>
    </row>
    <row r="107" spans="1:5" ht="13.15" customHeight="1" x14ac:dyDescent="0.2">
      <c r="A107" s="434" t="s">
        <v>214</v>
      </c>
      <c r="B107" s="433" t="s">
        <v>215</v>
      </c>
      <c r="C107" s="477">
        <v>1</v>
      </c>
      <c r="D107" s="434" t="s">
        <v>28</v>
      </c>
      <c r="E107" s="481" t="s">
        <v>207</v>
      </c>
    </row>
    <row r="108" spans="1:5" ht="13.15" customHeight="1" x14ac:dyDescent="0.2">
      <c r="A108" s="434" t="s">
        <v>216</v>
      </c>
      <c r="B108" s="433" t="s">
        <v>217</v>
      </c>
      <c r="C108" s="436">
        <v>150</v>
      </c>
      <c r="D108" s="434" t="s">
        <v>75</v>
      </c>
      <c r="E108" s="481" t="s">
        <v>207</v>
      </c>
    </row>
    <row r="109" spans="1:5" ht="13.15" customHeight="1" x14ac:dyDescent="0.2">
      <c r="A109" s="434" t="s">
        <v>218</v>
      </c>
      <c r="B109" s="433" t="s">
        <v>219</v>
      </c>
      <c r="C109" s="436">
        <v>150</v>
      </c>
      <c r="D109" s="434" t="s">
        <v>75</v>
      </c>
      <c r="E109" s="481" t="s">
        <v>207</v>
      </c>
    </row>
    <row r="110" spans="1:5" ht="13.15" customHeight="1" x14ac:dyDescent="0.2">
      <c r="A110" s="434" t="s">
        <v>220</v>
      </c>
      <c r="B110" s="433" t="s">
        <v>221</v>
      </c>
      <c r="C110" s="436">
        <v>142.69</v>
      </c>
      <c r="D110" s="434" t="s">
        <v>75</v>
      </c>
      <c r="E110" s="481" t="s">
        <v>207</v>
      </c>
    </row>
    <row r="111" spans="1:5" ht="13.15" customHeight="1" x14ac:dyDescent="0.2">
      <c r="A111" s="434" t="s">
        <v>222</v>
      </c>
      <c r="B111" s="433" t="s">
        <v>223</v>
      </c>
      <c r="C111" s="436">
        <v>150</v>
      </c>
      <c r="D111" s="434" t="s">
        <v>75</v>
      </c>
      <c r="E111" s="481" t="s">
        <v>207</v>
      </c>
    </row>
    <row r="112" spans="1:5" ht="13.15" customHeight="1" x14ac:dyDescent="0.2">
      <c r="A112" s="434" t="s">
        <v>224</v>
      </c>
      <c r="B112" s="433" t="s">
        <v>225</v>
      </c>
      <c r="C112" s="436">
        <v>142.69</v>
      </c>
      <c r="D112" s="434" t="s">
        <v>75</v>
      </c>
      <c r="E112" s="481" t="s">
        <v>207</v>
      </c>
    </row>
    <row r="113" spans="1:5" ht="13.15" customHeight="1" x14ac:dyDescent="0.2">
      <c r="A113" s="434" t="s">
        <v>226</v>
      </c>
      <c r="B113" s="433" t="s">
        <v>227</v>
      </c>
      <c r="C113" s="436">
        <v>142.69</v>
      </c>
      <c r="D113" s="434" t="s">
        <v>75</v>
      </c>
      <c r="E113" s="481" t="s">
        <v>207</v>
      </c>
    </row>
    <row r="114" spans="1:5" ht="13.15" customHeight="1" x14ac:dyDescent="0.2">
      <c r="A114" s="434"/>
      <c r="B114" s="423"/>
      <c r="C114" s="478"/>
      <c r="D114" s="434"/>
      <c r="E114" s="434"/>
    </row>
    <row r="115" spans="1:5" ht="13.15" customHeight="1" x14ac:dyDescent="0.2">
      <c r="A115" s="169">
        <v>7</v>
      </c>
      <c r="B115" s="109" t="s">
        <v>228</v>
      </c>
      <c r="C115" s="170" t="s">
        <v>4</v>
      </c>
      <c r="D115" s="169" t="s">
        <v>5</v>
      </c>
      <c r="E115" s="169" t="s">
        <v>6</v>
      </c>
    </row>
    <row r="116" spans="1:5" ht="13.15" customHeight="1" x14ac:dyDescent="0.2">
      <c r="A116" s="434" t="s">
        <v>229</v>
      </c>
      <c r="B116" s="433" t="s">
        <v>230</v>
      </c>
      <c r="C116" s="436">
        <v>5.88</v>
      </c>
      <c r="D116" s="434" t="s">
        <v>231</v>
      </c>
      <c r="E116" s="434" t="s">
        <v>93</v>
      </c>
    </row>
    <row r="117" spans="1:5" ht="13.15" customHeight="1" x14ac:dyDescent="0.2">
      <c r="A117" s="434" t="s">
        <v>232</v>
      </c>
      <c r="B117" s="433" t="s">
        <v>233</v>
      </c>
      <c r="C117" s="436">
        <v>6.01</v>
      </c>
      <c r="D117" s="434" t="s">
        <v>231</v>
      </c>
      <c r="E117" s="434" t="s">
        <v>93</v>
      </c>
    </row>
    <row r="118" spans="1:5" ht="13.15" customHeight="1" x14ac:dyDescent="0.2">
      <c r="A118" s="434" t="s">
        <v>234</v>
      </c>
      <c r="B118" s="433" t="s">
        <v>235</v>
      </c>
      <c r="C118" s="436">
        <v>19.170000000000002</v>
      </c>
      <c r="D118" s="434" t="s">
        <v>231</v>
      </c>
      <c r="E118" s="434" t="s">
        <v>93</v>
      </c>
    </row>
    <row r="119" spans="1:5" ht="13.15" customHeight="1" x14ac:dyDescent="0.2">
      <c r="A119" s="434" t="s">
        <v>236</v>
      </c>
      <c r="B119" s="433" t="s">
        <v>237</v>
      </c>
      <c r="C119" s="436">
        <v>16.100000000000001</v>
      </c>
      <c r="D119" s="434" t="s">
        <v>231</v>
      </c>
      <c r="E119" s="434" t="s">
        <v>93</v>
      </c>
    </row>
    <row r="120" spans="1:5" ht="13.15" customHeight="1" x14ac:dyDescent="0.2">
      <c r="A120" s="434" t="s">
        <v>238</v>
      </c>
      <c r="B120" s="433" t="s">
        <v>239</v>
      </c>
      <c r="C120" s="436">
        <v>199</v>
      </c>
      <c r="D120" s="434" t="s">
        <v>231</v>
      </c>
      <c r="E120" s="434" t="s">
        <v>93</v>
      </c>
    </row>
    <row r="121" spans="1:5" ht="13.15" customHeight="1" x14ac:dyDescent="0.2">
      <c r="A121" s="434" t="s">
        <v>240</v>
      </c>
      <c r="B121" s="433" t="s">
        <v>241</v>
      </c>
      <c r="C121" s="436">
        <v>92.5</v>
      </c>
      <c r="D121" s="434" t="s">
        <v>231</v>
      </c>
      <c r="E121" s="434" t="s">
        <v>93</v>
      </c>
    </row>
    <row r="122" spans="1:5" ht="13.15" customHeight="1" x14ac:dyDescent="0.2">
      <c r="A122" s="169" t="s">
        <v>242</v>
      </c>
      <c r="B122" s="433" t="s">
        <v>243</v>
      </c>
      <c r="C122" s="436">
        <f>SUM(C123:C127)</f>
        <v>4892.0469176739998</v>
      </c>
      <c r="D122" s="434" t="s">
        <v>75</v>
      </c>
      <c r="E122" s="434" t="s">
        <v>93</v>
      </c>
    </row>
    <row r="123" spans="1:5" ht="13.15" customHeight="1" x14ac:dyDescent="0.2">
      <c r="A123" s="434" t="s">
        <v>244</v>
      </c>
      <c r="B123" s="433" t="s">
        <v>245</v>
      </c>
      <c r="C123" s="436">
        <f>2240</f>
        <v>2240</v>
      </c>
      <c r="D123" s="434" t="s">
        <v>75</v>
      </c>
      <c r="E123" s="434" t="s">
        <v>93</v>
      </c>
    </row>
    <row r="124" spans="1:5" ht="13.15" customHeight="1" x14ac:dyDescent="0.2">
      <c r="A124" s="434" t="s">
        <v>246</v>
      </c>
      <c r="B124" s="433" t="s">
        <v>247</v>
      </c>
      <c r="C124" s="436">
        <f>240*2</f>
        <v>480</v>
      </c>
      <c r="D124" s="434" t="s">
        <v>75</v>
      </c>
      <c r="E124" s="434" t="s">
        <v>93</v>
      </c>
    </row>
    <row r="125" spans="1:5" ht="13.15" customHeight="1" x14ac:dyDescent="0.2">
      <c r="A125" s="434" t="s">
        <v>248</v>
      </c>
      <c r="B125" s="433" t="s">
        <v>249</v>
      </c>
      <c r="C125" s="436">
        <f>120*2</f>
        <v>240</v>
      </c>
      <c r="D125" s="434" t="s">
        <v>75</v>
      </c>
      <c r="E125" s="434" t="s">
        <v>93</v>
      </c>
    </row>
    <row r="126" spans="1:5" ht="13.15" customHeight="1" x14ac:dyDescent="0.2">
      <c r="A126" s="434" t="s">
        <v>250</v>
      </c>
      <c r="B126" s="433" t="s">
        <v>251</v>
      </c>
      <c r="C126" s="436">
        <f>625*2</f>
        <v>1250</v>
      </c>
      <c r="D126" s="434" t="s">
        <v>75</v>
      </c>
      <c r="E126" s="434" t="s">
        <v>93</v>
      </c>
    </row>
    <row r="127" spans="1:5" ht="13.15" customHeight="1" x14ac:dyDescent="0.2">
      <c r="A127" s="434" t="s">
        <v>252</v>
      </c>
      <c r="B127" s="433" t="s">
        <v>253</v>
      </c>
      <c r="C127" s="436">
        <f>227.348972558*3</f>
        <v>682.04691767400004</v>
      </c>
      <c r="D127" s="434" t="s">
        <v>75</v>
      </c>
      <c r="E127" s="434" t="s">
        <v>93</v>
      </c>
    </row>
    <row r="128" spans="1:5" ht="13.15" customHeight="1" x14ac:dyDescent="0.2">
      <c r="A128" s="169" t="s">
        <v>254</v>
      </c>
      <c r="B128" s="433" t="s">
        <v>255</v>
      </c>
      <c r="C128" s="436">
        <f>SUM(C129:C133)</f>
        <v>4892.0469176739998</v>
      </c>
      <c r="D128" s="434" t="s">
        <v>75</v>
      </c>
      <c r="E128" s="434" t="s">
        <v>93</v>
      </c>
    </row>
    <row r="129" spans="1:5" ht="13.15" customHeight="1" x14ac:dyDescent="0.2">
      <c r="A129" s="434" t="s">
        <v>256</v>
      </c>
      <c r="B129" s="433" t="s">
        <v>245</v>
      </c>
      <c r="C129" s="436">
        <f>2240</f>
        <v>2240</v>
      </c>
      <c r="D129" s="434" t="s">
        <v>75</v>
      </c>
      <c r="E129" s="434" t="s">
        <v>93</v>
      </c>
    </row>
    <row r="130" spans="1:5" ht="13.15" customHeight="1" x14ac:dyDescent="0.2">
      <c r="A130" s="434" t="s">
        <v>257</v>
      </c>
      <c r="B130" s="433" t="s">
        <v>247</v>
      </c>
      <c r="C130" s="436">
        <f>240*2</f>
        <v>480</v>
      </c>
      <c r="D130" s="434" t="s">
        <v>75</v>
      </c>
      <c r="E130" s="434" t="s">
        <v>93</v>
      </c>
    </row>
    <row r="131" spans="1:5" ht="13.15" customHeight="1" x14ac:dyDescent="0.2">
      <c r="A131" s="434" t="s">
        <v>258</v>
      </c>
      <c r="B131" s="433" t="s">
        <v>249</v>
      </c>
      <c r="C131" s="436">
        <f>120*2</f>
        <v>240</v>
      </c>
      <c r="D131" s="434" t="s">
        <v>75</v>
      </c>
      <c r="E131" s="434" t="s">
        <v>93</v>
      </c>
    </row>
    <row r="132" spans="1:5" ht="13.15" customHeight="1" x14ac:dyDescent="0.2">
      <c r="A132" s="434" t="s">
        <v>259</v>
      </c>
      <c r="B132" s="433" t="s">
        <v>251</v>
      </c>
      <c r="C132" s="436">
        <f>625*2</f>
        <v>1250</v>
      </c>
      <c r="D132" s="434" t="s">
        <v>75</v>
      </c>
      <c r="E132" s="434" t="s">
        <v>93</v>
      </c>
    </row>
    <row r="133" spans="1:5" ht="13.15" customHeight="1" x14ac:dyDescent="0.2">
      <c r="A133" s="434" t="s">
        <v>260</v>
      </c>
      <c r="B133" s="433" t="s">
        <v>253</v>
      </c>
      <c r="C133" s="436">
        <f>227.348972558*3</f>
        <v>682.04691767400004</v>
      </c>
      <c r="D133" s="434" t="s">
        <v>75</v>
      </c>
      <c r="E133" s="434" t="s">
        <v>93</v>
      </c>
    </row>
    <row r="134" spans="1:5" ht="13.15" customHeight="1" x14ac:dyDescent="0.2">
      <c r="A134" s="169" t="s">
        <v>261</v>
      </c>
      <c r="B134" s="433" t="s">
        <v>262</v>
      </c>
      <c r="C134" s="436">
        <f>SUM(C135:C139)</f>
        <v>4892.0469176739998</v>
      </c>
      <c r="D134" s="434" t="s">
        <v>75</v>
      </c>
      <c r="E134" s="434" t="s">
        <v>93</v>
      </c>
    </row>
    <row r="135" spans="1:5" ht="13.15" customHeight="1" x14ac:dyDescent="0.2">
      <c r="A135" s="434" t="s">
        <v>263</v>
      </c>
      <c r="B135" s="433" t="s">
        <v>245</v>
      </c>
      <c r="C135" s="436">
        <f>2240</f>
        <v>2240</v>
      </c>
      <c r="D135" s="434" t="s">
        <v>75</v>
      </c>
      <c r="E135" s="434" t="s">
        <v>93</v>
      </c>
    </row>
    <row r="136" spans="1:5" ht="13.15" customHeight="1" x14ac:dyDescent="0.2">
      <c r="A136" s="434" t="s">
        <v>264</v>
      </c>
      <c r="B136" s="433" t="s">
        <v>247</v>
      </c>
      <c r="C136" s="436">
        <f>240*2</f>
        <v>480</v>
      </c>
      <c r="D136" s="434" t="s">
        <v>75</v>
      </c>
      <c r="E136" s="434" t="s">
        <v>93</v>
      </c>
    </row>
    <row r="137" spans="1:5" ht="13.15" customHeight="1" x14ac:dyDescent="0.2">
      <c r="A137" s="434" t="s">
        <v>265</v>
      </c>
      <c r="B137" s="433" t="s">
        <v>249</v>
      </c>
      <c r="C137" s="436">
        <f>120*2</f>
        <v>240</v>
      </c>
      <c r="D137" s="434" t="s">
        <v>75</v>
      </c>
      <c r="E137" s="434" t="s">
        <v>93</v>
      </c>
    </row>
    <row r="138" spans="1:5" ht="13.15" customHeight="1" x14ac:dyDescent="0.2">
      <c r="A138" s="434" t="s">
        <v>266</v>
      </c>
      <c r="B138" s="433" t="s">
        <v>251</v>
      </c>
      <c r="C138" s="436">
        <f>625*2</f>
        <v>1250</v>
      </c>
      <c r="D138" s="434" t="s">
        <v>75</v>
      </c>
      <c r="E138" s="434" t="s">
        <v>93</v>
      </c>
    </row>
    <row r="139" spans="1:5" ht="13.15" customHeight="1" x14ac:dyDescent="0.2">
      <c r="A139" s="434" t="s">
        <v>267</v>
      </c>
      <c r="B139" s="433" t="s">
        <v>253</v>
      </c>
      <c r="C139" s="436">
        <f>227.348972558*3</f>
        <v>682.04691767400004</v>
      </c>
      <c r="D139" s="434" t="s">
        <v>75</v>
      </c>
      <c r="E139" s="434" t="s">
        <v>93</v>
      </c>
    </row>
    <row r="140" spans="1:5" ht="13.15" customHeight="1" x14ac:dyDescent="0.2">
      <c r="A140" s="169" t="s">
        <v>268</v>
      </c>
      <c r="B140" s="433" t="s">
        <v>269</v>
      </c>
      <c r="C140" s="436">
        <f>SUM(C141:C145)</f>
        <v>4892.0469176739998</v>
      </c>
      <c r="D140" s="434" t="s">
        <v>75</v>
      </c>
      <c r="E140" s="434" t="s">
        <v>93</v>
      </c>
    </row>
    <row r="141" spans="1:5" ht="13.15" customHeight="1" x14ac:dyDescent="0.2">
      <c r="A141" s="434" t="s">
        <v>270</v>
      </c>
      <c r="B141" s="433" t="s">
        <v>245</v>
      </c>
      <c r="C141" s="436">
        <f>2240</f>
        <v>2240</v>
      </c>
      <c r="D141" s="434" t="s">
        <v>75</v>
      </c>
      <c r="E141" s="434" t="s">
        <v>93</v>
      </c>
    </row>
    <row r="142" spans="1:5" ht="13.15" customHeight="1" x14ac:dyDescent="0.2">
      <c r="A142" s="434" t="s">
        <v>271</v>
      </c>
      <c r="B142" s="433" t="s">
        <v>247</v>
      </c>
      <c r="C142" s="436">
        <f>240*2</f>
        <v>480</v>
      </c>
      <c r="D142" s="434" t="s">
        <v>75</v>
      </c>
      <c r="E142" s="434" t="s">
        <v>93</v>
      </c>
    </row>
    <row r="143" spans="1:5" ht="13.15" customHeight="1" x14ac:dyDescent="0.2">
      <c r="A143" s="434" t="s">
        <v>272</v>
      </c>
      <c r="B143" s="433" t="s">
        <v>249</v>
      </c>
      <c r="C143" s="436">
        <f>120*2</f>
        <v>240</v>
      </c>
      <c r="D143" s="434" t="s">
        <v>75</v>
      </c>
      <c r="E143" s="434" t="s">
        <v>93</v>
      </c>
    </row>
    <row r="144" spans="1:5" ht="13.15" customHeight="1" x14ac:dyDescent="0.2">
      <c r="A144" s="434" t="s">
        <v>273</v>
      </c>
      <c r="B144" s="433" t="s">
        <v>251</v>
      </c>
      <c r="C144" s="436">
        <f>625*2</f>
        <v>1250</v>
      </c>
      <c r="D144" s="434" t="s">
        <v>75</v>
      </c>
      <c r="E144" s="434" t="s">
        <v>93</v>
      </c>
    </row>
    <row r="145" spans="1:5" ht="13.15" customHeight="1" x14ac:dyDescent="0.2">
      <c r="A145" s="434" t="s">
        <v>274</v>
      </c>
      <c r="B145" s="433" t="s">
        <v>253</v>
      </c>
      <c r="C145" s="436">
        <f>227.348972558*3</f>
        <v>682.04691767400004</v>
      </c>
      <c r="D145" s="434" t="s">
        <v>75</v>
      </c>
      <c r="E145" s="434" t="s">
        <v>93</v>
      </c>
    </row>
    <row r="146" spans="1:5" ht="13.15" customHeight="1" x14ac:dyDescent="0.2">
      <c r="A146" s="169" t="s">
        <v>275</v>
      </c>
      <c r="B146" s="433" t="s">
        <v>276</v>
      </c>
      <c r="C146" s="436">
        <f>SUM(C147:C151)</f>
        <v>4892.0469176739998</v>
      </c>
      <c r="D146" s="434" t="s">
        <v>75</v>
      </c>
      <c r="E146" s="434" t="s">
        <v>93</v>
      </c>
    </row>
    <row r="147" spans="1:5" ht="13.15" customHeight="1" x14ac:dyDescent="0.2">
      <c r="A147" s="434" t="s">
        <v>277</v>
      </c>
      <c r="B147" s="433" t="s">
        <v>245</v>
      </c>
      <c r="C147" s="436">
        <f>2240</f>
        <v>2240</v>
      </c>
      <c r="D147" s="434" t="s">
        <v>75</v>
      </c>
      <c r="E147" s="434" t="s">
        <v>93</v>
      </c>
    </row>
    <row r="148" spans="1:5" ht="13.15" customHeight="1" x14ac:dyDescent="0.2">
      <c r="A148" s="434" t="s">
        <v>278</v>
      </c>
      <c r="B148" s="433" t="s">
        <v>247</v>
      </c>
      <c r="C148" s="436">
        <f>240*2</f>
        <v>480</v>
      </c>
      <c r="D148" s="434" t="s">
        <v>75</v>
      </c>
      <c r="E148" s="434" t="s">
        <v>93</v>
      </c>
    </row>
    <row r="149" spans="1:5" ht="13.15" customHeight="1" x14ac:dyDescent="0.2">
      <c r="A149" s="434" t="s">
        <v>279</v>
      </c>
      <c r="B149" s="433" t="s">
        <v>249</v>
      </c>
      <c r="C149" s="436">
        <f>120*2</f>
        <v>240</v>
      </c>
      <c r="D149" s="434" t="s">
        <v>75</v>
      </c>
      <c r="E149" s="434" t="s">
        <v>93</v>
      </c>
    </row>
    <row r="150" spans="1:5" ht="13.15" customHeight="1" x14ac:dyDescent="0.2">
      <c r="A150" s="434" t="s">
        <v>280</v>
      </c>
      <c r="B150" s="433" t="s">
        <v>281</v>
      </c>
      <c r="C150" s="436">
        <f>625*2</f>
        <v>1250</v>
      </c>
      <c r="D150" s="434" t="s">
        <v>75</v>
      </c>
      <c r="E150" s="434" t="s">
        <v>93</v>
      </c>
    </row>
    <row r="151" spans="1:5" ht="13.15" customHeight="1" x14ac:dyDescent="0.2">
      <c r="A151" s="434" t="s">
        <v>282</v>
      </c>
      <c r="B151" s="433" t="s">
        <v>253</v>
      </c>
      <c r="C151" s="436">
        <f>227.348972558*3</f>
        <v>682.04691767400004</v>
      </c>
      <c r="D151" s="434" t="s">
        <v>75</v>
      </c>
      <c r="E151" s="434" t="s">
        <v>93</v>
      </c>
    </row>
    <row r="152" spans="1:5" ht="13.15" customHeight="1" x14ac:dyDescent="0.2">
      <c r="A152" s="169" t="s">
        <v>283</v>
      </c>
      <c r="B152" s="433" t="s">
        <v>284</v>
      </c>
      <c r="C152" s="436">
        <f>SUM(C153:C157)</f>
        <v>1863</v>
      </c>
      <c r="D152" s="434" t="s">
        <v>75</v>
      </c>
      <c r="E152" s="434" t="s">
        <v>93</v>
      </c>
    </row>
    <row r="153" spans="1:5" ht="13.15" customHeight="1" x14ac:dyDescent="0.2">
      <c r="A153" s="434" t="s">
        <v>285</v>
      </c>
      <c r="B153" s="433" t="s">
        <v>245</v>
      </c>
      <c r="C153" s="436">
        <v>805</v>
      </c>
      <c r="D153" s="434" t="s">
        <v>75</v>
      </c>
      <c r="E153" s="481" t="s">
        <v>93</v>
      </c>
    </row>
    <row r="154" spans="1:5" ht="13.15" customHeight="1" x14ac:dyDescent="0.2">
      <c r="A154" s="434" t="s">
        <v>286</v>
      </c>
      <c r="B154" s="433" t="s">
        <v>247</v>
      </c>
      <c r="C154" s="436">
        <f>210*2</f>
        <v>420</v>
      </c>
      <c r="D154" s="434" t="s">
        <v>75</v>
      </c>
      <c r="E154" s="481" t="s">
        <v>93</v>
      </c>
    </row>
    <row r="155" spans="1:5" ht="13.15" customHeight="1" x14ac:dyDescent="0.2">
      <c r="A155" s="434" t="s">
        <v>287</v>
      </c>
      <c r="B155" s="433" t="s">
        <v>249</v>
      </c>
      <c r="C155" s="436">
        <f>44*2</f>
        <v>88</v>
      </c>
      <c r="D155" s="434" t="s">
        <v>75</v>
      </c>
      <c r="E155" s="481" t="s">
        <v>93</v>
      </c>
    </row>
    <row r="156" spans="1:5" ht="13.15" customHeight="1" x14ac:dyDescent="0.2">
      <c r="A156" s="434" t="s">
        <v>288</v>
      </c>
      <c r="B156" s="433" t="s">
        <v>281</v>
      </c>
      <c r="C156" s="436">
        <v>430</v>
      </c>
      <c r="D156" s="434" t="s">
        <v>75</v>
      </c>
      <c r="E156" s="481" t="s">
        <v>93</v>
      </c>
    </row>
    <row r="157" spans="1:5" ht="13.15" customHeight="1" x14ac:dyDescent="0.2">
      <c r="A157" s="434" t="s">
        <v>289</v>
      </c>
      <c r="B157" s="433" t="s">
        <v>253</v>
      </c>
      <c r="C157" s="436">
        <f>40*3</f>
        <v>120</v>
      </c>
      <c r="D157" s="434" t="s">
        <v>75</v>
      </c>
      <c r="E157" s="481" t="s">
        <v>93</v>
      </c>
    </row>
    <row r="158" spans="1:5" ht="13.15" customHeight="1" x14ac:dyDescent="0.2">
      <c r="A158" s="169" t="s">
        <v>290</v>
      </c>
      <c r="B158" s="433" t="s">
        <v>291</v>
      </c>
      <c r="C158" s="436">
        <f>SUM(C159:C163)</f>
        <v>1493.27</v>
      </c>
      <c r="D158" s="434" t="s">
        <v>75</v>
      </c>
      <c r="E158" s="481" t="s">
        <v>93</v>
      </c>
    </row>
    <row r="159" spans="1:5" ht="13.15" customHeight="1" x14ac:dyDescent="0.2">
      <c r="A159" s="434" t="s">
        <v>292</v>
      </c>
      <c r="B159" s="433" t="s">
        <v>245</v>
      </c>
      <c r="C159" s="436">
        <v>434.27</v>
      </c>
      <c r="D159" s="434" t="s">
        <v>75</v>
      </c>
      <c r="E159" s="481" t="s">
        <v>93</v>
      </c>
    </row>
    <row r="160" spans="1:5" ht="13.15" customHeight="1" x14ac:dyDescent="0.2">
      <c r="A160" s="434" t="s">
        <v>293</v>
      </c>
      <c r="B160" s="433" t="s">
        <v>247</v>
      </c>
      <c r="C160" s="436">
        <f>210.5*2</f>
        <v>421</v>
      </c>
      <c r="D160" s="434" t="s">
        <v>75</v>
      </c>
      <c r="E160" s="481" t="s">
        <v>93</v>
      </c>
    </row>
    <row r="161" spans="1:5" ht="13.15" customHeight="1" x14ac:dyDescent="0.2">
      <c r="A161" s="434" t="s">
        <v>294</v>
      </c>
      <c r="B161" s="433" t="s">
        <v>249</v>
      </c>
      <c r="C161" s="436">
        <f>44*2</f>
        <v>88</v>
      </c>
      <c r="D161" s="434" t="s">
        <v>75</v>
      </c>
      <c r="E161" s="481" t="s">
        <v>93</v>
      </c>
    </row>
    <row r="162" spans="1:5" ht="13.15" customHeight="1" x14ac:dyDescent="0.2">
      <c r="A162" s="434" t="s">
        <v>295</v>
      </c>
      <c r="B162" s="433" t="s">
        <v>281</v>
      </c>
      <c r="C162" s="436">
        <v>430</v>
      </c>
      <c r="D162" s="434" t="s">
        <v>75</v>
      </c>
      <c r="E162" s="481" t="s">
        <v>93</v>
      </c>
    </row>
    <row r="163" spans="1:5" ht="13.15" customHeight="1" x14ac:dyDescent="0.2">
      <c r="A163" s="434" t="s">
        <v>296</v>
      </c>
      <c r="B163" s="433" t="s">
        <v>253</v>
      </c>
      <c r="C163" s="436">
        <f>40*3</f>
        <v>120</v>
      </c>
      <c r="D163" s="434" t="s">
        <v>75</v>
      </c>
      <c r="E163" s="481" t="s">
        <v>93</v>
      </c>
    </row>
    <row r="164" spans="1:5" ht="13.15" customHeight="1" x14ac:dyDescent="0.2">
      <c r="A164" s="169" t="s">
        <v>297</v>
      </c>
      <c r="B164" s="464" t="s">
        <v>298</v>
      </c>
      <c r="C164" s="436">
        <f>SUM(C165:C166)</f>
        <v>227.45500000000001</v>
      </c>
      <c r="D164" s="434" t="s">
        <v>75</v>
      </c>
      <c r="E164" s="645" t="s">
        <v>93</v>
      </c>
    </row>
    <row r="165" spans="1:5" ht="13.15" customHeight="1" x14ac:dyDescent="0.2">
      <c r="A165" s="434" t="s">
        <v>299</v>
      </c>
      <c r="B165" s="464" t="s">
        <v>245</v>
      </c>
      <c r="C165" s="436">
        <v>180.36500000000001</v>
      </c>
      <c r="D165" s="434" t="s">
        <v>75</v>
      </c>
      <c r="E165" s="645" t="s">
        <v>93</v>
      </c>
    </row>
    <row r="166" spans="1:5" ht="13.15" customHeight="1" x14ac:dyDescent="0.2">
      <c r="A166" s="434" t="s">
        <v>300</v>
      </c>
      <c r="B166" s="464" t="s">
        <v>301</v>
      </c>
      <c r="C166" s="436">
        <f>47.09</f>
        <v>47.09</v>
      </c>
      <c r="D166" s="434" t="s">
        <v>75</v>
      </c>
      <c r="E166" s="645" t="s">
        <v>93</v>
      </c>
    </row>
    <row r="167" spans="1:5" ht="13.15" customHeight="1" x14ac:dyDescent="0.2">
      <c r="A167" s="169" t="s">
        <v>302</v>
      </c>
      <c r="B167" s="464" t="s">
        <v>303</v>
      </c>
      <c r="C167" s="436">
        <f>SUM(C168:C169)</f>
        <v>510.86</v>
      </c>
      <c r="D167" s="434" t="s">
        <v>75</v>
      </c>
      <c r="E167" s="645" t="s">
        <v>93</v>
      </c>
    </row>
    <row r="168" spans="1:5" ht="13.15" customHeight="1" x14ac:dyDescent="0.2">
      <c r="A168" s="434" t="s">
        <v>304</v>
      </c>
      <c r="B168" s="464" t="s">
        <v>245</v>
      </c>
      <c r="C168" s="436">
        <v>330.84</v>
      </c>
      <c r="D168" s="434" t="s">
        <v>75</v>
      </c>
      <c r="E168" s="645" t="s">
        <v>93</v>
      </c>
    </row>
    <row r="169" spans="1:5" ht="13.15" customHeight="1" x14ac:dyDescent="0.2">
      <c r="A169" s="434" t="s">
        <v>305</v>
      </c>
      <c r="B169" s="464" t="s">
        <v>301</v>
      </c>
      <c r="C169" s="436">
        <f>90.01*2</f>
        <v>180.02</v>
      </c>
      <c r="D169" s="434" t="s">
        <v>75</v>
      </c>
      <c r="E169" s="645" t="s">
        <v>93</v>
      </c>
    </row>
    <row r="170" spans="1:5" ht="13.15" customHeight="1" x14ac:dyDescent="0.2">
      <c r="A170" s="169" t="s">
        <v>297</v>
      </c>
      <c r="B170" s="433" t="s">
        <v>306</v>
      </c>
      <c r="C170" s="436">
        <v>359.9</v>
      </c>
      <c r="D170" s="434" t="s">
        <v>75</v>
      </c>
      <c r="E170" s="481" t="s">
        <v>93</v>
      </c>
    </row>
    <row r="171" spans="1:5" ht="13.15" customHeight="1" x14ac:dyDescent="0.2">
      <c r="A171" s="169" t="s">
        <v>302</v>
      </c>
      <c r="B171" s="433" t="s">
        <v>307</v>
      </c>
      <c r="C171" s="436">
        <f>202.62*1.0638</f>
        <v>215.54715600000003</v>
      </c>
      <c r="D171" s="434" t="s">
        <v>75</v>
      </c>
      <c r="E171" s="481" t="s">
        <v>93</v>
      </c>
    </row>
    <row r="173" spans="1:5" ht="13.15" customHeight="1" x14ac:dyDescent="0.2">
      <c r="A173" s="9">
        <v>8</v>
      </c>
      <c r="B173" s="109" t="s">
        <v>308</v>
      </c>
      <c r="C173" s="170" t="s">
        <v>4</v>
      </c>
      <c r="D173" s="169" t="s">
        <v>5</v>
      </c>
      <c r="E173" s="169" t="s">
        <v>6</v>
      </c>
    </row>
    <row r="174" spans="1:5" ht="13.15" customHeight="1" x14ac:dyDescent="0.2">
      <c r="A174" s="9" t="s">
        <v>309</v>
      </c>
      <c r="B174" s="109" t="s">
        <v>310</v>
      </c>
      <c r="C174" s="436"/>
      <c r="D174" s="423"/>
      <c r="E174" s="434"/>
    </row>
    <row r="175" spans="1:5" ht="13.15" customHeight="1" x14ac:dyDescent="0.2">
      <c r="A175" s="435" t="s">
        <v>311</v>
      </c>
      <c r="B175" s="482" t="s">
        <v>312</v>
      </c>
      <c r="C175" s="436">
        <v>210</v>
      </c>
      <c r="D175" s="434" t="s">
        <v>313</v>
      </c>
      <c r="E175" s="434" t="s">
        <v>314</v>
      </c>
    </row>
    <row r="176" spans="1:5" ht="13.15" customHeight="1" x14ac:dyDescent="0.2">
      <c r="A176" s="435" t="s">
        <v>315</v>
      </c>
      <c r="B176" s="482" t="s">
        <v>316</v>
      </c>
      <c r="C176" s="436">
        <v>210</v>
      </c>
      <c r="D176" s="434" t="s">
        <v>313</v>
      </c>
      <c r="E176" s="434" t="s">
        <v>314</v>
      </c>
    </row>
    <row r="177" spans="1:5" ht="13.15" customHeight="1" x14ac:dyDescent="0.2">
      <c r="A177" s="435" t="s">
        <v>317</v>
      </c>
      <c r="B177" s="482" t="s">
        <v>318</v>
      </c>
      <c r="C177" s="436">
        <v>180</v>
      </c>
      <c r="D177" s="434" t="s">
        <v>313</v>
      </c>
      <c r="E177" s="434" t="s">
        <v>314</v>
      </c>
    </row>
    <row r="178" spans="1:5" ht="13.15" customHeight="1" x14ac:dyDescent="0.2">
      <c r="A178" s="435" t="s">
        <v>319</v>
      </c>
      <c r="B178" s="482" t="s">
        <v>320</v>
      </c>
      <c r="C178" s="436">
        <v>140</v>
      </c>
      <c r="D178" s="434" t="s">
        <v>313</v>
      </c>
      <c r="E178" s="434" t="s">
        <v>314</v>
      </c>
    </row>
    <row r="179" spans="1:5" ht="13.15" customHeight="1" x14ac:dyDescent="0.2">
      <c r="A179" s="435" t="s">
        <v>321</v>
      </c>
      <c r="B179" s="482" t="s">
        <v>322</v>
      </c>
      <c r="C179" s="436">
        <v>140</v>
      </c>
      <c r="D179" s="434" t="s">
        <v>313</v>
      </c>
      <c r="E179" s="434" t="s">
        <v>314</v>
      </c>
    </row>
    <row r="180" spans="1:5" ht="13.15" customHeight="1" x14ac:dyDescent="0.2">
      <c r="A180" s="435" t="s">
        <v>323</v>
      </c>
      <c r="B180" s="482" t="s">
        <v>324</v>
      </c>
      <c r="C180" s="436">
        <v>120</v>
      </c>
      <c r="D180" s="434" t="s">
        <v>313</v>
      </c>
      <c r="E180" s="434" t="s">
        <v>314</v>
      </c>
    </row>
    <row r="181" spans="1:5" ht="13.15" customHeight="1" x14ac:dyDescent="0.2">
      <c r="A181" s="435" t="s">
        <v>325</v>
      </c>
      <c r="B181" s="433" t="s">
        <v>326</v>
      </c>
      <c r="C181" s="477">
        <v>0.2</v>
      </c>
      <c r="D181" s="434" t="s">
        <v>28</v>
      </c>
      <c r="E181" s="434" t="s">
        <v>314</v>
      </c>
    </row>
    <row r="182" spans="1:5" ht="13.15" customHeight="1" x14ac:dyDescent="0.2">
      <c r="A182" s="435" t="s">
        <v>327</v>
      </c>
      <c r="B182" s="433" t="s">
        <v>328</v>
      </c>
      <c r="C182" s="436">
        <f>((12*0.6)*26*C191)</f>
        <v>561.59999999999991</v>
      </c>
      <c r="D182" s="434" t="s">
        <v>329</v>
      </c>
      <c r="E182" s="434" t="s">
        <v>314</v>
      </c>
    </row>
    <row r="183" spans="1:5" s="646" customFormat="1" ht="13.15" customHeight="1" x14ac:dyDescent="0.2">
      <c r="A183" s="435" t="s">
        <v>330</v>
      </c>
      <c r="B183" s="433" t="s">
        <v>331</v>
      </c>
      <c r="C183" s="436">
        <v>330</v>
      </c>
      <c r="D183" s="434" t="s">
        <v>332</v>
      </c>
      <c r="E183" s="434" t="s">
        <v>314</v>
      </c>
    </row>
    <row r="184" spans="1:5" ht="13.15" customHeight="1" x14ac:dyDescent="0.2">
      <c r="A184" s="435" t="s">
        <v>333</v>
      </c>
      <c r="B184" s="433" t="s">
        <v>334</v>
      </c>
      <c r="C184" s="436">
        <f>(13*0.2)*26*C193</f>
        <v>67.600000000000009</v>
      </c>
      <c r="D184" s="434" t="s">
        <v>329</v>
      </c>
      <c r="E184" s="434" t="s">
        <v>314</v>
      </c>
    </row>
    <row r="185" spans="1:5" s="641" customFormat="1" ht="13.15" customHeight="1" x14ac:dyDescent="0.2">
      <c r="A185" s="435" t="s">
        <v>335</v>
      </c>
      <c r="B185" s="433" t="s">
        <v>336</v>
      </c>
      <c r="C185" s="436">
        <v>2</v>
      </c>
      <c r="D185" s="434" t="s">
        <v>337</v>
      </c>
      <c r="E185" s="434" t="s">
        <v>314</v>
      </c>
    </row>
    <row r="186" spans="1:5" ht="13.15" customHeight="1" x14ac:dyDescent="0.2">
      <c r="A186" s="435" t="s">
        <v>338</v>
      </c>
      <c r="B186" s="433" t="s">
        <v>339</v>
      </c>
      <c r="C186" s="474">
        <v>2</v>
      </c>
      <c r="D186" s="434" t="s">
        <v>340</v>
      </c>
      <c r="E186" s="434" t="s">
        <v>314</v>
      </c>
    </row>
    <row r="187" spans="1:5" ht="13.15" customHeight="1" x14ac:dyDescent="0.2">
      <c r="A187" s="435" t="s">
        <v>341</v>
      </c>
      <c r="B187" s="433" t="s">
        <v>342</v>
      </c>
      <c r="C187" s="474">
        <v>2</v>
      </c>
      <c r="D187" s="434" t="s">
        <v>340</v>
      </c>
      <c r="E187" s="434" t="s">
        <v>314</v>
      </c>
    </row>
    <row r="188" spans="1:5" ht="13.15" customHeight="1" x14ac:dyDescent="0.2">
      <c r="A188" s="435" t="s">
        <v>343</v>
      </c>
      <c r="B188" s="433" t="s">
        <v>344</v>
      </c>
      <c r="C188" s="474">
        <v>2</v>
      </c>
      <c r="D188" s="434" t="s">
        <v>340</v>
      </c>
      <c r="E188" s="434" t="s">
        <v>314</v>
      </c>
    </row>
    <row r="189" spans="1:5" ht="13.15" customHeight="1" x14ac:dyDescent="0.2">
      <c r="A189" s="435" t="s">
        <v>345</v>
      </c>
      <c r="B189" s="433" t="s">
        <v>346</v>
      </c>
      <c r="C189" s="477">
        <v>0.2</v>
      </c>
      <c r="D189" s="434" t="s">
        <v>28</v>
      </c>
      <c r="E189" s="434" t="s">
        <v>314</v>
      </c>
    </row>
    <row r="190" spans="1:5" ht="13.15" customHeight="1" x14ac:dyDescent="0.2">
      <c r="A190" s="435" t="s">
        <v>347</v>
      </c>
      <c r="B190" s="433" t="s">
        <v>348</v>
      </c>
      <c r="C190" s="477">
        <v>0.2</v>
      </c>
      <c r="D190" s="434" t="s">
        <v>28</v>
      </c>
      <c r="E190" s="434" t="s">
        <v>314</v>
      </c>
    </row>
    <row r="191" spans="1:5" ht="13.15" customHeight="1" x14ac:dyDescent="0.2">
      <c r="A191" s="435" t="s">
        <v>349</v>
      </c>
      <c r="B191" s="433" t="s">
        <v>350</v>
      </c>
      <c r="C191" s="483">
        <v>3</v>
      </c>
      <c r="D191" s="434" t="s">
        <v>351</v>
      </c>
      <c r="E191" s="434" t="s">
        <v>314</v>
      </c>
    </row>
    <row r="192" spans="1:5" ht="13.15" customHeight="1" x14ac:dyDescent="0.2">
      <c r="A192" s="435" t="s">
        <v>352</v>
      </c>
      <c r="B192" s="433" t="s">
        <v>353</v>
      </c>
      <c r="C192" s="483">
        <v>3</v>
      </c>
      <c r="D192" s="434" t="s">
        <v>351</v>
      </c>
      <c r="E192" s="434" t="s">
        <v>314</v>
      </c>
    </row>
    <row r="193" spans="1:5" ht="13.15" customHeight="1" x14ac:dyDescent="0.2">
      <c r="A193" s="435" t="s">
        <v>354</v>
      </c>
      <c r="B193" s="433" t="s">
        <v>355</v>
      </c>
      <c r="C193" s="483">
        <v>1</v>
      </c>
      <c r="D193" s="434" t="s">
        <v>351</v>
      </c>
      <c r="E193" s="434" t="s">
        <v>314</v>
      </c>
    </row>
    <row r="194" spans="1:5" ht="13.15" customHeight="1" x14ac:dyDescent="0.2">
      <c r="A194" s="9" t="s">
        <v>356</v>
      </c>
      <c r="B194" s="109" t="s">
        <v>357</v>
      </c>
      <c r="C194" s="436"/>
      <c r="D194" s="434"/>
      <c r="E194" s="434" t="s">
        <v>314</v>
      </c>
    </row>
    <row r="195" spans="1:5" ht="13.15" customHeight="1" x14ac:dyDescent="0.2">
      <c r="A195" s="435" t="s">
        <v>358</v>
      </c>
      <c r="B195" s="433" t="s">
        <v>359</v>
      </c>
      <c r="C195" s="474">
        <f>(20976.7+4914.3+3811.75)/6</f>
        <v>4950.458333333333</v>
      </c>
      <c r="D195" s="434" t="s">
        <v>360</v>
      </c>
      <c r="E195" s="434" t="s">
        <v>314</v>
      </c>
    </row>
    <row r="196" spans="1:5" ht="13.15" customHeight="1" x14ac:dyDescent="0.2">
      <c r="A196" s="435" t="s">
        <v>361</v>
      </c>
      <c r="B196" s="433" t="s">
        <v>362</v>
      </c>
      <c r="C196" s="474">
        <f>14212.64/4</f>
        <v>3553.16</v>
      </c>
      <c r="D196" s="434" t="s">
        <v>360</v>
      </c>
      <c r="E196" s="434" t="s">
        <v>314</v>
      </c>
    </row>
    <row r="197" spans="1:5" ht="13.15" customHeight="1" x14ac:dyDescent="0.2">
      <c r="A197" s="435" t="s">
        <v>363</v>
      </c>
      <c r="B197" s="433" t="s">
        <v>364</v>
      </c>
      <c r="C197" s="474">
        <v>832.86</v>
      </c>
      <c r="D197" s="434" t="s">
        <v>360</v>
      </c>
      <c r="E197" s="434" t="s">
        <v>314</v>
      </c>
    </row>
    <row r="198" spans="1:5" ht="13.15" customHeight="1" x14ac:dyDescent="0.2">
      <c r="A198" s="435" t="s">
        <v>365</v>
      </c>
      <c r="B198" s="433" t="s">
        <v>366</v>
      </c>
      <c r="C198" s="474">
        <v>9360</v>
      </c>
      <c r="D198" s="434" t="s">
        <v>360</v>
      </c>
      <c r="E198" s="434" t="s">
        <v>314</v>
      </c>
    </row>
    <row r="199" spans="1:5" ht="13.15" customHeight="1" x14ac:dyDescent="0.2">
      <c r="A199" s="435" t="s">
        <v>367</v>
      </c>
      <c r="B199" s="433" t="s">
        <v>368</v>
      </c>
      <c r="C199" s="474">
        <v>2500</v>
      </c>
      <c r="D199" s="434" t="s">
        <v>360</v>
      </c>
      <c r="E199" s="434" t="s">
        <v>314</v>
      </c>
    </row>
    <row r="200" spans="1:5" ht="13.15" customHeight="1" x14ac:dyDescent="0.2">
      <c r="A200" s="435" t="s">
        <v>369</v>
      </c>
      <c r="B200" s="433" t="s">
        <v>370</v>
      </c>
      <c r="C200" s="474">
        <f>(1500+2500)/3</f>
        <v>1333.3333333333333</v>
      </c>
      <c r="D200" s="434" t="s">
        <v>360</v>
      </c>
      <c r="E200" s="434" t="s">
        <v>314</v>
      </c>
    </row>
    <row r="201" spans="1:5" ht="13.15" customHeight="1" x14ac:dyDescent="0.2">
      <c r="A201" s="435" t="s">
        <v>371</v>
      </c>
      <c r="B201" s="433" t="s">
        <v>372</v>
      </c>
      <c r="C201" s="474">
        <f>(2100)/2</f>
        <v>1050</v>
      </c>
      <c r="D201" s="434" t="s">
        <v>360</v>
      </c>
      <c r="E201" s="434" t="s">
        <v>314</v>
      </c>
    </row>
    <row r="202" spans="1:5" ht="13.15" customHeight="1" x14ac:dyDescent="0.2">
      <c r="A202" s="435" t="s">
        <v>373</v>
      </c>
      <c r="B202" s="433" t="s">
        <v>374</v>
      </c>
      <c r="C202" s="474">
        <v>4000</v>
      </c>
      <c r="D202" s="434" t="s">
        <v>360</v>
      </c>
      <c r="E202" s="434" t="s">
        <v>314</v>
      </c>
    </row>
    <row r="203" spans="1:5" ht="13.15" customHeight="1" x14ac:dyDescent="0.2">
      <c r="A203" s="435" t="s">
        <v>375</v>
      </c>
      <c r="B203" s="433" t="s">
        <v>376</v>
      </c>
      <c r="C203" s="474">
        <v>150</v>
      </c>
      <c r="D203" s="434" t="s">
        <v>377</v>
      </c>
      <c r="E203" s="434" t="s">
        <v>314</v>
      </c>
    </row>
    <row r="204" spans="1:5" ht="13.15" customHeight="1" x14ac:dyDescent="0.2">
      <c r="A204" s="435" t="s">
        <v>378</v>
      </c>
      <c r="B204" s="433" t="s">
        <v>376</v>
      </c>
      <c r="C204" s="647">
        <v>468</v>
      </c>
      <c r="D204" s="648" t="s">
        <v>360</v>
      </c>
      <c r="E204" s="434" t="s">
        <v>314</v>
      </c>
    </row>
    <row r="205" spans="1:5" ht="13.15" customHeight="1" x14ac:dyDescent="0.2">
      <c r="A205" s="435" t="s">
        <v>379</v>
      </c>
      <c r="B205" s="433" t="s">
        <v>380</v>
      </c>
      <c r="C205" s="647">
        <v>150</v>
      </c>
      <c r="D205" s="648" t="s">
        <v>381</v>
      </c>
      <c r="E205" s="434" t="s">
        <v>314</v>
      </c>
    </row>
    <row r="206" spans="1:5" ht="13.15" customHeight="1" x14ac:dyDescent="0.2">
      <c r="A206" s="435" t="s">
        <v>382</v>
      </c>
      <c r="B206" s="649" t="s">
        <v>383</v>
      </c>
      <c r="C206" s="647">
        <v>150</v>
      </c>
      <c r="D206" s="648" t="s">
        <v>381</v>
      </c>
      <c r="E206" s="434" t="s">
        <v>314</v>
      </c>
    </row>
    <row r="207" spans="1:5" s="152" customFormat="1" ht="13.15" customHeight="1" x14ac:dyDescent="0.2">
      <c r="A207" s="435" t="s">
        <v>384</v>
      </c>
      <c r="B207" s="275" t="s">
        <v>385</v>
      </c>
      <c r="C207" s="647">
        <v>150</v>
      </c>
      <c r="D207" s="648" t="s">
        <v>377</v>
      </c>
      <c r="E207" s="434" t="s">
        <v>314</v>
      </c>
    </row>
    <row r="208" spans="1:5" ht="13.15" customHeight="1" x14ac:dyDescent="0.2">
      <c r="A208" s="435" t="s">
        <v>386</v>
      </c>
      <c r="B208" s="433" t="s">
        <v>385</v>
      </c>
      <c r="C208" s="474">
        <v>1000</v>
      </c>
      <c r="D208" s="434" t="s">
        <v>360</v>
      </c>
      <c r="E208" s="434" t="s">
        <v>314</v>
      </c>
    </row>
    <row r="209" spans="1:5" ht="13.15" customHeight="1" x14ac:dyDescent="0.2">
      <c r="A209" s="435" t="s">
        <v>387</v>
      </c>
      <c r="B209" s="433" t="s">
        <v>388</v>
      </c>
      <c r="C209" s="474">
        <v>150</v>
      </c>
      <c r="D209" s="434" t="s">
        <v>377</v>
      </c>
      <c r="E209" s="434" t="s">
        <v>314</v>
      </c>
    </row>
    <row r="210" spans="1:5" ht="13.15" customHeight="1" x14ac:dyDescent="0.2">
      <c r="A210" s="435" t="s">
        <v>389</v>
      </c>
      <c r="B210" s="433" t="s">
        <v>388</v>
      </c>
      <c r="C210" s="474">
        <v>900</v>
      </c>
      <c r="D210" s="434" t="s">
        <v>360</v>
      </c>
      <c r="E210" s="434" t="s">
        <v>314</v>
      </c>
    </row>
    <row r="211" spans="1:5" ht="13.15" customHeight="1" x14ac:dyDescent="0.2">
      <c r="A211" s="435" t="s">
        <v>390</v>
      </c>
      <c r="B211" s="433" t="s">
        <v>391</v>
      </c>
      <c r="C211" s="474">
        <v>150</v>
      </c>
      <c r="D211" s="434" t="s">
        <v>381</v>
      </c>
      <c r="E211" s="434" t="s">
        <v>314</v>
      </c>
    </row>
    <row r="212" spans="1:5" ht="13.15" customHeight="1" x14ac:dyDescent="0.2">
      <c r="A212" s="435" t="s">
        <v>392</v>
      </c>
      <c r="B212" s="332" t="s">
        <v>393</v>
      </c>
      <c r="C212" s="474">
        <v>150</v>
      </c>
      <c r="D212" s="434" t="s">
        <v>394</v>
      </c>
      <c r="E212" s="434" t="s">
        <v>314</v>
      </c>
    </row>
    <row r="213" spans="1:5" ht="13.15" customHeight="1" x14ac:dyDescent="0.2">
      <c r="A213" s="435" t="s">
        <v>395</v>
      </c>
      <c r="B213" s="433" t="s">
        <v>396</v>
      </c>
      <c r="C213" s="474">
        <v>800</v>
      </c>
      <c r="D213" s="434" t="s">
        <v>360</v>
      </c>
      <c r="E213" s="434" t="s">
        <v>314</v>
      </c>
    </row>
    <row r="214" spans="1:5" ht="13.15" customHeight="1" x14ac:dyDescent="0.2">
      <c r="A214" s="435" t="s">
        <v>397</v>
      </c>
      <c r="B214" s="433" t="s">
        <v>398</v>
      </c>
      <c r="C214" s="474">
        <v>2000</v>
      </c>
      <c r="D214" s="434" t="s">
        <v>360</v>
      </c>
      <c r="E214" s="434" t="s">
        <v>314</v>
      </c>
    </row>
    <row r="215" spans="1:5" ht="13.15" customHeight="1" x14ac:dyDescent="0.2">
      <c r="A215" s="435" t="s">
        <v>399</v>
      </c>
      <c r="B215" s="433" t="s">
        <v>400</v>
      </c>
      <c r="C215" s="474">
        <v>1762</v>
      </c>
      <c r="D215" s="434" t="s">
        <v>360</v>
      </c>
      <c r="E215" s="434" t="s">
        <v>314</v>
      </c>
    </row>
    <row r="216" spans="1:5" ht="13.15" customHeight="1" x14ac:dyDescent="0.2">
      <c r="A216" s="435" t="s">
        <v>401</v>
      </c>
      <c r="B216" s="433" t="s">
        <v>402</v>
      </c>
      <c r="C216" s="474">
        <v>2000</v>
      </c>
      <c r="D216" s="434" t="s">
        <v>360</v>
      </c>
      <c r="E216" s="434" t="s">
        <v>314</v>
      </c>
    </row>
    <row r="217" spans="1:5" ht="13.15" customHeight="1" x14ac:dyDescent="0.2">
      <c r="A217" s="435" t="s">
        <v>403</v>
      </c>
      <c r="B217" s="433" t="s">
        <v>404</v>
      </c>
      <c r="C217" s="474">
        <v>1762</v>
      </c>
      <c r="D217" s="434" t="s">
        <v>360</v>
      </c>
      <c r="E217" s="434" t="s">
        <v>314</v>
      </c>
    </row>
    <row r="218" spans="1:5" ht="13.15" customHeight="1" x14ac:dyDescent="0.2">
      <c r="A218" s="435" t="s">
        <v>405</v>
      </c>
      <c r="B218" s="433" t="s">
        <v>406</v>
      </c>
      <c r="C218" s="474">
        <v>881</v>
      </c>
      <c r="D218" s="434" t="s">
        <v>360</v>
      </c>
      <c r="E218" s="434" t="s">
        <v>314</v>
      </c>
    </row>
    <row r="219" spans="1:5" ht="13.15" customHeight="1" x14ac:dyDescent="0.2">
      <c r="A219" s="435" t="s">
        <v>407</v>
      </c>
      <c r="B219" s="433" t="s">
        <v>408</v>
      </c>
      <c r="C219" s="474">
        <v>1750</v>
      </c>
      <c r="D219" s="434" t="s">
        <v>360</v>
      </c>
      <c r="E219" s="434" t="s">
        <v>314</v>
      </c>
    </row>
    <row r="220" spans="1:5" ht="13.15" customHeight="1" x14ac:dyDescent="0.2">
      <c r="A220" s="435" t="s">
        <v>409</v>
      </c>
      <c r="B220" s="433" t="s">
        <v>410</v>
      </c>
      <c r="C220" s="474">
        <v>1762</v>
      </c>
      <c r="D220" s="434" t="s">
        <v>360</v>
      </c>
      <c r="E220" s="434" t="s">
        <v>314</v>
      </c>
    </row>
    <row r="221" spans="1:5" ht="13.15" customHeight="1" x14ac:dyDescent="0.2">
      <c r="A221" s="435" t="s">
        <v>411</v>
      </c>
      <c r="B221" s="433" t="s">
        <v>412</v>
      </c>
      <c r="C221" s="474">
        <v>150</v>
      </c>
      <c r="D221" s="434" t="s">
        <v>381</v>
      </c>
      <c r="E221" s="434" t="s">
        <v>314</v>
      </c>
    </row>
    <row r="222" spans="1:5" ht="13.15" customHeight="1" x14ac:dyDescent="0.2">
      <c r="A222" s="435" t="s">
        <v>413</v>
      </c>
      <c r="B222" s="433" t="s">
        <v>414</v>
      </c>
      <c r="C222" s="474">
        <v>150</v>
      </c>
      <c r="D222" s="434" t="s">
        <v>381</v>
      </c>
      <c r="E222" s="434" t="s">
        <v>314</v>
      </c>
    </row>
    <row r="223" spans="1:5" ht="13.15" customHeight="1" x14ac:dyDescent="0.2">
      <c r="A223" s="435" t="s">
        <v>415</v>
      </c>
      <c r="B223" s="433" t="s">
        <v>416</v>
      </c>
      <c r="C223" s="474">
        <v>150</v>
      </c>
      <c r="D223" s="434" t="s">
        <v>381</v>
      </c>
      <c r="E223" s="434" t="s">
        <v>314</v>
      </c>
    </row>
    <row r="224" spans="1:5" ht="13.15" customHeight="1" x14ac:dyDescent="0.2">
      <c r="A224" s="9" t="s">
        <v>417</v>
      </c>
      <c r="B224" s="109" t="s">
        <v>418</v>
      </c>
      <c r="C224" s="170" t="s">
        <v>4</v>
      </c>
      <c r="D224" s="169" t="s">
        <v>5</v>
      </c>
      <c r="E224" s="169" t="s">
        <v>6</v>
      </c>
    </row>
    <row r="225" spans="1:5" ht="13.15" customHeight="1" x14ac:dyDescent="0.2">
      <c r="A225" s="435" t="s">
        <v>419</v>
      </c>
      <c r="B225" s="433" t="s">
        <v>420</v>
      </c>
      <c r="C225" s="436">
        <v>1.8</v>
      </c>
      <c r="D225" s="434" t="s">
        <v>421</v>
      </c>
      <c r="E225" s="434" t="s">
        <v>314</v>
      </c>
    </row>
    <row r="226" spans="1:5" ht="13.15" customHeight="1" x14ac:dyDescent="0.2">
      <c r="A226" s="435" t="s">
        <v>422</v>
      </c>
      <c r="B226" s="433" t="s">
        <v>423</v>
      </c>
      <c r="C226" s="436">
        <v>1.8</v>
      </c>
      <c r="D226" s="434" t="s">
        <v>421</v>
      </c>
      <c r="E226" s="434" t="s">
        <v>314</v>
      </c>
    </row>
    <row r="227" spans="1:5" ht="13.15" customHeight="1" x14ac:dyDescent="0.2">
      <c r="A227" s="435" t="s">
        <v>424</v>
      </c>
      <c r="B227" s="433" t="s">
        <v>425</v>
      </c>
      <c r="C227" s="436">
        <v>2</v>
      </c>
      <c r="D227" s="434" t="s">
        <v>421</v>
      </c>
      <c r="E227" s="434" t="s">
        <v>314</v>
      </c>
    </row>
    <row r="228" spans="1:5" ht="13.15" customHeight="1" x14ac:dyDescent="0.2">
      <c r="A228" s="435" t="s">
        <v>426</v>
      </c>
      <c r="B228" s="433" t="s">
        <v>427</v>
      </c>
      <c r="C228" s="436">
        <v>3</v>
      </c>
      <c r="D228" s="434" t="s">
        <v>421</v>
      </c>
      <c r="E228" s="434" t="s">
        <v>314</v>
      </c>
    </row>
    <row r="229" spans="1:5" ht="13.15" customHeight="1" x14ac:dyDescent="0.2">
      <c r="A229" s="435" t="s">
        <v>428</v>
      </c>
      <c r="B229" s="433" t="s">
        <v>141</v>
      </c>
      <c r="C229" s="436">
        <f>1/5</f>
        <v>0.2</v>
      </c>
      <c r="D229" s="434" t="s">
        <v>429</v>
      </c>
      <c r="E229" s="434" t="s">
        <v>314</v>
      </c>
    </row>
    <row r="230" spans="1:5" ht="13.15" customHeight="1" x14ac:dyDescent="0.2">
      <c r="A230" s="435" t="s">
        <v>430</v>
      </c>
      <c r="B230" s="433" t="s">
        <v>431</v>
      </c>
      <c r="C230" s="436">
        <f>1/1.94</f>
        <v>0.51546391752577325</v>
      </c>
      <c r="D230" s="434" t="s">
        <v>429</v>
      </c>
      <c r="E230" s="434" t="s">
        <v>314</v>
      </c>
    </row>
    <row r="231" spans="1:5" ht="13.15" customHeight="1" x14ac:dyDescent="0.2">
      <c r="A231" s="435" t="s">
        <v>432</v>
      </c>
      <c r="B231" s="433" t="s">
        <v>149</v>
      </c>
      <c r="C231" s="436">
        <f>1/1.5</f>
        <v>0.66666666666666663</v>
      </c>
      <c r="D231" s="434" t="s">
        <v>429</v>
      </c>
      <c r="E231" s="434" t="s">
        <v>314</v>
      </c>
    </row>
    <row r="232" spans="1:5" ht="13.15" customHeight="1" x14ac:dyDescent="0.2">
      <c r="A232" s="435" t="s">
        <v>433</v>
      </c>
      <c r="B232" s="433" t="s">
        <v>151</v>
      </c>
      <c r="C232" s="436">
        <f>1/1.2</f>
        <v>0.83333333333333337</v>
      </c>
      <c r="D232" s="434" t="s">
        <v>429</v>
      </c>
      <c r="E232" s="434" t="s">
        <v>314</v>
      </c>
    </row>
    <row r="233" spans="1:5" ht="13.15" customHeight="1" x14ac:dyDescent="0.2">
      <c r="A233" s="435" t="s">
        <v>434</v>
      </c>
      <c r="B233" s="433" t="s">
        <v>435</v>
      </c>
      <c r="C233" s="436">
        <v>5</v>
      </c>
      <c r="D233" s="434" t="s">
        <v>421</v>
      </c>
      <c r="E233" s="434" t="s">
        <v>314</v>
      </c>
    </row>
    <row r="234" spans="1:5" ht="13.15" customHeight="1" x14ac:dyDescent="0.2">
      <c r="A234" s="435" t="s">
        <v>436</v>
      </c>
      <c r="B234" s="433" t="s">
        <v>437</v>
      </c>
      <c r="C234" s="436">
        <v>8</v>
      </c>
      <c r="D234" s="434" t="s">
        <v>421</v>
      </c>
      <c r="E234" s="434" t="s">
        <v>314</v>
      </c>
    </row>
    <row r="235" spans="1:5" ht="13.15" customHeight="1" x14ac:dyDescent="0.2">
      <c r="A235" s="435" t="s">
        <v>438</v>
      </c>
      <c r="B235" s="433" t="s">
        <v>439</v>
      </c>
      <c r="C235" s="436">
        <f>1/(13.8/6.5)</f>
        <v>0.47101449275362317</v>
      </c>
      <c r="D235" s="434" t="s">
        <v>429</v>
      </c>
      <c r="E235" s="434" t="s">
        <v>314</v>
      </c>
    </row>
    <row r="236" spans="1:5" ht="13.15" customHeight="1" x14ac:dyDescent="0.2">
      <c r="A236" s="435" t="s">
        <v>440</v>
      </c>
      <c r="B236" s="433" t="s">
        <v>163</v>
      </c>
      <c r="C236" s="436">
        <f>1/(6/6.5)</f>
        <v>1.0833333333333333</v>
      </c>
      <c r="D236" s="434" t="s">
        <v>429</v>
      </c>
      <c r="E236" s="434" t="s">
        <v>314</v>
      </c>
    </row>
    <row r="237" spans="1:5" ht="13.15" customHeight="1" x14ac:dyDescent="0.2">
      <c r="A237" s="435" t="s">
        <v>441</v>
      </c>
      <c r="B237" s="433" t="s">
        <v>165</v>
      </c>
      <c r="C237" s="436">
        <f>1/(4.2/6.5)</f>
        <v>1.5476190476190474</v>
      </c>
      <c r="D237" s="434" t="s">
        <v>429</v>
      </c>
      <c r="E237" s="434" t="s">
        <v>314</v>
      </c>
    </row>
    <row r="238" spans="1:5" ht="13.15" customHeight="1" x14ac:dyDescent="0.2">
      <c r="A238" s="435" t="s">
        <v>442</v>
      </c>
      <c r="B238" s="433" t="s">
        <v>443</v>
      </c>
      <c r="C238" s="436">
        <v>9.1999999999999993</v>
      </c>
      <c r="D238" s="434" t="s">
        <v>421</v>
      </c>
      <c r="E238" s="434" t="s">
        <v>314</v>
      </c>
    </row>
    <row r="239" spans="1:5" ht="13.15" customHeight="1" x14ac:dyDescent="0.2">
      <c r="A239" s="435" t="s">
        <v>444</v>
      </c>
      <c r="B239" s="433" t="s">
        <v>370</v>
      </c>
      <c r="C239" s="436">
        <v>9.1999999999999993</v>
      </c>
      <c r="D239" s="434" t="s">
        <v>421</v>
      </c>
      <c r="E239" s="434" t="s">
        <v>314</v>
      </c>
    </row>
    <row r="240" spans="1:5" ht="13.15" customHeight="1" x14ac:dyDescent="0.2">
      <c r="A240" s="435" t="s">
        <v>445</v>
      </c>
      <c r="B240" s="433" t="s">
        <v>372</v>
      </c>
      <c r="C240" s="436">
        <v>18.5</v>
      </c>
      <c r="D240" s="434" t="s">
        <v>421</v>
      </c>
      <c r="E240" s="434" t="s">
        <v>314</v>
      </c>
    </row>
    <row r="241" spans="1:5" s="641" customFormat="1" ht="13.15" customHeight="1" x14ac:dyDescent="0.2">
      <c r="A241" s="435" t="s">
        <v>446</v>
      </c>
      <c r="B241" s="433" t="s">
        <v>447</v>
      </c>
      <c r="C241" s="650">
        <f>1/150</f>
        <v>6.6666666666666671E-3</v>
      </c>
      <c r="D241" s="434" t="s">
        <v>448</v>
      </c>
      <c r="E241" s="434" t="s">
        <v>314</v>
      </c>
    </row>
    <row r="242" spans="1:5" s="641" customFormat="1" ht="13.15" customHeight="1" x14ac:dyDescent="0.2">
      <c r="A242" s="435" t="s">
        <v>449</v>
      </c>
      <c r="B242" s="433" t="s">
        <v>450</v>
      </c>
      <c r="C242" s="650">
        <f>1/10000</f>
        <v>1E-4</v>
      </c>
      <c r="D242" s="434" t="s">
        <v>448</v>
      </c>
      <c r="E242" s="434" t="s">
        <v>314</v>
      </c>
    </row>
    <row r="243" spans="1:5" s="641" customFormat="1" ht="13.15" customHeight="1" x14ac:dyDescent="0.2">
      <c r="A243" s="435" t="s">
        <v>451</v>
      </c>
      <c r="B243" s="433" t="s">
        <v>452</v>
      </c>
      <c r="C243" s="650">
        <f>1/150</f>
        <v>6.6666666666666671E-3</v>
      </c>
      <c r="D243" s="434" t="s">
        <v>448</v>
      </c>
      <c r="E243" s="434" t="s">
        <v>314</v>
      </c>
    </row>
    <row r="244" spans="1:5" s="641" customFormat="1" ht="13.15" customHeight="1" x14ac:dyDescent="0.2">
      <c r="A244" s="435" t="s">
        <v>453</v>
      </c>
      <c r="B244" s="433" t="s">
        <v>454</v>
      </c>
      <c r="C244" s="650">
        <f>1/10000</f>
        <v>1E-4</v>
      </c>
      <c r="D244" s="434" t="s">
        <v>448</v>
      </c>
      <c r="E244" s="434" t="s">
        <v>314</v>
      </c>
    </row>
    <row r="245" spans="1:5" s="641" customFormat="1" ht="13.15" customHeight="1" x14ac:dyDescent="0.2">
      <c r="A245" s="435" t="s">
        <v>455</v>
      </c>
      <c r="B245" s="433" t="s">
        <v>456</v>
      </c>
      <c r="C245" s="650">
        <v>4.0000000000000002E-4</v>
      </c>
      <c r="D245" s="434" t="s">
        <v>448</v>
      </c>
      <c r="E245" s="434" t="s">
        <v>314</v>
      </c>
    </row>
    <row r="246" spans="1:5" s="641" customFormat="1" ht="13.15" customHeight="1" x14ac:dyDescent="0.2">
      <c r="A246" s="435" t="s">
        <v>457</v>
      </c>
      <c r="B246" s="433" t="s">
        <v>458</v>
      </c>
      <c r="C246" s="650">
        <v>1E-3</v>
      </c>
      <c r="D246" s="434" t="s">
        <v>448</v>
      </c>
      <c r="E246" s="434" t="s">
        <v>314</v>
      </c>
    </row>
    <row r="247" spans="1:5" s="641" customFormat="1" ht="13.15" customHeight="1" x14ac:dyDescent="0.2">
      <c r="A247" s="435" t="s">
        <v>459</v>
      </c>
      <c r="B247" s="464" t="s">
        <v>460</v>
      </c>
      <c r="C247" s="640">
        <f>(230*4)*12</f>
        <v>11040</v>
      </c>
      <c r="D247" s="434" t="s">
        <v>461</v>
      </c>
      <c r="E247" s="434" t="s">
        <v>93</v>
      </c>
    </row>
    <row r="248" spans="1:5" s="641" customFormat="1" ht="13.15" customHeight="1" x14ac:dyDescent="0.2">
      <c r="A248" s="435" t="s">
        <v>462</v>
      </c>
      <c r="B248" s="464" t="s">
        <v>463</v>
      </c>
      <c r="C248" s="640">
        <f>(230*1)*12</f>
        <v>2760</v>
      </c>
      <c r="D248" s="434" t="s">
        <v>461</v>
      </c>
      <c r="E248" s="434" t="s">
        <v>93</v>
      </c>
    </row>
    <row r="249" spans="1:5" s="641" customFormat="1" ht="13.15" customHeight="1" x14ac:dyDescent="0.2">
      <c r="A249" s="435" t="s">
        <v>464</v>
      </c>
      <c r="B249" s="464" t="s">
        <v>465</v>
      </c>
      <c r="C249" s="640">
        <f>(50*1)*12</f>
        <v>600</v>
      </c>
      <c r="D249" s="434" t="s">
        <v>461</v>
      </c>
      <c r="E249" s="434" t="s">
        <v>93</v>
      </c>
    </row>
    <row r="250" spans="1:5" s="641" customFormat="1" ht="13.15" customHeight="1" x14ac:dyDescent="0.2">
      <c r="A250" s="435" t="s">
        <v>466</v>
      </c>
      <c r="B250" s="464" t="s">
        <v>467</v>
      </c>
      <c r="C250" s="640">
        <f>(25*1)*12</f>
        <v>300</v>
      </c>
      <c r="D250" s="434" t="s">
        <v>461</v>
      </c>
      <c r="E250" s="434" t="s">
        <v>93</v>
      </c>
    </row>
    <row r="251" spans="1:5" s="641" customFormat="1" ht="13.15" customHeight="1" x14ac:dyDescent="0.2">
      <c r="A251" s="435" t="s">
        <v>468</v>
      </c>
      <c r="B251" s="464" t="s">
        <v>469</v>
      </c>
      <c r="C251" s="640">
        <f>(120*1)*12</f>
        <v>1440</v>
      </c>
      <c r="D251" s="434" t="s">
        <v>461</v>
      </c>
      <c r="E251" s="434" t="s">
        <v>93</v>
      </c>
    </row>
    <row r="252" spans="1:5" ht="13.15" customHeight="1" x14ac:dyDescent="0.2">
      <c r="A252" s="435" t="s">
        <v>470</v>
      </c>
      <c r="B252" s="109" t="s">
        <v>471</v>
      </c>
      <c r="C252" s="170" t="s">
        <v>4</v>
      </c>
      <c r="D252" s="169" t="s">
        <v>5</v>
      </c>
      <c r="E252" s="169" t="s">
        <v>6</v>
      </c>
    </row>
    <row r="253" spans="1:5" ht="13.15" customHeight="1" x14ac:dyDescent="0.2">
      <c r="A253" s="435" t="s">
        <v>472</v>
      </c>
      <c r="B253" s="433" t="s">
        <v>473</v>
      </c>
      <c r="C253" s="474">
        <v>50000</v>
      </c>
      <c r="D253" s="434" t="s">
        <v>474</v>
      </c>
      <c r="E253" s="434"/>
    </row>
    <row r="254" spans="1:5" ht="13.15" customHeight="1" x14ac:dyDescent="0.2">
      <c r="A254" s="435" t="s">
        <v>475</v>
      </c>
      <c r="B254" s="433" t="s">
        <v>476</v>
      </c>
      <c r="C254" s="474">
        <v>50000</v>
      </c>
      <c r="D254" s="434" t="s">
        <v>474</v>
      </c>
      <c r="E254" s="434"/>
    </row>
    <row r="255" spans="1:5" ht="13.15" customHeight="1" x14ac:dyDescent="0.2">
      <c r="A255" s="435" t="s">
        <v>477</v>
      </c>
      <c r="B255" s="433" t="s">
        <v>478</v>
      </c>
      <c r="C255" s="474">
        <v>50000</v>
      </c>
      <c r="D255" s="434" t="s">
        <v>474</v>
      </c>
      <c r="E255" s="434"/>
    </row>
    <row r="256" spans="1:5" ht="13.15" customHeight="1" x14ac:dyDescent="0.2">
      <c r="A256" s="435" t="s">
        <v>479</v>
      </c>
      <c r="B256" s="433" t="s">
        <v>480</v>
      </c>
      <c r="C256" s="474">
        <v>50000</v>
      </c>
      <c r="D256" s="434" t="s">
        <v>474</v>
      </c>
      <c r="E256" s="434"/>
    </row>
    <row r="257" spans="1:5" ht="13.15" customHeight="1" x14ac:dyDescent="0.2">
      <c r="A257" s="435" t="s">
        <v>481</v>
      </c>
      <c r="B257" s="433" t="s">
        <v>482</v>
      </c>
      <c r="C257" s="474">
        <v>35000</v>
      </c>
      <c r="D257" s="434" t="s">
        <v>474</v>
      </c>
      <c r="E257" s="434"/>
    </row>
    <row r="258" spans="1:5" ht="13.15" customHeight="1" x14ac:dyDescent="0.2">
      <c r="A258" s="435" t="s">
        <v>483</v>
      </c>
      <c r="B258" s="433" t="s">
        <v>484</v>
      </c>
      <c r="C258" s="474">
        <v>8000</v>
      </c>
      <c r="D258" s="434" t="s">
        <v>474</v>
      </c>
      <c r="E258" s="434"/>
    </row>
    <row r="259" spans="1:5" ht="13.15" customHeight="1" x14ac:dyDescent="0.2">
      <c r="A259" s="435" t="s">
        <v>485</v>
      </c>
      <c r="B259" s="433" t="s">
        <v>486</v>
      </c>
      <c r="C259" s="474">
        <v>30000</v>
      </c>
      <c r="D259" s="434" t="s">
        <v>474</v>
      </c>
      <c r="E259" s="434"/>
    </row>
    <row r="260" spans="1:5" ht="13.15" customHeight="1" x14ac:dyDescent="0.2">
      <c r="A260" s="435" t="s">
        <v>487</v>
      </c>
      <c r="B260" s="433" t="s">
        <v>488</v>
      </c>
      <c r="C260" s="474">
        <v>30000</v>
      </c>
      <c r="D260" s="434" t="s">
        <v>474</v>
      </c>
      <c r="E260" s="434"/>
    </row>
    <row r="261" spans="1:5" ht="13.15" customHeight="1" x14ac:dyDescent="0.2">
      <c r="A261" s="435" t="s">
        <v>489</v>
      </c>
      <c r="B261" s="433" t="s">
        <v>490</v>
      </c>
      <c r="C261" s="474">
        <v>15000</v>
      </c>
      <c r="D261" s="434" t="s">
        <v>474</v>
      </c>
      <c r="E261" s="434"/>
    </row>
    <row r="262" spans="1:5" ht="13.15" customHeight="1" x14ac:dyDescent="0.2">
      <c r="A262" s="435"/>
      <c r="B262" s="423" t="s">
        <v>491</v>
      </c>
      <c r="C262" s="436"/>
      <c r="D262" s="423"/>
      <c r="E262" s="434"/>
    </row>
    <row r="263" spans="1:5" ht="13.15" customHeight="1" x14ac:dyDescent="0.2">
      <c r="A263" s="9" t="s">
        <v>492</v>
      </c>
      <c r="B263" s="109" t="s">
        <v>493</v>
      </c>
      <c r="C263" s="170" t="s">
        <v>4</v>
      </c>
      <c r="D263" s="169" t="s">
        <v>5</v>
      </c>
      <c r="E263" s="169" t="s">
        <v>6</v>
      </c>
    </row>
    <row r="264" spans="1:5" ht="13.15" customHeight="1" x14ac:dyDescent="0.2">
      <c r="A264" s="435" t="s">
        <v>494</v>
      </c>
      <c r="B264" s="433" t="s">
        <v>495</v>
      </c>
      <c r="C264" s="474">
        <v>6</v>
      </c>
      <c r="D264" s="434" t="s">
        <v>313</v>
      </c>
      <c r="E264" s="434"/>
    </row>
    <row r="265" spans="1:5" s="8" customFormat="1" ht="13.15" customHeight="1" x14ac:dyDescent="0.2">
      <c r="A265" s="435" t="s">
        <v>496</v>
      </c>
      <c r="B265" s="433" t="s">
        <v>497</v>
      </c>
      <c r="C265" s="474">
        <v>6</v>
      </c>
      <c r="D265" s="434" t="s">
        <v>313</v>
      </c>
      <c r="E265" s="434"/>
    </row>
    <row r="266" spans="1:5" ht="13.15" customHeight="1" x14ac:dyDescent="0.2">
      <c r="A266" s="435" t="s">
        <v>498</v>
      </c>
      <c r="B266" s="433" t="s">
        <v>425</v>
      </c>
      <c r="C266" s="474">
        <v>6</v>
      </c>
      <c r="D266" s="434" t="s">
        <v>313</v>
      </c>
      <c r="E266" s="434"/>
    </row>
    <row r="267" spans="1:5" ht="13.15" customHeight="1" x14ac:dyDescent="0.2">
      <c r="A267" s="435" t="s">
        <v>499</v>
      </c>
      <c r="B267" s="433" t="s">
        <v>500</v>
      </c>
      <c r="C267" s="474">
        <v>6</v>
      </c>
      <c r="D267" s="434" t="s">
        <v>313</v>
      </c>
      <c r="E267" s="434"/>
    </row>
    <row r="268" spans="1:5" s="8" customFormat="1" ht="13.15" customHeight="1" x14ac:dyDescent="0.2">
      <c r="A268" s="435" t="s">
        <v>501</v>
      </c>
      <c r="B268" s="433" t="s">
        <v>502</v>
      </c>
      <c r="C268" s="474">
        <v>6</v>
      </c>
      <c r="D268" s="434" t="s">
        <v>313</v>
      </c>
      <c r="E268" s="434"/>
    </row>
    <row r="269" spans="1:5" s="8" customFormat="1" ht="13.15" customHeight="1" x14ac:dyDescent="0.2">
      <c r="A269" s="435" t="s">
        <v>503</v>
      </c>
      <c r="B269" s="433" t="s">
        <v>504</v>
      </c>
      <c r="C269" s="474">
        <v>4</v>
      </c>
      <c r="D269" s="434" t="s">
        <v>313</v>
      </c>
      <c r="E269" s="434"/>
    </row>
    <row r="270" spans="1:5" ht="13.15" customHeight="1" x14ac:dyDescent="0.2">
      <c r="A270" s="435" t="s">
        <v>505</v>
      </c>
      <c r="B270" s="433" t="s">
        <v>506</v>
      </c>
      <c r="C270" s="474">
        <v>4</v>
      </c>
      <c r="D270" s="434" t="s">
        <v>313</v>
      </c>
      <c r="E270" s="434"/>
    </row>
    <row r="271" spans="1:5" ht="13.15" customHeight="1" x14ac:dyDescent="0.2">
      <c r="A271" s="435" t="s">
        <v>507</v>
      </c>
      <c r="B271" s="464" t="s">
        <v>508</v>
      </c>
      <c r="C271" s="474">
        <v>2</v>
      </c>
      <c r="D271" s="434" t="s">
        <v>313</v>
      </c>
      <c r="E271" s="434"/>
    </row>
    <row r="272" spans="1:5" ht="13.15" customHeight="1" x14ac:dyDescent="0.2">
      <c r="A272" s="435" t="s">
        <v>509</v>
      </c>
      <c r="B272" s="464" t="s">
        <v>510</v>
      </c>
      <c r="C272" s="474">
        <v>2</v>
      </c>
      <c r="D272" s="434" t="s">
        <v>313</v>
      </c>
      <c r="E272" s="434"/>
    </row>
    <row r="273" spans="1:5" ht="13.15" customHeight="1" x14ac:dyDescent="0.2">
      <c r="A273" s="435" t="s">
        <v>511</v>
      </c>
      <c r="B273" s="433" t="s">
        <v>443</v>
      </c>
      <c r="C273" s="474">
        <v>4</v>
      </c>
      <c r="D273" s="434" t="s">
        <v>313</v>
      </c>
      <c r="E273" s="434"/>
    </row>
    <row r="274" spans="1:5" ht="13.15" customHeight="1" x14ac:dyDescent="0.2">
      <c r="A274" s="435" t="s">
        <v>512</v>
      </c>
      <c r="B274" s="433" t="s">
        <v>370</v>
      </c>
      <c r="C274" s="474">
        <v>4</v>
      </c>
      <c r="D274" s="434" t="s">
        <v>313</v>
      </c>
      <c r="E274" s="434"/>
    </row>
    <row r="275" spans="1:5" ht="13.15" customHeight="1" x14ac:dyDescent="0.2">
      <c r="A275" s="435" t="s">
        <v>513</v>
      </c>
      <c r="B275" s="433" t="s">
        <v>372</v>
      </c>
      <c r="C275" s="474">
        <v>2</v>
      </c>
      <c r="D275" s="434" t="s">
        <v>313</v>
      </c>
      <c r="E275" s="434"/>
    </row>
    <row r="276" spans="1:5" ht="13.15" customHeight="1" x14ac:dyDescent="0.2">
      <c r="A276" s="9" t="s">
        <v>514</v>
      </c>
      <c r="B276" s="109" t="s">
        <v>515</v>
      </c>
      <c r="C276" s="170" t="s">
        <v>4</v>
      </c>
      <c r="D276" s="169" t="s">
        <v>5</v>
      </c>
      <c r="E276" s="169" t="s">
        <v>6</v>
      </c>
    </row>
    <row r="277" spans="1:5" ht="13.15" customHeight="1" x14ac:dyDescent="0.2">
      <c r="A277" s="435" t="s">
        <v>516</v>
      </c>
      <c r="B277" s="433" t="s">
        <v>495</v>
      </c>
      <c r="C277" s="474">
        <f>C122*C264</f>
        <v>29352.281506043997</v>
      </c>
      <c r="D277" s="434" t="s">
        <v>75</v>
      </c>
      <c r="E277" s="434" t="s">
        <v>93</v>
      </c>
    </row>
    <row r="278" spans="1:5" s="8" customFormat="1" ht="13.15" customHeight="1" x14ac:dyDescent="0.2">
      <c r="A278" s="435" t="s">
        <v>517</v>
      </c>
      <c r="B278" s="433" t="s">
        <v>497</v>
      </c>
      <c r="C278" s="474">
        <f>C128*C265</f>
        <v>29352.281506043997</v>
      </c>
      <c r="D278" s="434" t="s">
        <v>75</v>
      </c>
      <c r="E278" s="434" t="s">
        <v>93</v>
      </c>
    </row>
    <row r="279" spans="1:5" ht="13.15" customHeight="1" x14ac:dyDescent="0.2">
      <c r="A279" s="435" t="s">
        <v>518</v>
      </c>
      <c r="B279" s="433" t="s">
        <v>425</v>
      </c>
      <c r="C279" s="474">
        <f>C134*C266</f>
        <v>29352.281506043997</v>
      </c>
      <c r="D279" s="434" t="s">
        <v>75</v>
      </c>
      <c r="E279" s="434" t="s">
        <v>93</v>
      </c>
    </row>
    <row r="280" spans="1:5" ht="13.15" customHeight="1" x14ac:dyDescent="0.2">
      <c r="A280" s="435" t="s">
        <v>519</v>
      </c>
      <c r="B280" s="433" t="s">
        <v>520</v>
      </c>
      <c r="C280" s="474">
        <f>C267*C146</f>
        <v>29352.281506043997</v>
      </c>
      <c r="D280" s="434" t="s">
        <v>75</v>
      </c>
      <c r="E280" s="434" t="s">
        <v>93</v>
      </c>
    </row>
    <row r="281" spans="1:5" s="8" customFormat="1" ht="13.15" customHeight="1" x14ac:dyDescent="0.2">
      <c r="A281" s="435" t="s">
        <v>521</v>
      </c>
      <c r="B281" s="433" t="s">
        <v>435</v>
      </c>
      <c r="C281" s="474">
        <f>C152*C268</f>
        <v>11178</v>
      </c>
      <c r="D281" s="434" t="s">
        <v>75</v>
      </c>
      <c r="E281" s="434" t="s">
        <v>93</v>
      </c>
    </row>
    <row r="282" spans="1:5" s="8" customFormat="1" ht="13.15" customHeight="1" x14ac:dyDescent="0.2">
      <c r="A282" s="435" t="s">
        <v>522</v>
      </c>
      <c r="B282" s="433" t="s">
        <v>437</v>
      </c>
      <c r="C282" s="474">
        <f>C152*C269</f>
        <v>7452</v>
      </c>
      <c r="D282" s="434" t="s">
        <v>75</v>
      </c>
      <c r="E282" s="434" t="s">
        <v>93</v>
      </c>
    </row>
    <row r="283" spans="1:5" ht="13.15" customHeight="1" x14ac:dyDescent="0.2">
      <c r="A283" s="435" t="s">
        <v>523</v>
      </c>
      <c r="B283" s="433" t="s">
        <v>524</v>
      </c>
      <c r="C283" s="474">
        <f>C158*C270</f>
        <v>5973.08</v>
      </c>
      <c r="D283" s="434" t="s">
        <v>75</v>
      </c>
      <c r="E283" s="434" t="s">
        <v>93</v>
      </c>
    </row>
    <row r="284" spans="1:5" ht="13.15" customHeight="1" x14ac:dyDescent="0.2">
      <c r="A284" s="435" t="s">
        <v>525</v>
      </c>
      <c r="B284" s="433" t="s">
        <v>526</v>
      </c>
      <c r="C284" s="474">
        <f>(C271*C164)+(C272*C167)</f>
        <v>1476.63</v>
      </c>
      <c r="D284" s="434" t="s">
        <v>75</v>
      </c>
      <c r="E284" s="434" t="s">
        <v>93</v>
      </c>
    </row>
    <row r="285" spans="1:5" ht="13.15" customHeight="1" x14ac:dyDescent="0.2">
      <c r="A285" s="435" t="s">
        <v>527</v>
      </c>
      <c r="B285" s="433" t="s">
        <v>443</v>
      </c>
      <c r="C285" s="474">
        <f>C170*C273</f>
        <v>1439.6</v>
      </c>
      <c r="D285" s="434" t="s">
        <v>75</v>
      </c>
      <c r="E285" s="434" t="s">
        <v>93</v>
      </c>
    </row>
    <row r="286" spans="1:5" ht="13.15" customHeight="1" x14ac:dyDescent="0.2">
      <c r="A286" s="435" t="s">
        <v>528</v>
      </c>
      <c r="B286" s="433" t="s">
        <v>370</v>
      </c>
      <c r="C286" s="474">
        <f>C170*C274</f>
        <v>1439.6</v>
      </c>
      <c r="D286" s="434" t="s">
        <v>75</v>
      </c>
      <c r="E286" s="434" t="s">
        <v>93</v>
      </c>
    </row>
    <row r="287" spans="1:5" ht="13.15" customHeight="1" x14ac:dyDescent="0.2">
      <c r="A287" s="435" t="s">
        <v>529</v>
      </c>
      <c r="B287" s="433" t="s">
        <v>372</v>
      </c>
      <c r="C287" s="474">
        <f>C171*C275</f>
        <v>431.09431200000006</v>
      </c>
      <c r="D287" s="434" t="s">
        <v>75</v>
      </c>
      <c r="E287" s="434" t="s">
        <v>93</v>
      </c>
    </row>
    <row r="288" spans="1:5" ht="13.15" customHeight="1" x14ac:dyDescent="0.2">
      <c r="A288" s="435" t="s">
        <v>530</v>
      </c>
      <c r="B288" s="433" t="s">
        <v>531</v>
      </c>
      <c r="C288" s="475">
        <v>0.1</v>
      </c>
      <c r="D288" s="434" t="s">
        <v>28</v>
      </c>
      <c r="E288" s="434"/>
    </row>
    <row r="289" spans="1:5" ht="13.15" customHeight="1" x14ac:dyDescent="0.2">
      <c r="A289" s="435" t="s">
        <v>532</v>
      </c>
      <c r="B289" s="433" t="s">
        <v>533</v>
      </c>
      <c r="C289" s="475">
        <v>0.12</v>
      </c>
      <c r="D289" s="434" t="s">
        <v>28</v>
      </c>
      <c r="E289" s="434"/>
    </row>
    <row r="290" spans="1:5" ht="13.15" customHeight="1" x14ac:dyDescent="0.2">
      <c r="A290" s="9" t="s">
        <v>534</v>
      </c>
      <c r="B290" s="109" t="s">
        <v>535</v>
      </c>
      <c r="C290" s="170" t="s">
        <v>4</v>
      </c>
      <c r="D290" s="169" t="s">
        <v>5</v>
      </c>
      <c r="E290" s="169" t="s">
        <v>6</v>
      </c>
    </row>
    <row r="291" spans="1:5" ht="13.15" customHeight="1" x14ac:dyDescent="0.2">
      <c r="A291" s="435" t="s">
        <v>536</v>
      </c>
      <c r="B291" s="433" t="s">
        <v>537</v>
      </c>
      <c r="C291" s="436">
        <v>2.87</v>
      </c>
      <c r="D291" s="434" t="s">
        <v>538</v>
      </c>
      <c r="E291" s="434" t="s">
        <v>314</v>
      </c>
    </row>
    <row r="292" spans="1:5" ht="13.15" customHeight="1" x14ac:dyDescent="0.2">
      <c r="A292" s="435" t="s">
        <v>539</v>
      </c>
      <c r="B292" s="433" t="s">
        <v>540</v>
      </c>
      <c r="C292" s="651">
        <v>2.5000000000000001E-4</v>
      </c>
      <c r="D292" s="434" t="s">
        <v>541</v>
      </c>
      <c r="E292" s="434" t="s">
        <v>314</v>
      </c>
    </row>
    <row r="293" spans="1:5" ht="13.15" customHeight="1" x14ac:dyDescent="0.2">
      <c r="A293" s="435" t="s">
        <v>542</v>
      </c>
      <c r="B293" s="433" t="s">
        <v>543</v>
      </c>
      <c r="C293" s="436">
        <v>50</v>
      </c>
      <c r="D293" s="434" t="s">
        <v>544</v>
      </c>
      <c r="E293" s="434" t="s">
        <v>314</v>
      </c>
    </row>
    <row r="294" spans="1:5" ht="13.15" customHeight="1" x14ac:dyDescent="0.2">
      <c r="A294" s="435" t="s">
        <v>545</v>
      </c>
      <c r="B294" s="433" t="s">
        <v>546</v>
      </c>
      <c r="C294" s="436">
        <v>50</v>
      </c>
      <c r="D294" s="434" t="s">
        <v>544</v>
      </c>
      <c r="E294" s="434" t="s">
        <v>314</v>
      </c>
    </row>
    <row r="295" spans="1:5" ht="13.15" customHeight="1" x14ac:dyDescent="0.2">
      <c r="A295" s="435" t="s">
        <v>547</v>
      </c>
      <c r="B295" s="433" t="s">
        <v>548</v>
      </c>
      <c r="C295" s="477">
        <v>0.2</v>
      </c>
      <c r="D295" s="434" t="s">
        <v>549</v>
      </c>
      <c r="E295" s="434" t="s">
        <v>314</v>
      </c>
    </row>
    <row r="296" spans="1:5" ht="13.15" customHeight="1" x14ac:dyDescent="0.2">
      <c r="A296" s="435" t="s">
        <v>550</v>
      </c>
      <c r="B296" s="433" t="s">
        <v>551</v>
      </c>
      <c r="C296" s="477">
        <v>0.2</v>
      </c>
      <c r="D296" s="434" t="s">
        <v>552</v>
      </c>
      <c r="E296" s="434" t="s">
        <v>314</v>
      </c>
    </row>
    <row r="297" spans="1:5" ht="13.15" customHeight="1" x14ac:dyDescent="0.2">
      <c r="A297" s="9" t="s">
        <v>553</v>
      </c>
      <c r="B297" s="109" t="s">
        <v>554</v>
      </c>
      <c r="C297" s="474"/>
      <c r="D297" s="434"/>
      <c r="E297" s="434"/>
    </row>
    <row r="298" spans="1:5" ht="13.15" customHeight="1" x14ac:dyDescent="0.2">
      <c r="A298" s="435" t="s">
        <v>555</v>
      </c>
      <c r="B298" s="433" t="s">
        <v>556</v>
      </c>
      <c r="C298" s="474">
        <v>1</v>
      </c>
      <c r="D298" s="434" t="s">
        <v>557</v>
      </c>
      <c r="E298" s="434" t="s">
        <v>314</v>
      </c>
    </row>
    <row r="299" spans="1:5" ht="13.15" customHeight="1" x14ac:dyDescent="0.2">
      <c r="A299" s="435" t="s">
        <v>558</v>
      </c>
      <c r="B299" s="433" t="s">
        <v>145</v>
      </c>
      <c r="C299" s="474">
        <v>1</v>
      </c>
      <c r="D299" s="434" t="s">
        <v>557</v>
      </c>
      <c r="E299" s="434" t="s">
        <v>314</v>
      </c>
    </row>
    <row r="300" spans="1:5" ht="13.15" customHeight="1" x14ac:dyDescent="0.2">
      <c r="A300" s="435" t="s">
        <v>559</v>
      </c>
      <c r="B300" s="433" t="s">
        <v>560</v>
      </c>
      <c r="C300" s="474">
        <v>1</v>
      </c>
      <c r="D300" s="434" t="s">
        <v>557</v>
      </c>
      <c r="E300" s="434" t="s">
        <v>314</v>
      </c>
    </row>
    <row r="301" spans="1:5" ht="13.15" customHeight="1" x14ac:dyDescent="0.2">
      <c r="A301" s="435" t="s">
        <v>561</v>
      </c>
      <c r="B301" s="433" t="s">
        <v>149</v>
      </c>
      <c r="C301" s="474">
        <v>8</v>
      </c>
      <c r="D301" s="434" t="s">
        <v>313</v>
      </c>
      <c r="E301" s="434" t="s">
        <v>314</v>
      </c>
    </row>
    <row r="302" spans="1:5" ht="13.15" customHeight="1" x14ac:dyDescent="0.2">
      <c r="A302" s="435" t="s">
        <v>562</v>
      </c>
      <c r="B302" s="433" t="s">
        <v>563</v>
      </c>
      <c r="C302" s="474">
        <v>2</v>
      </c>
      <c r="D302" s="434" t="s">
        <v>313</v>
      </c>
      <c r="E302" s="434" t="s">
        <v>314</v>
      </c>
    </row>
    <row r="303" spans="1:5" ht="13.15" customHeight="1" x14ac:dyDescent="0.2">
      <c r="A303" s="435" t="s">
        <v>564</v>
      </c>
      <c r="B303" s="433" t="s">
        <v>565</v>
      </c>
      <c r="C303" s="474">
        <v>1</v>
      </c>
      <c r="D303" s="434" t="s">
        <v>557</v>
      </c>
      <c r="E303" s="434" t="s">
        <v>314</v>
      </c>
    </row>
    <row r="304" spans="1:5" ht="13.15" customHeight="1" x14ac:dyDescent="0.2">
      <c r="A304" s="435" t="s">
        <v>566</v>
      </c>
      <c r="B304" s="433" t="s">
        <v>567</v>
      </c>
      <c r="C304" s="474">
        <v>2</v>
      </c>
      <c r="D304" s="434" t="s">
        <v>313</v>
      </c>
      <c r="E304" s="434" t="s">
        <v>314</v>
      </c>
    </row>
    <row r="305" spans="1:5" ht="13.15" customHeight="1" x14ac:dyDescent="0.2">
      <c r="A305" s="435" t="s">
        <v>568</v>
      </c>
      <c r="B305" s="433" t="s">
        <v>569</v>
      </c>
      <c r="C305" s="474">
        <v>3</v>
      </c>
      <c r="D305" s="434" t="s">
        <v>570</v>
      </c>
      <c r="E305" s="434" t="s">
        <v>314</v>
      </c>
    </row>
    <row r="306" spans="1:5" ht="13.15" customHeight="1" x14ac:dyDescent="0.2">
      <c r="A306" s="435" t="s">
        <v>571</v>
      </c>
      <c r="B306" s="433" t="s">
        <v>572</v>
      </c>
      <c r="C306" s="474">
        <v>35</v>
      </c>
      <c r="D306" s="434" t="s">
        <v>573</v>
      </c>
      <c r="E306" s="434" t="s">
        <v>314</v>
      </c>
    </row>
    <row r="307" spans="1:5" ht="13.15" customHeight="1" x14ac:dyDescent="0.2">
      <c r="A307" s="435" t="s">
        <v>574</v>
      </c>
      <c r="B307" s="433" t="s">
        <v>575</v>
      </c>
      <c r="C307" s="474">
        <v>1</v>
      </c>
      <c r="D307" s="434" t="s">
        <v>576</v>
      </c>
      <c r="E307" s="434" t="s">
        <v>314</v>
      </c>
    </row>
    <row r="308" spans="1:5" ht="13.15" customHeight="1" x14ac:dyDescent="0.2">
      <c r="A308" s="9" t="s">
        <v>577</v>
      </c>
      <c r="B308" s="109" t="s">
        <v>578</v>
      </c>
      <c r="C308" s="474"/>
      <c r="D308" s="434"/>
      <c r="E308" s="434"/>
    </row>
    <row r="309" spans="1:5" ht="13.15" customHeight="1" x14ac:dyDescent="0.2">
      <c r="A309" s="435" t="s">
        <v>579</v>
      </c>
      <c r="B309" s="433" t="s">
        <v>580</v>
      </c>
      <c r="C309" s="474">
        <v>1</v>
      </c>
      <c r="D309" s="434" t="s">
        <v>557</v>
      </c>
      <c r="E309" s="434" t="s">
        <v>314</v>
      </c>
    </row>
    <row r="310" spans="1:5" ht="13.15" customHeight="1" x14ac:dyDescent="0.2">
      <c r="A310" s="435" t="s">
        <v>581</v>
      </c>
      <c r="B310" s="433" t="s">
        <v>582</v>
      </c>
      <c r="C310" s="474">
        <v>1</v>
      </c>
      <c r="D310" s="434" t="s">
        <v>557</v>
      </c>
      <c r="E310" s="434" t="s">
        <v>314</v>
      </c>
    </row>
    <row r="311" spans="1:5" ht="13.15" customHeight="1" x14ac:dyDescent="0.2">
      <c r="A311" s="435" t="s">
        <v>583</v>
      </c>
      <c r="B311" s="433" t="s">
        <v>584</v>
      </c>
      <c r="C311" s="474">
        <v>1</v>
      </c>
      <c r="D311" s="434" t="s">
        <v>557</v>
      </c>
      <c r="E311" s="434" t="s">
        <v>314</v>
      </c>
    </row>
    <row r="312" spans="1:5" ht="13.15" customHeight="1" x14ac:dyDescent="0.2">
      <c r="A312" s="435" t="s">
        <v>585</v>
      </c>
      <c r="B312" s="433" t="s">
        <v>141</v>
      </c>
      <c r="C312" s="474">
        <v>1</v>
      </c>
      <c r="D312" s="434" t="s">
        <v>557</v>
      </c>
      <c r="E312" s="434" t="s">
        <v>314</v>
      </c>
    </row>
    <row r="313" spans="1:5" ht="13.15" customHeight="1" x14ac:dyDescent="0.2">
      <c r="A313" s="435" t="s">
        <v>586</v>
      </c>
      <c r="B313" s="433" t="s">
        <v>149</v>
      </c>
      <c r="C313" s="474">
        <v>15</v>
      </c>
      <c r="D313" s="434" t="s">
        <v>313</v>
      </c>
      <c r="E313" s="434" t="s">
        <v>314</v>
      </c>
    </row>
    <row r="314" spans="1:5" ht="13.15" customHeight="1" x14ac:dyDescent="0.2">
      <c r="A314" s="435" t="s">
        <v>587</v>
      </c>
      <c r="B314" s="433" t="s">
        <v>151</v>
      </c>
      <c r="C314" s="474">
        <v>2</v>
      </c>
      <c r="D314" s="434" t="s">
        <v>313</v>
      </c>
      <c r="E314" s="434" t="s">
        <v>314</v>
      </c>
    </row>
    <row r="315" spans="1:5" ht="13.15" customHeight="1" x14ac:dyDescent="0.2">
      <c r="A315" s="435" t="s">
        <v>588</v>
      </c>
      <c r="B315" s="433" t="s">
        <v>589</v>
      </c>
      <c r="C315" s="474">
        <v>3</v>
      </c>
      <c r="D315" s="434" t="s">
        <v>570</v>
      </c>
      <c r="E315" s="434" t="s">
        <v>314</v>
      </c>
    </row>
    <row r="316" spans="1:5" ht="13.15" customHeight="1" x14ac:dyDescent="0.2">
      <c r="A316" s="435" t="s">
        <v>590</v>
      </c>
      <c r="B316" s="433" t="s">
        <v>572</v>
      </c>
      <c r="C316" s="474">
        <v>17</v>
      </c>
      <c r="D316" s="434" t="s">
        <v>573</v>
      </c>
      <c r="E316" s="434" t="s">
        <v>314</v>
      </c>
    </row>
    <row r="317" spans="1:5" ht="13.15" customHeight="1" x14ac:dyDescent="0.2">
      <c r="A317" s="435" t="s">
        <v>591</v>
      </c>
      <c r="B317" s="433" t="s">
        <v>575</v>
      </c>
      <c r="C317" s="474">
        <v>1</v>
      </c>
      <c r="D317" s="434" t="s">
        <v>576</v>
      </c>
      <c r="E317" s="434" t="s">
        <v>314</v>
      </c>
    </row>
    <row r="318" spans="1:5" ht="13.15" customHeight="1" x14ac:dyDescent="0.2">
      <c r="A318" s="9" t="s">
        <v>592</v>
      </c>
      <c r="B318" s="109" t="s">
        <v>593</v>
      </c>
      <c r="C318" s="474"/>
      <c r="D318" s="434"/>
      <c r="E318" s="434"/>
    </row>
    <row r="319" spans="1:5" ht="13.15" customHeight="1" x14ac:dyDescent="0.2">
      <c r="A319" s="435" t="s">
        <v>594</v>
      </c>
      <c r="B319" s="433" t="s">
        <v>595</v>
      </c>
      <c r="C319" s="474">
        <v>1</v>
      </c>
      <c r="D319" s="434" t="s">
        <v>557</v>
      </c>
      <c r="E319" s="434" t="s">
        <v>314</v>
      </c>
    </row>
    <row r="320" spans="1:5" ht="13.15" customHeight="1" x14ac:dyDescent="0.2">
      <c r="A320" s="435" t="s">
        <v>596</v>
      </c>
      <c r="B320" s="433" t="s">
        <v>597</v>
      </c>
      <c r="C320" s="474">
        <v>1</v>
      </c>
      <c r="D320" s="434" t="s">
        <v>557</v>
      </c>
      <c r="E320" s="434" t="s">
        <v>314</v>
      </c>
    </row>
    <row r="321" spans="1:5" ht="13.15" customHeight="1" x14ac:dyDescent="0.2">
      <c r="A321" s="435" t="s">
        <v>598</v>
      </c>
      <c r="B321" s="433" t="s">
        <v>599</v>
      </c>
      <c r="C321" s="474">
        <v>1</v>
      </c>
      <c r="D321" s="434" t="s">
        <v>557</v>
      </c>
      <c r="E321" s="434" t="s">
        <v>314</v>
      </c>
    </row>
    <row r="322" spans="1:5" ht="13.15" customHeight="1" x14ac:dyDescent="0.2">
      <c r="A322" s="435" t="s">
        <v>600</v>
      </c>
      <c r="B322" s="433" t="s">
        <v>601</v>
      </c>
      <c r="C322" s="474">
        <v>1</v>
      </c>
      <c r="D322" s="434" t="s">
        <v>557</v>
      </c>
      <c r="E322" s="434" t="s">
        <v>314</v>
      </c>
    </row>
    <row r="323" spans="1:5" ht="13.15" customHeight="1" x14ac:dyDescent="0.2">
      <c r="A323" s="435" t="s">
        <v>602</v>
      </c>
      <c r="B323" s="433" t="s">
        <v>603</v>
      </c>
      <c r="C323" s="474">
        <v>2</v>
      </c>
      <c r="D323" s="434" t="s">
        <v>313</v>
      </c>
      <c r="E323" s="434" t="s">
        <v>314</v>
      </c>
    </row>
    <row r="324" spans="1:5" ht="13.15" customHeight="1" x14ac:dyDescent="0.2">
      <c r="A324" s="435" t="s">
        <v>604</v>
      </c>
      <c r="B324" s="433" t="s">
        <v>605</v>
      </c>
      <c r="C324" s="474">
        <v>2</v>
      </c>
      <c r="D324" s="434" t="s">
        <v>313</v>
      </c>
      <c r="E324" s="434" t="s">
        <v>314</v>
      </c>
    </row>
    <row r="325" spans="1:5" ht="13.15" customHeight="1" x14ac:dyDescent="0.2">
      <c r="A325" s="435" t="s">
        <v>606</v>
      </c>
      <c r="B325" s="433" t="s">
        <v>589</v>
      </c>
      <c r="C325" s="474">
        <v>1</v>
      </c>
      <c r="D325" s="434" t="s">
        <v>557</v>
      </c>
      <c r="E325" s="434" t="s">
        <v>314</v>
      </c>
    </row>
    <row r="326" spans="1:5" ht="13.15" customHeight="1" x14ac:dyDescent="0.2">
      <c r="A326" s="435" t="s">
        <v>607</v>
      </c>
      <c r="B326" s="433" t="s">
        <v>572</v>
      </c>
      <c r="C326" s="474">
        <v>8</v>
      </c>
      <c r="D326" s="434" t="s">
        <v>573</v>
      </c>
      <c r="E326" s="434" t="s">
        <v>314</v>
      </c>
    </row>
    <row r="327" spans="1:5" ht="13.15" customHeight="1" x14ac:dyDescent="0.2">
      <c r="A327" s="435" t="s">
        <v>608</v>
      </c>
      <c r="B327" s="433" t="s">
        <v>575</v>
      </c>
      <c r="C327" s="474">
        <v>1</v>
      </c>
      <c r="D327" s="434" t="s">
        <v>576</v>
      </c>
      <c r="E327" s="434" t="s">
        <v>314</v>
      </c>
    </row>
    <row r="328" spans="1:5" ht="13.15" customHeight="1" x14ac:dyDescent="0.2">
      <c r="A328" s="403"/>
      <c r="B328" s="403"/>
      <c r="C328" s="473"/>
      <c r="D328" s="403"/>
      <c r="E328" s="434"/>
    </row>
    <row r="329" spans="1:5" ht="13.15" customHeight="1" x14ac:dyDescent="0.2">
      <c r="A329" s="169">
        <v>9</v>
      </c>
      <c r="B329" s="163" t="s">
        <v>609</v>
      </c>
      <c r="C329" s="478"/>
      <c r="D329" s="652"/>
      <c r="E329" s="434"/>
    </row>
    <row r="330" spans="1:5" ht="13.15" customHeight="1" x14ac:dyDescent="0.2">
      <c r="A330" s="434" t="s">
        <v>610</v>
      </c>
      <c r="B330" s="423" t="s">
        <v>611</v>
      </c>
      <c r="C330" s="485">
        <v>4</v>
      </c>
      <c r="D330" s="652" t="s">
        <v>313</v>
      </c>
      <c r="E330" s="434" t="s">
        <v>314</v>
      </c>
    </row>
    <row r="331" spans="1:5" ht="13.15" customHeight="1" x14ac:dyDescent="0.2">
      <c r="A331" s="434" t="s">
        <v>612</v>
      </c>
      <c r="B331" s="423" t="s">
        <v>613</v>
      </c>
      <c r="C331" s="485">
        <v>4</v>
      </c>
      <c r="D331" s="652" t="s">
        <v>313</v>
      </c>
      <c r="E331" s="434" t="s">
        <v>314</v>
      </c>
    </row>
    <row r="332" spans="1:5" ht="13.15" customHeight="1" x14ac:dyDescent="0.2">
      <c r="A332" s="434" t="s">
        <v>614</v>
      </c>
      <c r="B332" s="423" t="s">
        <v>615</v>
      </c>
      <c r="C332" s="485">
        <v>1</v>
      </c>
      <c r="D332" s="652" t="s">
        <v>557</v>
      </c>
      <c r="E332" s="434" t="s">
        <v>314</v>
      </c>
    </row>
    <row r="333" spans="1:5" ht="13.15" customHeight="1" x14ac:dyDescent="0.2">
      <c r="A333" s="434" t="s">
        <v>616</v>
      </c>
      <c r="B333" s="423" t="s">
        <v>617</v>
      </c>
      <c r="C333" s="485">
        <v>3</v>
      </c>
      <c r="D333" s="652" t="s">
        <v>313</v>
      </c>
      <c r="E333" s="434" t="s">
        <v>314</v>
      </c>
    </row>
    <row r="334" spans="1:5" ht="13.15" customHeight="1" x14ac:dyDescent="0.2">
      <c r="A334" s="434" t="s">
        <v>618</v>
      </c>
      <c r="B334" s="423" t="s">
        <v>619</v>
      </c>
      <c r="C334" s="485">
        <v>800</v>
      </c>
      <c r="D334" s="652" t="s">
        <v>313</v>
      </c>
      <c r="E334" s="434" t="s">
        <v>314</v>
      </c>
    </row>
    <row r="335" spans="1:5" ht="13.15" customHeight="1" x14ac:dyDescent="0.2">
      <c r="A335" s="434" t="s">
        <v>620</v>
      </c>
      <c r="B335" s="423" t="s">
        <v>621</v>
      </c>
      <c r="C335" s="485">
        <v>500</v>
      </c>
      <c r="D335" s="652" t="s">
        <v>313</v>
      </c>
      <c r="E335" s="434" t="s">
        <v>314</v>
      </c>
    </row>
    <row r="336" spans="1:5" ht="13.15" customHeight="1" x14ac:dyDescent="0.2">
      <c r="A336" s="434" t="s">
        <v>622</v>
      </c>
      <c r="B336" s="423" t="s">
        <v>623</v>
      </c>
      <c r="C336" s="485">
        <v>500</v>
      </c>
      <c r="D336" s="652" t="s">
        <v>313</v>
      </c>
      <c r="E336" s="434" t="s">
        <v>314</v>
      </c>
    </row>
    <row r="337" spans="1:5" ht="13.15" customHeight="1" x14ac:dyDescent="0.2">
      <c r="A337" s="434" t="s">
        <v>624</v>
      </c>
      <c r="B337" s="423" t="s">
        <v>625</v>
      </c>
      <c r="C337" s="485">
        <v>129</v>
      </c>
      <c r="D337" s="652" t="s">
        <v>626</v>
      </c>
      <c r="E337" s="434" t="s">
        <v>314</v>
      </c>
    </row>
    <row r="338" spans="1:5" ht="13.15" customHeight="1" x14ac:dyDescent="0.2">
      <c r="A338" s="434" t="s">
        <v>627</v>
      </c>
      <c r="B338" s="423" t="s">
        <v>628</v>
      </c>
      <c r="C338" s="485">
        <v>1</v>
      </c>
      <c r="D338" s="652" t="s">
        <v>557</v>
      </c>
      <c r="E338" s="434" t="s">
        <v>314</v>
      </c>
    </row>
    <row r="339" spans="1:5" ht="13.15" customHeight="1" x14ac:dyDescent="0.2">
      <c r="A339" s="434" t="s">
        <v>629</v>
      </c>
      <c r="B339" s="423" t="s">
        <v>630</v>
      </c>
      <c r="C339" s="485">
        <v>1</v>
      </c>
      <c r="D339" s="652" t="s">
        <v>557</v>
      </c>
      <c r="E339" s="434" t="s">
        <v>314</v>
      </c>
    </row>
    <row r="340" spans="1:5" ht="13.15" customHeight="1" x14ac:dyDescent="0.2">
      <c r="A340" s="434" t="s">
        <v>631</v>
      </c>
      <c r="B340" s="423" t="s">
        <v>632</v>
      </c>
      <c r="C340" s="485">
        <v>1</v>
      </c>
      <c r="D340" s="652" t="s">
        <v>557</v>
      </c>
      <c r="E340" s="434" t="s">
        <v>314</v>
      </c>
    </row>
    <row r="341" spans="1:5" ht="13.15" customHeight="1" x14ac:dyDescent="0.2">
      <c r="A341" s="434" t="s">
        <v>633</v>
      </c>
      <c r="B341" s="423" t="s">
        <v>634</v>
      </c>
      <c r="C341" s="485">
        <v>5</v>
      </c>
      <c r="D341" s="652" t="s">
        <v>635</v>
      </c>
      <c r="E341" s="434" t="s">
        <v>314</v>
      </c>
    </row>
    <row r="342" spans="1:5" ht="13.15" customHeight="1" x14ac:dyDescent="0.2">
      <c r="A342" s="434"/>
      <c r="B342" s="423"/>
      <c r="C342" s="485"/>
      <c r="D342" s="652"/>
      <c r="E342" s="434"/>
    </row>
    <row r="343" spans="1:5" ht="13.15" customHeight="1" x14ac:dyDescent="0.2">
      <c r="A343" s="169">
        <v>10</v>
      </c>
      <c r="B343" s="163" t="s">
        <v>636</v>
      </c>
      <c r="C343" s="478"/>
      <c r="D343" s="652"/>
      <c r="E343" s="434"/>
    </row>
    <row r="344" spans="1:5" ht="13.15" customHeight="1" x14ac:dyDescent="0.2">
      <c r="A344" s="434" t="s">
        <v>637</v>
      </c>
      <c r="B344" s="423" t="s">
        <v>638</v>
      </c>
      <c r="C344" s="485">
        <v>1</v>
      </c>
      <c r="D344" s="652" t="s">
        <v>557</v>
      </c>
      <c r="E344" s="434" t="s">
        <v>314</v>
      </c>
    </row>
    <row r="345" spans="1:5" ht="13.15" customHeight="1" x14ac:dyDescent="0.2">
      <c r="A345" s="434" t="s">
        <v>639</v>
      </c>
      <c r="B345" s="423" t="s">
        <v>640</v>
      </c>
      <c r="C345" s="485">
        <v>1</v>
      </c>
      <c r="D345" s="434" t="s">
        <v>557</v>
      </c>
      <c r="E345" s="434" t="s">
        <v>314</v>
      </c>
    </row>
    <row r="346" spans="1:5" ht="13.15" customHeight="1" x14ac:dyDescent="0.2">
      <c r="A346" s="434" t="s">
        <v>641</v>
      </c>
      <c r="B346" s="423" t="s">
        <v>642</v>
      </c>
      <c r="C346" s="485">
        <f>C344</f>
        <v>1</v>
      </c>
      <c r="D346" s="434" t="s">
        <v>557</v>
      </c>
      <c r="E346" s="434" t="s">
        <v>314</v>
      </c>
    </row>
    <row r="347" spans="1:5" ht="13.15" customHeight="1" x14ac:dyDescent="0.2">
      <c r="A347" s="434"/>
      <c r="B347" s="514"/>
      <c r="C347" s="595"/>
      <c r="D347" s="547"/>
      <c r="E347" s="547"/>
    </row>
    <row r="348" spans="1:5" ht="13.15" customHeight="1" x14ac:dyDescent="0.2">
      <c r="A348" s="169">
        <v>11</v>
      </c>
      <c r="B348" s="163" t="s">
        <v>643</v>
      </c>
      <c r="C348" s="170" t="s">
        <v>4</v>
      </c>
      <c r="D348" s="169" t="s">
        <v>5</v>
      </c>
      <c r="E348" s="169" t="s">
        <v>6</v>
      </c>
    </row>
    <row r="349" spans="1:5" ht="13.15" customHeight="1" x14ac:dyDescent="0.2">
      <c r="A349" s="434" t="s">
        <v>644</v>
      </c>
      <c r="B349" s="423" t="s">
        <v>643</v>
      </c>
      <c r="C349" s="485">
        <v>200</v>
      </c>
      <c r="D349" s="434" t="s">
        <v>645</v>
      </c>
      <c r="E349" s="434" t="s">
        <v>314</v>
      </c>
    </row>
    <row r="350" spans="1:5" ht="13.15" customHeight="1" x14ac:dyDescent="0.2">
      <c r="A350" s="434"/>
      <c r="B350" s="423"/>
      <c r="C350" s="485"/>
      <c r="D350" s="434"/>
      <c r="E350" s="434"/>
    </row>
    <row r="351" spans="1:5" ht="13.15" customHeight="1" x14ac:dyDescent="0.2">
      <c r="A351" s="169">
        <v>12</v>
      </c>
      <c r="B351" s="163" t="s">
        <v>646</v>
      </c>
      <c r="C351" s="170" t="s">
        <v>4</v>
      </c>
      <c r="D351" s="169" t="s">
        <v>5</v>
      </c>
      <c r="E351" s="169" t="s">
        <v>6</v>
      </c>
    </row>
    <row r="352" spans="1:5" ht="13.15" customHeight="1" x14ac:dyDescent="0.2">
      <c r="A352" s="434" t="s">
        <v>647</v>
      </c>
      <c r="B352" s="423" t="s">
        <v>648</v>
      </c>
      <c r="C352" s="436">
        <v>0.08</v>
      </c>
      <c r="D352" s="434" t="s">
        <v>649</v>
      </c>
      <c r="E352" s="434"/>
    </row>
    <row r="353" spans="1:5" ht="13.15" customHeight="1" x14ac:dyDescent="0.2">
      <c r="A353" s="434" t="s">
        <v>650</v>
      </c>
      <c r="B353" s="423" t="s">
        <v>651</v>
      </c>
      <c r="C353" s="436">
        <v>270</v>
      </c>
      <c r="D353" s="434" t="s">
        <v>652</v>
      </c>
      <c r="E353" s="434" t="s">
        <v>653</v>
      </c>
    </row>
    <row r="354" spans="1:5" ht="13.15" customHeight="1" x14ac:dyDescent="0.2">
      <c r="A354" s="434" t="s">
        <v>654</v>
      </c>
      <c r="B354" s="423" t="s">
        <v>655</v>
      </c>
      <c r="C354" s="424">
        <v>0.6</v>
      </c>
      <c r="D354" s="434" t="s">
        <v>656</v>
      </c>
      <c r="E354" s="434" t="s">
        <v>93</v>
      </c>
    </row>
    <row r="355" spans="1:5" ht="13.15" customHeight="1" x14ac:dyDescent="0.2">
      <c r="A355" s="403"/>
      <c r="B355" s="403"/>
      <c r="C355" s="473"/>
      <c r="D355" s="403"/>
      <c r="E355" s="411" t="s">
        <v>657</v>
      </c>
    </row>
    <row r="356" spans="1:5" ht="13.15" customHeight="1" x14ac:dyDescent="0.2">
      <c r="A356" s="169">
        <v>13</v>
      </c>
      <c r="B356" s="163" t="s">
        <v>658</v>
      </c>
      <c r="C356" s="170" t="s">
        <v>4</v>
      </c>
      <c r="D356" s="169" t="s">
        <v>5</v>
      </c>
      <c r="E356" s="169" t="s">
        <v>6</v>
      </c>
    </row>
    <row r="357" spans="1:5" ht="13.15" customHeight="1" x14ac:dyDescent="0.2">
      <c r="A357" s="434" t="s">
        <v>659</v>
      </c>
      <c r="B357" s="423" t="s">
        <v>660</v>
      </c>
      <c r="C357" s="160">
        <v>25.07</v>
      </c>
      <c r="D357" s="434" t="s">
        <v>661</v>
      </c>
      <c r="E357" s="434"/>
    </row>
    <row r="358" spans="1:5" ht="13.15" customHeight="1" x14ac:dyDescent="0.2">
      <c r="A358" s="434" t="s">
        <v>662</v>
      </c>
      <c r="B358" s="423" t="s">
        <v>663</v>
      </c>
      <c r="C358" s="436">
        <v>1.9996011168727563</v>
      </c>
      <c r="D358" s="434" t="s">
        <v>664</v>
      </c>
      <c r="E358" s="434" t="s">
        <v>665</v>
      </c>
    </row>
    <row r="359" spans="1:5" ht="13.15" customHeight="1" x14ac:dyDescent="0.2">
      <c r="A359" s="434" t="s">
        <v>666</v>
      </c>
      <c r="B359" s="423" t="s">
        <v>667</v>
      </c>
      <c r="C359" s="436">
        <v>1</v>
      </c>
      <c r="D359" s="434" t="s">
        <v>664</v>
      </c>
      <c r="E359" s="434" t="s">
        <v>665</v>
      </c>
    </row>
    <row r="360" spans="1:5" ht="13.15" customHeight="1" x14ac:dyDescent="0.2">
      <c r="A360" s="434" t="s">
        <v>668</v>
      </c>
      <c r="B360" s="423" t="s">
        <v>669</v>
      </c>
      <c r="C360" s="436">
        <v>0.89349820502592736</v>
      </c>
      <c r="D360" s="434" t="s">
        <v>664</v>
      </c>
      <c r="E360" s="434" t="s">
        <v>665</v>
      </c>
    </row>
    <row r="361" spans="1:5" ht="13.15" customHeight="1" x14ac:dyDescent="0.2">
      <c r="A361" s="434" t="s">
        <v>670</v>
      </c>
      <c r="B361" s="423" t="s">
        <v>671</v>
      </c>
      <c r="C361" s="436">
        <v>2.1069006781013164</v>
      </c>
      <c r="D361" s="434" t="s">
        <v>664</v>
      </c>
      <c r="E361" s="434" t="s">
        <v>665</v>
      </c>
    </row>
    <row r="362" spans="1:5" ht="13.15" customHeight="1" x14ac:dyDescent="0.2">
      <c r="A362" s="434" t="s">
        <v>672</v>
      </c>
      <c r="B362" s="423" t="s">
        <v>673</v>
      </c>
      <c r="C362" s="436">
        <v>1.0534503390506582</v>
      </c>
      <c r="D362" s="434" t="s">
        <v>664</v>
      </c>
      <c r="E362" s="434" t="s">
        <v>665</v>
      </c>
    </row>
    <row r="363" spans="1:5" ht="13.15" customHeight="1" x14ac:dyDescent="0.2">
      <c r="A363" s="434" t="s">
        <v>674</v>
      </c>
      <c r="B363" s="423" t="s">
        <v>675</v>
      </c>
      <c r="C363" s="436">
        <v>0.94176306342241722</v>
      </c>
      <c r="D363" s="434" t="s">
        <v>664</v>
      </c>
      <c r="E363" s="434" t="s">
        <v>665</v>
      </c>
    </row>
    <row r="364" spans="1:5" ht="13.15" customHeight="1" x14ac:dyDescent="0.2">
      <c r="A364" s="434" t="s">
        <v>676</v>
      </c>
      <c r="B364" s="423" t="s">
        <v>677</v>
      </c>
      <c r="C364" s="436">
        <v>1.9461507778220981</v>
      </c>
      <c r="D364" s="434" t="s">
        <v>664</v>
      </c>
      <c r="E364" s="434" t="s">
        <v>665</v>
      </c>
    </row>
    <row r="365" spans="1:5" ht="13.15" customHeight="1" x14ac:dyDescent="0.2">
      <c r="A365" s="434" t="s">
        <v>678</v>
      </c>
      <c r="B365" s="423" t="s">
        <v>679</v>
      </c>
      <c r="C365" s="436">
        <v>0.97287594734742722</v>
      </c>
      <c r="D365" s="434" t="s">
        <v>664</v>
      </c>
      <c r="E365" s="434" t="s">
        <v>665</v>
      </c>
    </row>
    <row r="366" spans="1:5" ht="13.15" customHeight="1" x14ac:dyDescent="0.2">
      <c r="A366" s="434" t="s">
        <v>680</v>
      </c>
      <c r="B366" s="423" t="s">
        <v>681</v>
      </c>
      <c r="C366" s="436">
        <v>0.869964100518548</v>
      </c>
      <c r="D366" s="434" t="s">
        <v>664</v>
      </c>
      <c r="E366" s="434" t="s">
        <v>665</v>
      </c>
    </row>
    <row r="367" spans="1:5" ht="13.15" customHeight="1" x14ac:dyDescent="0.2">
      <c r="A367" s="434" t="s">
        <v>682</v>
      </c>
      <c r="B367" s="423" t="s">
        <v>683</v>
      </c>
      <c r="C367" s="436">
        <f>C358/2</f>
        <v>0.99980055843637816</v>
      </c>
      <c r="D367" s="434" t="s">
        <v>664</v>
      </c>
      <c r="E367" s="434" t="s">
        <v>665</v>
      </c>
    </row>
    <row r="368" spans="1:5" ht="13.15" customHeight="1" x14ac:dyDescent="0.2">
      <c r="A368" s="434" t="s">
        <v>684</v>
      </c>
      <c r="B368" s="423" t="s">
        <v>685</v>
      </c>
      <c r="C368" s="436">
        <f>C359/2</f>
        <v>0.5</v>
      </c>
      <c r="D368" s="434" t="s">
        <v>664</v>
      </c>
      <c r="E368" s="434" t="s">
        <v>665</v>
      </c>
    </row>
    <row r="369" spans="1:5" ht="13.15" customHeight="1" x14ac:dyDescent="0.2">
      <c r="A369" s="434" t="s">
        <v>686</v>
      </c>
      <c r="B369" s="423" t="s">
        <v>687</v>
      </c>
      <c r="C369" s="436">
        <f>C360/2</f>
        <v>0.44674910251296368</v>
      </c>
      <c r="D369" s="434" t="s">
        <v>664</v>
      </c>
      <c r="E369" s="434" t="s">
        <v>665</v>
      </c>
    </row>
    <row r="371" spans="1:5" ht="13.15" customHeight="1" x14ac:dyDescent="0.2">
      <c r="A371" s="169">
        <v>14</v>
      </c>
      <c r="B371" s="163" t="s">
        <v>688</v>
      </c>
      <c r="C371" s="170" t="s">
        <v>4</v>
      </c>
      <c r="D371" s="169" t="s">
        <v>5</v>
      </c>
      <c r="E371" s="169" t="s">
        <v>6</v>
      </c>
    </row>
    <row r="372" spans="1:5" ht="13.15" customHeight="1" x14ac:dyDescent="0.2">
      <c r="A372" s="434" t="s">
        <v>689</v>
      </c>
      <c r="B372" s="423" t="s">
        <v>690</v>
      </c>
      <c r="C372" s="436">
        <v>120000</v>
      </c>
      <c r="D372" s="434" t="s">
        <v>75</v>
      </c>
      <c r="E372" s="434" t="s">
        <v>691</v>
      </c>
    </row>
    <row r="373" spans="1:5" ht="13.15" customHeight="1" x14ac:dyDescent="0.2">
      <c r="A373" s="434" t="s">
        <v>692</v>
      </c>
      <c r="B373" s="423" t="s">
        <v>693</v>
      </c>
      <c r="C373" s="436">
        <v>36000</v>
      </c>
      <c r="D373" s="434" t="s">
        <v>75</v>
      </c>
      <c r="E373" s="434" t="s">
        <v>691</v>
      </c>
    </row>
    <row r="374" spans="1:5" ht="13.15" customHeight="1" x14ac:dyDescent="0.2">
      <c r="A374" s="403"/>
      <c r="B374" s="403"/>
      <c r="C374" s="473"/>
      <c r="D374" s="484"/>
      <c r="E374" s="411"/>
    </row>
    <row r="375" spans="1:5" ht="13.15" customHeight="1" x14ac:dyDescent="0.2">
      <c r="A375" s="423"/>
      <c r="B375" s="423" t="s">
        <v>694</v>
      </c>
      <c r="C375" s="474">
        <v>1</v>
      </c>
      <c r="D375" s="423"/>
      <c r="E375" s="434"/>
    </row>
    <row r="376" spans="1:5" ht="13.15" customHeight="1" x14ac:dyDescent="0.2">
      <c r="A376" s="423"/>
      <c r="B376" s="423" t="s">
        <v>695</v>
      </c>
      <c r="C376" s="395">
        <f>'18 - Tarifa - RSU'!K30</f>
        <v>0.24829999999999999</v>
      </c>
      <c r="D376" s="486"/>
      <c r="E376" s="424">
        <f>'18 - Tarifa - RSU'!K28</f>
        <v>25.07</v>
      </c>
    </row>
    <row r="377" spans="1:5" ht="13.15" customHeight="1" x14ac:dyDescent="0.2">
      <c r="A377" s="423"/>
      <c r="B377" s="423" t="s">
        <v>696</v>
      </c>
      <c r="C377" s="159">
        <v>0</v>
      </c>
      <c r="D377" s="486" t="s">
        <v>697</v>
      </c>
      <c r="E377" s="424">
        <f>E376*(1+C376)</f>
        <v>31.294881</v>
      </c>
    </row>
    <row r="378" spans="1:5" ht="13.15" customHeight="1" x14ac:dyDescent="0.2">
      <c r="A378" s="423"/>
      <c r="B378" s="423" t="s">
        <v>698</v>
      </c>
      <c r="C378" s="159">
        <v>0</v>
      </c>
      <c r="D378" s="486"/>
      <c r="E378" s="434"/>
    </row>
    <row r="379" spans="1:5" ht="13.15" customHeight="1" x14ac:dyDescent="0.2">
      <c r="A379" s="423"/>
      <c r="B379" s="423" t="s">
        <v>699</v>
      </c>
      <c r="C379" s="159">
        <f>'32 - VPL e TIR'!C5</f>
        <v>9.2790132245242463E-2</v>
      </c>
      <c r="D379" s="423"/>
      <c r="E379" s="487">
        <f>'33 - WACC'!C25</f>
        <v>9.53682E-2</v>
      </c>
    </row>
  </sheetData>
  <phoneticPr fontId="8" type="noConversion"/>
  <pageMargins left="0.23622047244094491" right="0.23622047244094491" top="0.98425196850393704" bottom="0.98425196850393704" header="0.31496062992125984" footer="0.31496062992125984"/>
  <pageSetup paperSize="9" scale="62" fitToHeight="0" orientation="portrait" r:id="rId1"/>
  <cellWatches>
    <cellWatch r="C35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AJ47"/>
  <sheetViews>
    <sheetView showGridLines="0" topLeftCell="D1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15.7109375" customWidth="1"/>
    <col min="2" max="2" width="14.42578125" style="1" customWidth="1"/>
    <col min="3" max="4" width="13.7109375" customWidth="1"/>
    <col min="5" max="5" width="15.42578125" customWidth="1"/>
    <col min="6" max="6" width="12.42578125" bestFit="1" customWidth="1"/>
    <col min="7" max="31" width="11.7109375" bestFit="1" customWidth="1"/>
    <col min="32" max="36" width="12.5703125" bestFit="1" customWidth="1"/>
    <col min="37" max="37" width="11.7109375" bestFit="1" customWidth="1"/>
    <col min="38" max="39" width="12.5703125" bestFit="1" customWidth="1"/>
  </cols>
  <sheetData>
    <row r="1" spans="1:7" ht="13.15" customHeight="1" x14ac:dyDescent="0.2">
      <c r="A1" s="8" t="s">
        <v>0</v>
      </c>
      <c r="B1" s="8"/>
      <c r="C1" s="6"/>
    </row>
    <row r="2" spans="1:7" ht="13.15" customHeight="1" x14ac:dyDescent="0.2">
      <c r="A2" s="8" t="s">
        <v>1</v>
      </c>
      <c r="B2" s="8"/>
      <c r="C2" s="6"/>
    </row>
    <row r="3" spans="1:7" ht="13.15" customHeight="1" x14ac:dyDescent="0.2">
      <c r="A3" s="8" t="s">
        <v>700</v>
      </c>
      <c r="B3" s="8"/>
      <c r="C3" s="6"/>
    </row>
    <row r="4" spans="1:7" ht="13.15" customHeight="1" x14ac:dyDescent="0.2">
      <c r="D4" s="121"/>
    </row>
    <row r="5" spans="1:7" ht="13.15" customHeight="1" x14ac:dyDescent="0.2">
      <c r="A5" s="655" t="s">
        <v>701</v>
      </c>
      <c r="B5" s="655"/>
      <c r="C5" s="656" t="s">
        <v>702</v>
      </c>
      <c r="D5" s="656"/>
      <c r="E5" s="656"/>
    </row>
    <row r="6" spans="1:7" ht="25.5" customHeight="1" x14ac:dyDescent="0.2">
      <c r="A6" s="655"/>
      <c r="B6" s="655"/>
      <c r="C6" s="2" t="s">
        <v>703</v>
      </c>
      <c r="D6" s="2" t="s">
        <v>704</v>
      </c>
      <c r="E6" s="2" t="s">
        <v>705</v>
      </c>
    </row>
    <row r="7" spans="1:7" ht="13.15" customHeight="1" x14ac:dyDescent="0.2">
      <c r="A7" s="441">
        <v>0</v>
      </c>
      <c r="B7" s="441">
        <v>2024</v>
      </c>
      <c r="C7" s="282">
        <v>175232</v>
      </c>
      <c r="D7" s="282">
        <v>12388</v>
      </c>
      <c r="E7" s="282">
        <f t="shared" ref="E7" si="0">C7+D7</f>
        <v>187620</v>
      </c>
    </row>
    <row r="8" spans="1:7" ht="13.15" customHeight="1" x14ac:dyDescent="0.2">
      <c r="A8" s="10">
        <v>1</v>
      </c>
      <c r="B8" s="10">
        <v>2025</v>
      </c>
      <c r="C8" s="440">
        <v>177599</v>
      </c>
      <c r="D8" s="150">
        <v>12501</v>
      </c>
      <c r="E8" s="440">
        <f t="shared" ref="E8:E42" si="1">C8+D8</f>
        <v>190100</v>
      </c>
      <c r="F8" s="115">
        <f>(E8-E7)/E7</f>
        <v>1.3218207014177592E-2</v>
      </c>
      <c r="G8" s="61"/>
    </row>
    <row r="9" spans="1:7" ht="13.15" customHeight="1" x14ac:dyDescent="0.2">
      <c r="A9" s="10">
        <v>2</v>
      </c>
      <c r="B9" s="10">
        <v>2026</v>
      </c>
      <c r="C9" s="440">
        <v>178979</v>
      </c>
      <c r="D9" s="150">
        <v>12564</v>
      </c>
      <c r="E9" s="440">
        <f t="shared" si="1"/>
        <v>191543</v>
      </c>
      <c r="F9" s="115">
        <f t="shared" ref="F9:F42" si="2">(E9-E8)/E8</f>
        <v>7.5907417148869012E-3</v>
      </c>
      <c r="G9" s="115"/>
    </row>
    <row r="10" spans="1:7" ht="13.15" customHeight="1" x14ac:dyDescent="0.2">
      <c r="A10" s="10">
        <v>3</v>
      </c>
      <c r="B10" s="10">
        <v>2027</v>
      </c>
      <c r="C10" s="440">
        <v>180359</v>
      </c>
      <c r="D10" s="150">
        <v>12627</v>
      </c>
      <c r="E10" s="440">
        <f t="shared" si="1"/>
        <v>192986</v>
      </c>
      <c r="F10" s="115">
        <f t="shared" si="2"/>
        <v>7.5335564338033754E-3</v>
      </c>
      <c r="G10" s="601"/>
    </row>
    <row r="11" spans="1:7" ht="13.15" customHeight="1" x14ac:dyDescent="0.2">
      <c r="A11" s="10">
        <v>4</v>
      </c>
      <c r="B11" s="10">
        <v>2028</v>
      </c>
      <c r="C11" s="440">
        <v>181738</v>
      </c>
      <c r="D11" s="150">
        <v>12691</v>
      </c>
      <c r="E11" s="440">
        <f t="shared" si="1"/>
        <v>194429</v>
      </c>
      <c r="F11" s="115">
        <f t="shared" si="2"/>
        <v>7.4772263272983534E-3</v>
      </c>
    </row>
    <row r="12" spans="1:7" ht="13.15" customHeight="1" x14ac:dyDescent="0.2">
      <c r="A12" s="10">
        <v>5</v>
      </c>
      <c r="B12" s="10">
        <v>2029</v>
      </c>
      <c r="C12" s="440">
        <v>183118</v>
      </c>
      <c r="D12" s="150">
        <v>12754</v>
      </c>
      <c r="E12" s="440">
        <f t="shared" si="1"/>
        <v>195872</v>
      </c>
      <c r="F12" s="115">
        <f t="shared" si="2"/>
        <v>7.4217323547413191E-3</v>
      </c>
    </row>
    <row r="13" spans="1:7" ht="13.15" customHeight="1" x14ac:dyDescent="0.2">
      <c r="A13" s="10">
        <v>6</v>
      </c>
      <c r="B13" s="10">
        <v>2030</v>
      </c>
      <c r="C13" s="440">
        <v>184498</v>
      </c>
      <c r="D13" s="150">
        <v>12817</v>
      </c>
      <c r="E13" s="440">
        <f t="shared" si="1"/>
        <v>197315</v>
      </c>
      <c r="F13" s="115">
        <f t="shared" si="2"/>
        <v>7.3670560365953278E-3</v>
      </c>
    </row>
    <row r="14" spans="1:7" ht="13.15" customHeight="1" x14ac:dyDescent="0.2">
      <c r="A14" s="10">
        <v>7</v>
      </c>
      <c r="B14" s="10">
        <v>2031</v>
      </c>
      <c r="C14" s="440">
        <v>185338</v>
      </c>
      <c r="D14" s="150">
        <v>12853</v>
      </c>
      <c r="E14" s="440">
        <f t="shared" si="1"/>
        <v>198191</v>
      </c>
      <c r="F14" s="115">
        <f t="shared" si="2"/>
        <v>4.4396016521805236E-3</v>
      </c>
    </row>
    <row r="15" spans="1:7" ht="13.15" customHeight="1" x14ac:dyDescent="0.2">
      <c r="A15" s="10">
        <v>8</v>
      </c>
      <c r="B15" s="10">
        <v>2032</v>
      </c>
      <c r="C15" s="440">
        <v>186178</v>
      </c>
      <c r="D15" s="150">
        <v>12889</v>
      </c>
      <c r="E15" s="440">
        <f t="shared" si="1"/>
        <v>199067</v>
      </c>
      <c r="F15" s="115">
        <f t="shared" si="2"/>
        <v>4.41997870740851E-3</v>
      </c>
    </row>
    <row r="16" spans="1:7" ht="13.15" customHeight="1" x14ac:dyDescent="0.2">
      <c r="A16" s="10">
        <v>9</v>
      </c>
      <c r="B16" s="10">
        <v>2033</v>
      </c>
      <c r="C16" s="440">
        <v>187018</v>
      </c>
      <c r="D16" s="150">
        <v>12924</v>
      </c>
      <c r="E16" s="440">
        <f t="shared" si="1"/>
        <v>199942</v>
      </c>
      <c r="F16" s="115">
        <f t="shared" si="2"/>
        <v>4.3955050309694727E-3</v>
      </c>
    </row>
    <row r="17" spans="1:6" ht="13.15" customHeight="1" x14ac:dyDescent="0.2">
      <c r="A17" s="10">
        <v>10</v>
      </c>
      <c r="B17" s="10">
        <v>2034</v>
      </c>
      <c r="C17" s="440">
        <v>187857</v>
      </c>
      <c r="D17" s="150">
        <v>12961</v>
      </c>
      <c r="E17" s="440">
        <f t="shared" si="1"/>
        <v>200818</v>
      </c>
      <c r="F17" s="115">
        <f t="shared" si="2"/>
        <v>4.3812705684648547E-3</v>
      </c>
    </row>
    <row r="18" spans="1:6" ht="13.15" customHeight="1" x14ac:dyDescent="0.2">
      <c r="A18" s="10">
        <v>11</v>
      </c>
      <c r="B18" s="10">
        <v>2035</v>
      </c>
      <c r="C18" s="440">
        <v>188697</v>
      </c>
      <c r="D18" s="150">
        <v>12997</v>
      </c>
      <c r="E18" s="440">
        <f t="shared" si="1"/>
        <v>201694</v>
      </c>
      <c r="F18" s="115">
        <f t="shared" si="2"/>
        <v>4.3621587706281313E-3</v>
      </c>
    </row>
    <row r="19" spans="1:6" ht="13.15" customHeight="1" x14ac:dyDescent="0.2">
      <c r="A19" s="10">
        <v>12</v>
      </c>
      <c r="B19" s="10">
        <v>2036</v>
      </c>
      <c r="C19" s="440">
        <v>189151</v>
      </c>
      <c r="D19" s="150">
        <v>13014</v>
      </c>
      <c r="E19" s="440">
        <f t="shared" si="1"/>
        <v>202165</v>
      </c>
      <c r="F19" s="115">
        <f t="shared" si="2"/>
        <v>2.3352206808333418E-3</v>
      </c>
    </row>
    <row r="20" spans="1:6" ht="13.15" customHeight="1" x14ac:dyDescent="0.2">
      <c r="A20" s="10">
        <v>13</v>
      </c>
      <c r="B20" s="10">
        <v>2037</v>
      </c>
      <c r="C20" s="440">
        <v>189605</v>
      </c>
      <c r="D20" s="150">
        <v>13031</v>
      </c>
      <c r="E20" s="440">
        <f t="shared" si="1"/>
        <v>202636</v>
      </c>
      <c r="F20" s="115">
        <f t="shared" si="2"/>
        <v>2.3297801300917569E-3</v>
      </c>
    </row>
    <row r="21" spans="1:6" ht="13.15" customHeight="1" x14ac:dyDescent="0.2">
      <c r="A21" s="10">
        <v>14</v>
      </c>
      <c r="B21" s="10">
        <v>2038</v>
      </c>
      <c r="C21" s="440">
        <v>190058</v>
      </c>
      <c r="D21" s="150">
        <v>13049</v>
      </c>
      <c r="E21" s="440">
        <f t="shared" si="1"/>
        <v>203107</v>
      </c>
      <c r="F21" s="115">
        <f t="shared" si="2"/>
        <v>2.324364871000217E-3</v>
      </c>
    </row>
    <row r="22" spans="1:6" ht="13.15" customHeight="1" x14ac:dyDescent="0.2">
      <c r="A22" s="10">
        <v>15</v>
      </c>
      <c r="B22" s="10">
        <v>2039</v>
      </c>
      <c r="C22" s="440">
        <v>190512</v>
      </c>
      <c r="D22" s="150">
        <v>13066</v>
      </c>
      <c r="E22" s="440">
        <f t="shared" si="1"/>
        <v>203578</v>
      </c>
      <c r="F22" s="115">
        <f t="shared" si="2"/>
        <v>2.3189747276066309E-3</v>
      </c>
    </row>
    <row r="23" spans="1:6" ht="13.15" customHeight="1" x14ac:dyDescent="0.2">
      <c r="A23" s="10">
        <v>16</v>
      </c>
      <c r="B23" s="10">
        <v>2040</v>
      </c>
      <c r="C23" s="440">
        <v>190966</v>
      </c>
      <c r="D23" s="150">
        <v>13083</v>
      </c>
      <c r="E23" s="440">
        <f t="shared" si="1"/>
        <v>204049</v>
      </c>
      <c r="F23" s="115">
        <f t="shared" si="2"/>
        <v>2.3136095255872442E-3</v>
      </c>
    </row>
    <row r="24" spans="1:6" ht="13.15" customHeight="1" x14ac:dyDescent="0.2">
      <c r="A24" s="10">
        <v>17</v>
      </c>
      <c r="B24" s="10">
        <v>2041</v>
      </c>
      <c r="C24" s="440">
        <v>191007</v>
      </c>
      <c r="D24" s="150">
        <v>13081</v>
      </c>
      <c r="E24" s="440">
        <f t="shared" si="1"/>
        <v>204088</v>
      </c>
      <c r="F24" s="115">
        <f t="shared" si="2"/>
        <v>1.9113056177682812E-4</v>
      </c>
    </row>
    <row r="25" spans="1:6" ht="13.15" customHeight="1" x14ac:dyDescent="0.2">
      <c r="A25" s="10">
        <v>18</v>
      </c>
      <c r="B25" s="10">
        <v>2042</v>
      </c>
      <c r="C25" s="440">
        <v>191048</v>
      </c>
      <c r="D25" s="150">
        <v>13080</v>
      </c>
      <c r="E25" s="440">
        <f t="shared" si="1"/>
        <v>204128</v>
      </c>
      <c r="F25" s="115">
        <f t="shared" si="2"/>
        <v>1.959938849907883E-4</v>
      </c>
    </row>
    <row r="26" spans="1:6" ht="13.15" customHeight="1" x14ac:dyDescent="0.2">
      <c r="A26" s="10">
        <v>19</v>
      </c>
      <c r="B26" s="10">
        <v>2043</v>
      </c>
      <c r="C26" s="440">
        <v>191089</v>
      </c>
      <c r="D26" s="150">
        <v>13078</v>
      </c>
      <c r="E26" s="440">
        <f t="shared" si="1"/>
        <v>204167</v>
      </c>
      <c r="F26" s="115">
        <f t="shared" si="2"/>
        <v>1.910565919423107E-4</v>
      </c>
    </row>
    <row r="27" spans="1:6" ht="13.15" customHeight="1" x14ac:dyDescent="0.2">
      <c r="A27" s="10">
        <v>20</v>
      </c>
      <c r="B27" s="10">
        <v>2044</v>
      </c>
      <c r="C27" s="440">
        <v>191130</v>
      </c>
      <c r="D27" s="150">
        <v>13076</v>
      </c>
      <c r="E27" s="440">
        <f t="shared" si="1"/>
        <v>204206</v>
      </c>
      <c r="F27" s="115">
        <f t="shared" si="2"/>
        <v>1.9102009629372034E-4</v>
      </c>
    </row>
    <row r="28" spans="1:6" ht="13.15" customHeight="1" x14ac:dyDescent="0.2">
      <c r="A28" s="10">
        <v>21</v>
      </c>
      <c r="B28" s="10">
        <v>2045</v>
      </c>
      <c r="C28" s="440">
        <v>191172</v>
      </c>
      <c r="D28" s="150">
        <v>13074</v>
      </c>
      <c r="E28" s="440">
        <f t="shared" si="1"/>
        <v>204246</v>
      </c>
      <c r="F28" s="115">
        <f t="shared" si="2"/>
        <v>1.9588063034386844E-4</v>
      </c>
    </row>
    <row r="29" spans="1:6" ht="13.15" customHeight="1" x14ac:dyDescent="0.2">
      <c r="A29" s="10">
        <v>22</v>
      </c>
      <c r="B29" s="10">
        <v>2046</v>
      </c>
      <c r="C29" s="440">
        <v>190857</v>
      </c>
      <c r="D29" s="150">
        <v>13056</v>
      </c>
      <c r="E29" s="440">
        <f t="shared" si="1"/>
        <v>203913</v>
      </c>
      <c r="F29" s="115">
        <f t="shared" si="2"/>
        <v>-1.630386886401692E-3</v>
      </c>
    </row>
    <row r="30" spans="1:6" ht="13.15" customHeight="1" x14ac:dyDescent="0.2">
      <c r="A30" s="10">
        <v>23</v>
      </c>
      <c r="B30" s="10">
        <v>2047</v>
      </c>
      <c r="C30" s="440">
        <v>190542</v>
      </c>
      <c r="D30" s="150">
        <v>13038</v>
      </c>
      <c r="E30" s="440">
        <f t="shared" si="1"/>
        <v>203580</v>
      </c>
      <c r="F30" s="115">
        <f t="shared" si="2"/>
        <v>-1.633049388709891E-3</v>
      </c>
    </row>
    <row r="31" spans="1:6" ht="13.15" customHeight="1" x14ac:dyDescent="0.2">
      <c r="A31" s="10">
        <v>24</v>
      </c>
      <c r="B31" s="10">
        <v>2048</v>
      </c>
      <c r="C31" s="440">
        <v>190227</v>
      </c>
      <c r="D31" s="150">
        <v>13020</v>
      </c>
      <c r="E31" s="440">
        <f t="shared" si="1"/>
        <v>203247</v>
      </c>
      <c r="F31" s="115">
        <f t="shared" si="2"/>
        <v>-1.6357206012378425E-3</v>
      </c>
    </row>
    <row r="32" spans="1:6" ht="13.15" customHeight="1" x14ac:dyDescent="0.2">
      <c r="A32" s="10">
        <v>25</v>
      </c>
      <c r="B32" s="10">
        <v>2049</v>
      </c>
      <c r="C32" s="440">
        <v>189912</v>
      </c>
      <c r="D32" s="150">
        <v>13001</v>
      </c>
      <c r="E32" s="440">
        <f t="shared" si="1"/>
        <v>202913</v>
      </c>
      <c r="F32" s="115">
        <f t="shared" si="2"/>
        <v>-1.6433206886202502E-3</v>
      </c>
    </row>
    <row r="33" spans="1:36" ht="13.15" customHeight="1" x14ac:dyDescent="0.2">
      <c r="A33" s="10">
        <v>26</v>
      </c>
      <c r="B33" s="10">
        <v>2050</v>
      </c>
      <c r="C33" s="440">
        <v>189597</v>
      </c>
      <c r="D33" s="150">
        <v>12983</v>
      </c>
      <c r="E33" s="440">
        <f t="shared" si="1"/>
        <v>202580</v>
      </c>
      <c r="F33" s="115">
        <f t="shared" si="2"/>
        <v>-1.6410974161340081E-3</v>
      </c>
      <c r="G33" s="61"/>
      <c r="I33" s="61"/>
      <c r="K33" s="61"/>
      <c r="L33" s="61"/>
      <c r="M33" s="437"/>
    </row>
    <row r="34" spans="1:36" ht="13.15" customHeight="1" x14ac:dyDescent="0.2">
      <c r="A34" s="10">
        <v>27</v>
      </c>
      <c r="B34" s="10">
        <v>2051</v>
      </c>
      <c r="C34" s="440">
        <v>188936</v>
      </c>
      <c r="D34" s="150">
        <v>12948</v>
      </c>
      <c r="E34" s="440">
        <f t="shared" si="1"/>
        <v>201884</v>
      </c>
      <c r="F34" s="115">
        <f t="shared" si="2"/>
        <v>-3.4356797314641129E-3</v>
      </c>
      <c r="G34" s="61"/>
      <c r="I34" s="61"/>
      <c r="K34" s="61"/>
      <c r="L34" s="61"/>
      <c r="M34" s="437"/>
    </row>
    <row r="35" spans="1:36" ht="13.15" customHeight="1" x14ac:dyDescent="0.2">
      <c r="A35" s="10">
        <v>28</v>
      </c>
      <c r="B35" s="10">
        <v>2052</v>
      </c>
      <c r="C35" s="440">
        <v>188274</v>
      </c>
      <c r="D35" s="150">
        <v>12914</v>
      </c>
      <c r="E35" s="440">
        <f t="shared" si="1"/>
        <v>201188</v>
      </c>
      <c r="F35" s="115">
        <f t="shared" si="2"/>
        <v>-3.4475243208971487E-3</v>
      </c>
      <c r="G35" s="61"/>
      <c r="I35" s="61"/>
      <c r="K35" s="61"/>
      <c r="L35" s="61"/>
      <c r="M35" s="437"/>
    </row>
    <row r="36" spans="1:36" ht="13.15" customHeight="1" x14ac:dyDescent="0.2">
      <c r="A36" s="10">
        <v>29</v>
      </c>
      <c r="B36" s="10">
        <v>2053</v>
      </c>
      <c r="C36" s="440">
        <v>187612</v>
      </c>
      <c r="D36" s="150">
        <v>12880</v>
      </c>
      <c r="E36" s="440">
        <f t="shared" si="1"/>
        <v>200492</v>
      </c>
      <c r="F36" s="115">
        <f t="shared" si="2"/>
        <v>-3.4594508618804301E-3</v>
      </c>
      <c r="G36" s="61"/>
      <c r="I36" s="61"/>
      <c r="K36" s="61"/>
      <c r="L36" s="61"/>
      <c r="M36" s="437"/>
    </row>
    <row r="37" spans="1:36" ht="13.15" customHeight="1" x14ac:dyDescent="0.2">
      <c r="A37" s="10">
        <v>30</v>
      </c>
      <c r="B37" s="10">
        <v>2054</v>
      </c>
      <c r="C37" s="440">
        <v>186951</v>
      </c>
      <c r="D37" s="150">
        <v>12846</v>
      </c>
      <c r="E37" s="440">
        <f t="shared" si="1"/>
        <v>199797</v>
      </c>
      <c r="F37" s="115">
        <f t="shared" si="2"/>
        <v>-3.4664724777048461E-3</v>
      </c>
      <c r="G37" s="61"/>
      <c r="I37" s="61"/>
      <c r="K37" s="61"/>
      <c r="L37" s="61"/>
      <c r="M37" s="437"/>
    </row>
    <row r="38" spans="1:36" ht="13.15" customHeight="1" x14ac:dyDescent="0.2">
      <c r="A38" s="10">
        <v>31</v>
      </c>
      <c r="B38" s="10">
        <v>2055</v>
      </c>
      <c r="C38" s="440">
        <v>186289</v>
      </c>
      <c r="D38" s="150">
        <v>12812</v>
      </c>
      <c r="E38" s="440">
        <f t="shared" si="1"/>
        <v>199101</v>
      </c>
      <c r="F38" s="115">
        <f t="shared" si="2"/>
        <v>-3.4835357888256578E-3</v>
      </c>
      <c r="G38" s="61"/>
      <c r="I38" s="61"/>
      <c r="K38" s="61"/>
      <c r="L38" s="61"/>
      <c r="M38" s="437"/>
    </row>
    <row r="39" spans="1:36" ht="13.15" customHeight="1" x14ac:dyDescent="0.2">
      <c r="A39" s="10">
        <v>32</v>
      </c>
      <c r="B39" s="10">
        <v>2056</v>
      </c>
      <c r="C39" s="440">
        <v>185202</v>
      </c>
      <c r="D39" s="150">
        <v>12758</v>
      </c>
      <c r="E39" s="440">
        <f t="shared" si="1"/>
        <v>197960</v>
      </c>
      <c r="F39" s="115">
        <f t="shared" si="2"/>
        <v>-5.730759765144324E-3</v>
      </c>
      <c r="G39" s="61"/>
      <c r="I39" s="61"/>
      <c r="K39" s="61"/>
      <c r="L39" s="61"/>
      <c r="M39" s="437"/>
    </row>
    <row r="40" spans="1:36" ht="13.15" customHeight="1" x14ac:dyDescent="0.2">
      <c r="A40" s="10">
        <v>33</v>
      </c>
      <c r="B40" s="10">
        <v>2057</v>
      </c>
      <c r="C40" s="440">
        <v>184116</v>
      </c>
      <c r="D40" s="150">
        <v>12704</v>
      </c>
      <c r="E40" s="440">
        <f t="shared" si="1"/>
        <v>196820</v>
      </c>
      <c r="F40" s="115">
        <f t="shared" si="2"/>
        <v>-5.758739139220044E-3</v>
      </c>
      <c r="G40" s="61"/>
      <c r="I40" s="61"/>
      <c r="K40" s="61"/>
      <c r="L40" s="61"/>
      <c r="M40" s="437"/>
    </row>
    <row r="41" spans="1:36" ht="13.15" customHeight="1" x14ac:dyDescent="0.2">
      <c r="A41" s="10">
        <v>34</v>
      </c>
      <c r="B41" s="10">
        <v>2058</v>
      </c>
      <c r="C41" s="440">
        <v>183029</v>
      </c>
      <c r="D41" s="150">
        <v>12650</v>
      </c>
      <c r="E41" s="440">
        <f t="shared" si="1"/>
        <v>195679</v>
      </c>
      <c r="F41" s="115">
        <f t="shared" si="2"/>
        <v>-5.797175083832944E-3</v>
      </c>
      <c r="G41" s="61"/>
      <c r="I41" s="61"/>
      <c r="K41" s="61"/>
      <c r="L41" s="61"/>
      <c r="M41" s="437"/>
    </row>
    <row r="42" spans="1:36" ht="13.15" customHeight="1" x14ac:dyDescent="0.2">
      <c r="A42" s="10">
        <v>35</v>
      </c>
      <c r="B42" s="10">
        <v>2059</v>
      </c>
      <c r="C42" s="440">
        <v>181943</v>
      </c>
      <c r="D42" s="150">
        <v>12597</v>
      </c>
      <c r="E42" s="440">
        <f t="shared" si="1"/>
        <v>194540</v>
      </c>
      <c r="F42" s="115">
        <f t="shared" si="2"/>
        <v>-5.8207574650320166E-3</v>
      </c>
      <c r="G42" s="61"/>
      <c r="I42" s="61"/>
      <c r="K42" s="61"/>
      <c r="L42" s="61"/>
      <c r="M42" s="437"/>
    </row>
    <row r="43" spans="1:36" ht="13.15" customHeight="1" x14ac:dyDescent="0.2">
      <c r="C43" s="61"/>
      <c r="D43" s="61"/>
      <c r="E43" s="61"/>
    </row>
    <row r="44" spans="1:36" ht="13.15" customHeight="1" x14ac:dyDescent="0.2">
      <c r="C44" s="438"/>
      <c r="D44" s="438"/>
      <c r="E44" s="61"/>
    </row>
    <row r="45" spans="1:36" ht="13.15" customHeight="1" x14ac:dyDescent="0.2">
      <c r="A45" t="s">
        <v>706</v>
      </c>
      <c r="C45" s="439"/>
      <c r="D45" s="439"/>
      <c r="E45" s="439"/>
    </row>
    <row r="46" spans="1:36" ht="13.15" customHeight="1" x14ac:dyDescent="0.2">
      <c r="A46" t="s">
        <v>707</v>
      </c>
      <c r="B46" s="411" t="s">
        <v>708</v>
      </c>
      <c r="C46" s="411" t="s">
        <v>709</v>
      </c>
      <c r="D46" s="411" t="s">
        <v>710</v>
      </c>
      <c r="E46" s="411" t="s">
        <v>711</v>
      </c>
      <c r="F46" s="411" t="s">
        <v>712</v>
      </c>
      <c r="G46" s="411" t="s">
        <v>713</v>
      </c>
      <c r="H46" s="411" t="s">
        <v>714</v>
      </c>
      <c r="I46" s="411" t="s">
        <v>715</v>
      </c>
      <c r="J46" s="411" t="s">
        <v>716</v>
      </c>
      <c r="K46" s="411" t="s">
        <v>717</v>
      </c>
      <c r="L46" s="411" t="s">
        <v>718</v>
      </c>
      <c r="M46" s="411" t="s">
        <v>719</v>
      </c>
      <c r="N46" s="411" t="s">
        <v>720</v>
      </c>
      <c r="O46" s="411" t="s">
        <v>721</v>
      </c>
      <c r="P46" s="411" t="s">
        <v>722</v>
      </c>
      <c r="Q46" s="411" t="s">
        <v>723</v>
      </c>
      <c r="R46" s="411" t="s">
        <v>724</v>
      </c>
      <c r="S46" s="411" t="s">
        <v>725</v>
      </c>
      <c r="T46" s="411" t="s">
        <v>726</v>
      </c>
      <c r="U46" s="411" t="s">
        <v>727</v>
      </c>
      <c r="V46" s="411" t="s">
        <v>728</v>
      </c>
      <c r="W46" s="411" t="s">
        <v>729</v>
      </c>
      <c r="X46" s="411" t="s">
        <v>730</v>
      </c>
      <c r="Y46" s="411" t="s">
        <v>731</v>
      </c>
      <c r="Z46" s="411" t="s">
        <v>732</v>
      </c>
      <c r="AA46" s="411" t="s">
        <v>733</v>
      </c>
      <c r="AB46" s="411" t="s">
        <v>734</v>
      </c>
      <c r="AC46" s="411" t="s">
        <v>735</v>
      </c>
      <c r="AD46" s="411" t="s">
        <v>736</v>
      </c>
      <c r="AE46" s="411" t="s">
        <v>737</v>
      </c>
      <c r="AF46" s="411" t="s">
        <v>738</v>
      </c>
      <c r="AG46" s="411" t="s">
        <v>739</v>
      </c>
      <c r="AH46" s="411" t="s">
        <v>740</v>
      </c>
      <c r="AI46" s="411" t="s">
        <v>741</v>
      </c>
      <c r="AJ46" s="411" t="s">
        <v>742</v>
      </c>
    </row>
    <row r="47" spans="1:36" s="33" customFormat="1" ht="13.15" customHeight="1" x14ac:dyDescent="0.2">
      <c r="A47" s="488">
        <f>E7</f>
        <v>187620</v>
      </c>
      <c r="B47" s="489">
        <f>E8</f>
        <v>190100</v>
      </c>
      <c r="C47" s="488">
        <f>E9</f>
        <v>191543</v>
      </c>
      <c r="D47" s="488">
        <f>E10</f>
        <v>192986</v>
      </c>
      <c r="E47" s="488">
        <f>E11</f>
        <v>194429</v>
      </c>
      <c r="F47" s="488">
        <f>E12</f>
        <v>195872</v>
      </c>
      <c r="G47" s="488">
        <f>E13</f>
        <v>197315</v>
      </c>
      <c r="H47" s="488">
        <f>E14</f>
        <v>198191</v>
      </c>
      <c r="I47" s="488">
        <f>E15</f>
        <v>199067</v>
      </c>
      <c r="J47" s="488">
        <f>E16</f>
        <v>199942</v>
      </c>
      <c r="K47" s="488">
        <f>E17</f>
        <v>200818</v>
      </c>
      <c r="L47" s="488">
        <f>E18</f>
        <v>201694</v>
      </c>
      <c r="M47" s="488">
        <f>E19</f>
        <v>202165</v>
      </c>
      <c r="N47" s="488">
        <f>E20</f>
        <v>202636</v>
      </c>
      <c r="O47" s="488">
        <f>E21</f>
        <v>203107</v>
      </c>
      <c r="P47" s="488">
        <f>E22</f>
        <v>203578</v>
      </c>
      <c r="Q47" s="488">
        <f>E23</f>
        <v>204049</v>
      </c>
      <c r="R47" s="488">
        <f>E24</f>
        <v>204088</v>
      </c>
      <c r="S47" s="488">
        <f>E25</f>
        <v>204128</v>
      </c>
      <c r="T47" s="488">
        <f>E26</f>
        <v>204167</v>
      </c>
      <c r="U47" s="488">
        <f>E27</f>
        <v>204206</v>
      </c>
      <c r="V47" s="488">
        <f>E28</f>
        <v>204246</v>
      </c>
      <c r="W47" s="488">
        <f>E29</f>
        <v>203913</v>
      </c>
      <c r="X47" s="488">
        <f>E30</f>
        <v>203580</v>
      </c>
      <c r="Y47" s="488">
        <f>E31</f>
        <v>203247</v>
      </c>
      <c r="Z47" s="488">
        <f>E32</f>
        <v>202913</v>
      </c>
      <c r="AA47" s="488">
        <f>E33</f>
        <v>202580</v>
      </c>
      <c r="AB47" s="488">
        <f>E34</f>
        <v>201884</v>
      </c>
      <c r="AC47" s="488">
        <f>E35</f>
        <v>201188</v>
      </c>
      <c r="AD47" s="488">
        <f>E36</f>
        <v>200492</v>
      </c>
      <c r="AE47" s="488">
        <f>E37</f>
        <v>199797</v>
      </c>
      <c r="AF47" s="122">
        <v>199796.53630205011</v>
      </c>
      <c r="AG47" s="122">
        <v>199100.57533940609</v>
      </c>
      <c r="AH47" s="122">
        <v>197960.20443116242</v>
      </c>
      <c r="AI47" s="122">
        <v>196819.83352291875</v>
      </c>
      <c r="AJ47" s="122">
        <v>195679.46261467514</v>
      </c>
    </row>
  </sheetData>
  <mergeCells count="2">
    <mergeCell ref="A5:B6"/>
    <mergeCell ref="C5:E5"/>
  </mergeCells>
  <pageMargins left="0.511811024" right="0.511811024" top="0.78740157499999996" bottom="0.78740157499999996" header="0.31496062000000002" footer="0.31496062000000002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Z61"/>
  <sheetViews>
    <sheetView zoomScale="85" zoomScaleNormal="85" workbookViewId="0">
      <selection activeCell="B4" sqref="B4"/>
    </sheetView>
  </sheetViews>
  <sheetFormatPr defaultColWidth="9.28515625" defaultRowHeight="12.75" x14ac:dyDescent="0.2"/>
  <cols>
    <col min="1" max="1" width="12.7109375" style="68" customWidth="1"/>
    <col min="2" max="2" width="14.42578125" style="80" customWidth="1"/>
    <col min="3" max="3" width="14.7109375" style="617" customWidth="1"/>
    <col min="4" max="4" width="16.42578125" style="82" customWidth="1"/>
    <col min="5" max="5" width="14.28515625" style="82" customWidth="1"/>
    <col min="6" max="6" width="14.42578125" style="82" customWidth="1"/>
    <col min="7" max="7" width="14.42578125" style="80" customWidth="1"/>
    <col min="8" max="8" width="13.42578125" style="82" customWidth="1"/>
    <col min="9" max="9" width="14.42578125" style="68" customWidth="1"/>
    <col min="10" max="10" width="17.28515625" style="68" customWidth="1"/>
    <col min="11" max="11" width="15.42578125" style="68" customWidth="1"/>
    <col min="12" max="14" width="11.7109375" style="68" customWidth="1"/>
    <col min="15" max="15" width="13.42578125" style="68" customWidth="1"/>
    <col min="16" max="16" width="15.7109375" style="68" customWidth="1"/>
    <col min="17" max="17" width="15.7109375" style="426" hidden="1" customWidth="1"/>
    <col min="18" max="19" width="15.7109375" style="68" customWidth="1"/>
    <col min="20" max="20" width="14.28515625" style="68" customWidth="1"/>
    <col min="21" max="23" width="15.7109375" style="68" customWidth="1"/>
    <col min="24" max="24" width="15.7109375" style="426" hidden="1" customWidth="1"/>
    <col min="25" max="26" width="16.42578125" style="68" customWidth="1"/>
    <col min="27" max="28" width="9.28515625" style="68"/>
    <col min="29" max="29" width="15.7109375" style="68" customWidth="1"/>
    <col min="30" max="16384" width="9.28515625" style="68"/>
  </cols>
  <sheetData>
    <row r="1" spans="1:26" ht="13.15" customHeight="1" x14ac:dyDescent="0.2">
      <c r="A1" s="21" t="s">
        <v>0</v>
      </c>
      <c r="B1" s="21"/>
      <c r="C1" s="616"/>
      <c r="D1" s="617"/>
      <c r="E1" s="617"/>
      <c r="F1" s="617"/>
      <c r="G1" s="68"/>
    </row>
    <row r="2" spans="1:26" ht="13.15" customHeight="1" x14ac:dyDescent="0.2">
      <c r="A2" s="21" t="s">
        <v>1</v>
      </c>
      <c r="B2" s="21"/>
      <c r="C2" s="616"/>
      <c r="D2" s="617"/>
      <c r="E2" s="617"/>
      <c r="F2" s="617"/>
      <c r="G2" s="68"/>
    </row>
    <row r="3" spans="1:26" ht="13.15" customHeight="1" x14ac:dyDescent="0.2">
      <c r="A3" s="21" t="s">
        <v>743</v>
      </c>
      <c r="B3" s="21"/>
      <c r="C3" s="616"/>
      <c r="D3" s="617"/>
      <c r="E3" s="617"/>
      <c r="F3" s="617"/>
      <c r="G3" s="68"/>
      <c r="J3" s="83"/>
    </row>
    <row r="4" spans="1:26" ht="13.15" customHeight="1" x14ac:dyDescent="0.2">
      <c r="J4" s="83"/>
      <c r="K4" s="83"/>
      <c r="L4" s="83"/>
    </row>
    <row r="5" spans="1:26" ht="37.5" customHeight="1" x14ac:dyDescent="0.2">
      <c r="A5" s="660" t="s">
        <v>744</v>
      </c>
      <c r="B5" s="660"/>
      <c r="C5" s="661" t="s">
        <v>745</v>
      </c>
      <c r="D5" s="661"/>
      <c r="E5" s="661"/>
      <c r="F5" s="661"/>
      <c r="G5" s="662" t="s">
        <v>746</v>
      </c>
      <c r="H5" s="662"/>
      <c r="I5" s="663" t="s">
        <v>747</v>
      </c>
      <c r="J5" s="663"/>
      <c r="K5" s="663"/>
      <c r="L5" s="663"/>
      <c r="M5" s="663"/>
      <c r="N5" s="663"/>
      <c r="O5" s="663"/>
      <c r="P5" s="663" t="s">
        <v>748</v>
      </c>
      <c r="Q5" s="663"/>
      <c r="R5" s="663"/>
      <c r="S5" s="663"/>
      <c r="T5" s="663"/>
      <c r="U5" s="663"/>
      <c r="V5" s="663"/>
      <c r="W5" s="657" t="s">
        <v>749</v>
      </c>
      <c r="X5" s="658"/>
      <c r="Y5" s="658"/>
      <c r="Z5" s="659"/>
    </row>
    <row r="6" spans="1:26" ht="140.25" x14ac:dyDescent="0.2">
      <c r="A6" s="660"/>
      <c r="B6" s="660"/>
      <c r="C6" s="134" t="s">
        <v>750</v>
      </c>
      <c r="D6" s="134" t="s">
        <v>751</v>
      </c>
      <c r="E6" s="134" t="s">
        <v>752</v>
      </c>
      <c r="F6" s="134" t="s">
        <v>753</v>
      </c>
      <c r="G6" s="136" t="s">
        <v>754</v>
      </c>
      <c r="H6" s="136" t="s">
        <v>755</v>
      </c>
      <c r="I6" s="136" t="s">
        <v>27</v>
      </c>
      <c r="J6" s="136" t="s">
        <v>756</v>
      </c>
      <c r="K6" s="136" t="s">
        <v>757</v>
      </c>
      <c r="L6" s="136" t="s">
        <v>758</v>
      </c>
      <c r="M6" s="136" t="s">
        <v>759</v>
      </c>
      <c r="N6" s="136" t="s">
        <v>760</v>
      </c>
      <c r="O6" s="136" t="s">
        <v>761</v>
      </c>
      <c r="P6" s="142" t="s">
        <v>762</v>
      </c>
      <c r="Q6" s="427" t="s">
        <v>763</v>
      </c>
      <c r="R6" s="143" t="s">
        <v>764</v>
      </c>
      <c r="S6" s="136" t="s">
        <v>765</v>
      </c>
      <c r="T6" s="136" t="s">
        <v>766</v>
      </c>
      <c r="U6" s="136" t="s">
        <v>767</v>
      </c>
      <c r="V6" s="136" t="s">
        <v>768</v>
      </c>
      <c r="W6" s="136" t="s">
        <v>769</v>
      </c>
      <c r="X6" s="427" t="s">
        <v>770</v>
      </c>
      <c r="Y6" s="136" t="s">
        <v>771</v>
      </c>
      <c r="Z6" s="136" t="s">
        <v>772</v>
      </c>
    </row>
    <row r="7" spans="1:26" x14ac:dyDescent="0.2">
      <c r="A7" s="135"/>
      <c r="B7" s="135"/>
      <c r="C7" s="618">
        <f>SUM(D7:F7)</f>
        <v>1</v>
      </c>
      <c r="D7" s="619">
        <f>'01 - Dados de Entrada'!C26</f>
        <v>0.4</v>
      </c>
      <c r="E7" s="619">
        <f>'01 - Dados de Entrada'!C27+'01 - Dados de Entrada'!C28+'01 - Dados de Entrada'!C29+'01 - Dados de Entrada'!C30+'01 - Dados de Entrada'!C32</f>
        <v>0.35000000000000003</v>
      </c>
      <c r="F7" s="619">
        <f>'01 - Dados de Entrada'!C31</f>
        <v>0.25</v>
      </c>
      <c r="G7" s="490"/>
      <c r="H7" s="3"/>
      <c r="I7" s="490"/>
      <c r="J7" s="3"/>
      <c r="K7" s="490"/>
      <c r="L7" s="490"/>
      <c r="M7" s="490"/>
      <c r="N7" s="490"/>
      <c r="O7" s="490"/>
      <c r="P7" s="137"/>
      <c r="Q7" s="428"/>
      <c r="R7" s="139"/>
      <c r="S7" s="3"/>
      <c r="T7" s="490"/>
      <c r="U7" s="490"/>
      <c r="V7" s="490"/>
      <c r="W7" s="490"/>
      <c r="X7" s="491"/>
      <c r="Y7" s="141"/>
      <c r="Z7" s="141"/>
    </row>
    <row r="8" spans="1:26" ht="13.15" hidden="1" customHeight="1" x14ac:dyDescent="0.2">
      <c r="A8" s="319">
        <f>'02 - Evolução Populacional'!A7</f>
        <v>0</v>
      </c>
      <c r="B8" s="319">
        <f>'02 - Evolução Populacional'!B7</f>
        <v>2024</v>
      </c>
      <c r="C8" s="324">
        <f>'01 - Dados de Entrada'!$C$18*'02 - Evolução Populacional'!E7*365/1000</f>
        <v>40046.690901127775</v>
      </c>
      <c r="D8" s="324">
        <f>C8*'01 - Dados de Entrada'!$C$26</f>
        <v>16018.676360451111</v>
      </c>
      <c r="E8" s="324">
        <f t="shared" ref="E8:E39" si="0">C8*$E$7</f>
        <v>14016.341815394722</v>
      </c>
      <c r="F8" s="324">
        <f t="shared" ref="F8:F39" si="1">C8-D8-E8</f>
        <v>10011.672725281942</v>
      </c>
      <c r="G8" s="325">
        <v>0</v>
      </c>
      <c r="H8" s="324">
        <f t="shared" ref="H8:H43" si="2">D8*G8</f>
        <v>0</v>
      </c>
      <c r="I8" s="326">
        <f>'01 - Dados de Entrada'!$C$13</f>
        <v>0.18574946137273007</v>
      </c>
      <c r="J8" s="327">
        <f t="shared" ref="J8:J43" si="3">C8*I8</f>
        <v>7438.6512646446945</v>
      </c>
      <c r="K8" s="326">
        <f>'01 - Dados de Entrada'!$C$15</f>
        <v>0.60011046672190005</v>
      </c>
      <c r="L8" s="327">
        <f>J8*K8</f>
        <v>4464.0124822073794</v>
      </c>
      <c r="M8" s="328">
        <f t="shared" ref="M8:M43" si="4">L8/C8</f>
        <v>0.11147019595773058</v>
      </c>
      <c r="N8" s="127">
        <v>9.5000000000000001E-2</v>
      </c>
      <c r="O8" s="327">
        <f t="shared" ref="O8:O43" si="5">J8-L8</f>
        <v>2974.6387824373151</v>
      </c>
      <c r="P8" s="327">
        <f>C8-H8-J8+O8</f>
        <v>35582.678418920397</v>
      </c>
      <c r="Q8" s="429" t="e">
        <f>'01 - Dados de Entrada'!#REF!*'02 - Evolução Populacional'!E7*365/1000</f>
        <v>#REF!</v>
      </c>
      <c r="R8" s="327">
        <f>'01 - Dados de Entrada'!$C$20*'02 - Evolução Populacional'!E7*365/1000</f>
        <v>308.14628271104783</v>
      </c>
      <c r="S8" s="327">
        <f t="shared" ref="S8:S43" si="6">P8+R8</f>
        <v>35890.824701631442</v>
      </c>
      <c r="T8" s="329">
        <v>0</v>
      </c>
      <c r="U8" s="327">
        <f t="shared" ref="U8:U43" si="7">(S8*T8)</f>
        <v>0</v>
      </c>
      <c r="V8" s="327">
        <v>0</v>
      </c>
      <c r="W8" s="327">
        <f t="shared" ref="W8:W12" si="8">((S8-U8))</f>
        <v>35890.824701631442</v>
      </c>
      <c r="X8" s="429" t="e">
        <f t="shared" ref="X8:X43" si="9">Q8</f>
        <v>#REF!</v>
      </c>
      <c r="Y8" s="425">
        <f t="shared" ref="Y8:Y43" si="10">(L8+U8+H8)/(C8+R8)</f>
        <v>0.110619018529831</v>
      </c>
      <c r="Z8" s="133">
        <v>0.17100000000000001</v>
      </c>
    </row>
    <row r="9" spans="1:26" ht="13.15" customHeight="1" x14ac:dyDescent="0.2">
      <c r="A9" s="84">
        <f>'02 - Evolução Populacional'!A8</f>
        <v>1</v>
      </c>
      <c r="B9" s="84">
        <f>'02 - Evolução Populacional'!B8</f>
        <v>2025</v>
      </c>
      <c r="C9" s="25">
        <f>'01 - Dados de Entrada'!$C$18*'02 - Evolução Populacional'!E8*365/1000</f>
        <v>40576.036351691662</v>
      </c>
      <c r="D9" s="25">
        <f>C9*'01 - Dados de Entrada'!$C$26</f>
        <v>16230.414540676666</v>
      </c>
      <c r="E9" s="25">
        <f>C9*$E$7</f>
        <v>14201.612723092083</v>
      </c>
      <c r="F9" s="25">
        <f t="shared" si="1"/>
        <v>10144.009087922914</v>
      </c>
      <c r="G9" s="123">
        <v>0</v>
      </c>
      <c r="H9" s="23">
        <f t="shared" si="2"/>
        <v>0</v>
      </c>
      <c r="I9" s="119">
        <f>'01 - Dados de Entrada'!$C$13</f>
        <v>0.18574946137273007</v>
      </c>
      <c r="J9" s="4">
        <f>C9*I9</f>
        <v>7536.9768969670413</v>
      </c>
      <c r="K9" s="119">
        <f>'01 - Dados de Entrada'!$C$15</f>
        <v>0.60011046672190005</v>
      </c>
      <c r="L9" s="4">
        <f t="shared" ref="L9:L43" si="11">J9*K9</f>
        <v>4523.0187233110692</v>
      </c>
      <c r="M9" s="129">
        <f t="shared" si="4"/>
        <v>0.11147019595773058</v>
      </c>
      <c r="N9" s="5"/>
      <c r="O9" s="4">
        <f t="shared" si="5"/>
        <v>3013.9581736559721</v>
      </c>
      <c r="P9" s="138">
        <f>C9-H9-J9+O9</f>
        <v>36053.017628380592</v>
      </c>
      <c r="Q9" s="429" t="e">
        <f>'01 - Dados de Entrada'!#REF!*'02 - Evolução Populacional'!E8*365/1000</f>
        <v>#REF!</v>
      </c>
      <c r="R9" s="140">
        <f>'01 - Dados de Entrada'!$C$20*'02 - Evolução Populacional'!E8*365/1000</f>
        <v>312.21942406657183</v>
      </c>
      <c r="S9" s="4">
        <f>P9+R9</f>
        <v>36365.237052447163</v>
      </c>
      <c r="T9" s="130">
        <v>0</v>
      </c>
      <c r="U9" s="4">
        <f>(S9*T9)</f>
        <v>0</v>
      </c>
      <c r="V9" s="4">
        <v>0</v>
      </c>
      <c r="W9" s="4">
        <f>((S9-U9))</f>
        <v>36365.237052447163</v>
      </c>
      <c r="X9" s="429" t="e">
        <f t="shared" si="9"/>
        <v>#REF!</v>
      </c>
      <c r="Y9" s="131">
        <f t="shared" si="10"/>
        <v>0.110619018529831</v>
      </c>
      <c r="Z9" s="5"/>
    </row>
    <row r="10" spans="1:26" ht="13.15" customHeight="1" x14ac:dyDescent="0.2">
      <c r="A10" s="84">
        <f>'02 - Evolução Populacional'!A9</f>
        <v>2</v>
      </c>
      <c r="B10" s="84">
        <f>'02 - Evolução Populacional'!B9</f>
        <v>2026</v>
      </c>
      <c r="C10" s="25">
        <f>'01 - Dados de Entrada'!$C$18*'02 - Evolução Populacional'!E9*365/1000</f>
        <v>40884.03856345122</v>
      </c>
      <c r="D10" s="25">
        <f>C10*'01 - Dados de Entrada'!$C$26</f>
        <v>16353.615425380489</v>
      </c>
      <c r="E10" s="25">
        <f t="shared" si="0"/>
        <v>14309.413497207928</v>
      </c>
      <c r="F10" s="25">
        <f t="shared" si="1"/>
        <v>10221.009640862803</v>
      </c>
      <c r="G10" s="123">
        <v>0.01</v>
      </c>
      <c r="H10" s="23">
        <f t="shared" si="2"/>
        <v>163.53615425380488</v>
      </c>
      <c r="I10" s="119">
        <v>0.2</v>
      </c>
      <c r="J10" s="4">
        <f t="shared" si="3"/>
        <v>8176.8077126902444</v>
      </c>
      <c r="K10" s="125">
        <v>0.61</v>
      </c>
      <c r="L10" s="4">
        <f t="shared" si="11"/>
        <v>4987.8527047410489</v>
      </c>
      <c r="M10" s="129">
        <f t="shared" si="4"/>
        <v>0.122</v>
      </c>
      <c r="N10" s="5"/>
      <c r="O10" s="4">
        <f t="shared" si="5"/>
        <v>3188.9550079491955</v>
      </c>
      <c r="P10" s="138">
        <f t="shared" ref="P10:P43" si="12">C10-H10-J10+O10</f>
        <v>35732.649704456366</v>
      </c>
      <c r="Q10" s="429" t="e">
        <f>'01 - Dados de Entrada'!#REF!*'02 - Evolução Populacional'!E9*365/1000</f>
        <v>#REF!</v>
      </c>
      <c r="R10" s="140">
        <f>'01 - Dados de Entrada'!$C$20*'02 - Evolução Populacional'!E9*365/1000</f>
        <v>314.58940107303187</v>
      </c>
      <c r="S10" s="4">
        <f t="shared" si="6"/>
        <v>36047.239105529399</v>
      </c>
      <c r="T10" s="125">
        <v>0</v>
      </c>
      <c r="U10" s="4">
        <f t="shared" si="7"/>
        <v>0</v>
      </c>
      <c r="V10" s="4">
        <v>0</v>
      </c>
      <c r="W10" s="4">
        <f t="shared" si="8"/>
        <v>36047.239105529399</v>
      </c>
      <c r="X10" s="429" t="e">
        <f t="shared" si="9"/>
        <v>#REF!</v>
      </c>
      <c r="Y10" s="131">
        <f t="shared" si="10"/>
        <v>0.12503787416004886</v>
      </c>
      <c r="Z10" s="5"/>
    </row>
    <row r="11" spans="1:26" ht="13.15" customHeight="1" x14ac:dyDescent="0.2">
      <c r="A11" s="84">
        <f>'02 - Evolução Populacional'!A10</f>
        <v>3</v>
      </c>
      <c r="B11" s="84">
        <f>'02 - Evolução Populacional'!B10</f>
        <v>2027</v>
      </c>
      <c r="C11" s="25">
        <f>'01 - Dados de Entrada'!$C$18*'02 - Evolução Populacional'!E10*365/1000</f>
        <v>41192.040775210771</v>
      </c>
      <c r="D11" s="25">
        <f>C11*'01 - Dados de Entrada'!$C$26</f>
        <v>16476.816310084308</v>
      </c>
      <c r="E11" s="25">
        <f t="shared" si="0"/>
        <v>14417.214271323772</v>
      </c>
      <c r="F11" s="25">
        <f t="shared" si="1"/>
        <v>10298.010193802691</v>
      </c>
      <c r="G11" s="123">
        <v>0.01</v>
      </c>
      <c r="H11" s="23">
        <f t="shared" si="2"/>
        <v>164.76816310084308</v>
      </c>
      <c r="I11" s="119">
        <v>0.22</v>
      </c>
      <c r="J11" s="4">
        <f t="shared" si="3"/>
        <v>9062.2489705463704</v>
      </c>
      <c r="K11" s="125">
        <v>0.62</v>
      </c>
      <c r="L11" s="4">
        <f t="shared" si="11"/>
        <v>5618.5943617387493</v>
      </c>
      <c r="M11" s="129">
        <f t="shared" si="4"/>
        <v>0.13639999999999999</v>
      </c>
      <c r="N11" s="5"/>
      <c r="O11" s="4">
        <f t="shared" si="5"/>
        <v>3443.6546088076211</v>
      </c>
      <c r="P11" s="138">
        <f t="shared" si="12"/>
        <v>35408.678250371173</v>
      </c>
      <c r="Q11" s="429" t="e">
        <f>'01 - Dados de Entrada'!#REF!*'02 - Evolução Populacional'!E10*365/1000</f>
        <v>#REF!</v>
      </c>
      <c r="R11" s="140">
        <f>'01 - Dados de Entrada'!$C$20*'02 - Evolução Populacional'!E10*365/1000</f>
        <v>316.95937807949196</v>
      </c>
      <c r="S11" s="4">
        <f t="shared" si="6"/>
        <v>35725.637628450662</v>
      </c>
      <c r="T11" s="125">
        <v>0</v>
      </c>
      <c r="U11" s="4">
        <f t="shared" si="7"/>
        <v>0</v>
      </c>
      <c r="V11" s="4">
        <v>0</v>
      </c>
      <c r="W11" s="4">
        <f t="shared" si="8"/>
        <v>35725.637628450662</v>
      </c>
      <c r="X11" s="429" t="e">
        <f t="shared" si="9"/>
        <v>#REF!</v>
      </c>
      <c r="Y11" s="131">
        <f t="shared" si="10"/>
        <v>0.13932791692119731</v>
      </c>
      <c r="Z11" s="5"/>
    </row>
    <row r="12" spans="1:26" ht="13.15" customHeight="1" x14ac:dyDescent="0.2">
      <c r="A12" s="84">
        <f>'02 - Evolução Populacional'!A11</f>
        <v>4</v>
      </c>
      <c r="B12" s="84">
        <f>'02 - Evolução Populacional'!B11</f>
        <v>2028</v>
      </c>
      <c r="C12" s="25">
        <f>'01 - Dados de Entrada'!$C$18*'02 - Evolução Populacional'!E11*365/1000</f>
        <v>41500.042986970329</v>
      </c>
      <c r="D12" s="25">
        <f>C12*'01 - Dados de Entrada'!$C$26</f>
        <v>16600.017194788132</v>
      </c>
      <c r="E12" s="25">
        <f t="shared" si="0"/>
        <v>14525.015045439617</v>
      </c>
      <c r="F12" s="25">
        <f t="shared" si="1"/>
        <v>10375.010746742581</v>
      </c>
      <c r="G12" s="123">
        <v>0.02</v>
      </c>
      <c r="H12" s="23">
        <f t="shared" si="2"/>
        <v>332.00034389576263</v>
      </c>
      <c r="I12" s="119">
        <v>0.24</v>
      </c>
      <c r="J12" s="4">
        <f t="shared" si="3"/>
        <v>9960.0103168728783</v>
      </c>
      <c r="K12" s="125">
        <v>0.63</v>
      </c>
      <c r="L12" s="4">
        <f t="shared" si="11"/>
        <v>6274.8064996299136</v>
      </c>
      <c r="M12" s="129">
        <f t="shared" si="4"/>
        <v>0.1512</v>
      </c>
      <c r="N12" s="127">
        <v>0.14299999999999999</v>
      </c>
      <c r="O12" s="4">
        <f t="shared" si="5"/>
        <v>3685.2038172429648</v>
      </c>
      <c r="P12" s="138">
        <f t="shared" si="12"/>
        <v>34893.23614344465</v>
      </c>
      <c r="Q12" s="429" t="e">
        <f>'01 - Dados de Entrada'!#REF!*'02 - Evolução Populacional'!E11*365/1000</f>
        <v>#REF!</v>
      </c>
      <c r="R12" s="140">
        <f>'01 - Dados de Entrada'!$C$20*'02 - Evolução Populacional'!E11*365/1000</f>
        <v>319.32935508595205</v>
      </c>
      <c r="S12" s="4">
        <f t="shared" si="6"/>
        <v>35212.565498530603</v>
      </c>
      <c r="T12" s="125">
        <v>0</v>
      </c>
      <c r="U12" s="4">
        <f t="shared" si="7"/>
        <v>0</v>
      </c>
      <c r="V12" s="4">
        <v>0</v>
      </c>
      <c r="W12" s="4">
        <f t="shared" si="8"/>
        <v>35212.565498530603</v>
      </c>
      <c r="X12" s="429" t="e">
        <f t="shared" si="9"/>
        <v>#REF!</v>
      </c>
      <c r="Y12" s="131">
        <f t="shared" si="10"/>
        <v>0.15798436163714111</v>
      </c>
      <c r="Z12" s="133">
        <v>0.29499999999999998</v>
      </c>
    </row>
    <row r="13" spans="1:26" ht="13.15" customHeight="1" x14ac:dyDescent="0.2">
      <c r="A13" s="84">
        <f>'02 - Evolução Populacional'!A12</f>
        <v>5</v>
      </c>
      <c r="B13" s="84">
        <f>'02 - Evolução Populacional'!B12</f>
        <v>2029</v>
      </c>
      <c r="C13" s="25">
        <f>'01 - Dados de Entrada'!$C$18*'02 - Evolução Populacional'!E12*365/1000</f>
        <v>41808.04519872988</v>
      </c>
      <c r="D13" s="25">
        <f>C13*'01 - Dados de Entrada'!$C$26</f>
        <v>16723.218079491951</v>
      </c>
      <c r="E13" s="25">
        <f t="shared" si="0"/>
        <v>14632.815819555459</v>
      </c>
      <c r="F13" s="25">
        <f t="shared" si="1"/>
        <v>10452.01129968247</v>
      </c>
      <c r="G13" s="123">
        <v>0.02</v>
      </c>
      <c r="H13" s="23">
        <f t="shared" si="2"/>
        <v>334.46436158983903</v>
      </c>
      <c r="I13" s="124">
        <v>0.25</v>
      </c>
      <c r="J13" s="4">
        <f t="shared" si="3"/>
        <v>10452.01129968247</v>
      </c>
      <c r="K13" s="125">
        <v>0.64</v>
      </c>
      <c r="L13" s="4">
        <f t="shared" si="11"/>
        <v>6689.2872317967813</v>
      </c>
      <c r="M13" s="129">
        <f t="shared" si="4"/>
        <v>0.16</v>
      </c>
      <c r="N13" s="5"/>
      <c r="O13" s="4">
        <f t="shared" si="5"/>
        <v>3762.7240678856888</v>
      </c>
      <c r="P13" s="138">
        <f t="shared" si="12"/>
        <v>34784.293605343264</v>
      </c>
      <c r="Q13" s="429" t="e">
        <f>'01 - Dados de Entrada'!#REF!*'02 - Evolução Populacional'!E12*365/1000</f>
        <v>#REF!</v>
      </c>
      <c r="R13" s="140">
        <f>'01 - Dados de Entrada'!$C$20*'02 - Evolução Populacional'!E12*365/1000</f>
        <v>321.69933209241219</v>
      </c>
      <c r="S13" s="4">
        <f t="shared" si="6"/>
        <v>35105.99293743568</v>
      </c>
      <c r="T13" s="125">
        <v>0.5</v>
      </c>
      <c r="U13" s="4">
        <f t="shared" si="7"/>
        <v>17552.99646871784</v>
      </c>
      <c r="V13" s="4">
        <f>((S13-U13))</f>
        <v>17552.99646871784</v>
      </c>
      <c r="W13" s="4">
        <f>((S13-U13))</f>
        <v>17552.99646871784</v>
      </c>
      <c r="X13" s="429" t="e">
        <f t="shared" si="9"/>
        <v>#REF!</v>
      </c>
      <c r="Y13" s="131">
        <f t="shared" si="10"/>
        <v>0.58335858277336594</v>
      </c>
      <c r="Z13" s="5"/>
    </row>
    <row r="14" spans="1:26" ht="13.15" customHeight="1" x14ac:dyDescent="0.2">
      <c r="A14" s="84">
        <f>'02 - Evolução Populacional'!A13</f>
        <v>6</v>
      </c>
      <c r="B14" s="84">
        <f>'02 - Evolução Populacional'!B13</f>
        <v>2030</v>
      </c>
      <c r="C14" s="25">
        <f>'01 - Dados de Entrada'!$C$18*'02 - Evolução Populacional'!E13*365/1000</f>
        <v>42116.047410489431</v>
      </c>
      <c r="D14" s="25">
        <f>C14*'01 - Dados de Entrada'!$C$26</f>
        <v>16846.418964195775</v>
      </c>
      <c r="E14" s="25">
        <f t="shared" si="0"/>
        <v>14740.616593671302</v>
      </c>
      <c r="F14" s="25">
        <f t="shared" si="1"/>
        <v>10529.011852622354</v>
      </c>
      <c r="G14" s="123">
        <v>0.02</v>
      </c>
      <c r="H14" s="23">
        <f t="shared" si="2"/>
        <v>336.92837928391549</v>
      </c>
      <c r="I14" s="124">
        <v>0.25</v>
      </c>
      <c r="J14" s="4">
        <f t="shared" si="3"/>
        <v>10529.011852622358</v>
      </c>
      <c r="K14" s="125">
        <v>0.65</v>
      </c>
      <c r="L14" s="4">
        <f t="shared" si="11"/>
        <v>6843.8577042045326</v>
      </c>
      <c r="M14" s="129">
        <f t="shared" si="4"/>
        <v>0.16250000000000001</v>
      </c>
      <c r="N14" s="5"/>
      <c r="O14" s="4">
        <f t="shared" si="5"/>
        <v>3685.1541484178251</v>
      </c>
      <c r="P14" s="138">
        <f t="shared" si="12"/>
        <v>34935.261327000982</v>
      </c>
      <c r="Q14" s="429" t="e">
        <f>'01 - Dados de Entrada'!#REF!*'02 - Evolução Populacional'!E13*365/1000</f>
        <v>#REF!</v>
      </c>
      <c r="R14" s="140">
        <f>'01 - Dados de Entrada'!$C$20*'02 - Evolução Populacional'!E13*365/1000</f>
        <v>324.06930909887222</v>
      </c>
      <c r="S14" s="4">
        <f t="shared" si="6"/>
        <v>35259.330636099854</v>
      </c>
      <c r="T14" s="125">
        <v>0.5</v>
      </c>
      <c r="U14" s="4">
        <f t="shared" si="7"/>
        <v>17629.665318049927</v>
      </c>
      <c r="V14" s="4">
        <f t="shared" ref="V14:V43" si="13">((S14-U14))</f>
        <v>17629.665318049927</v>
      </c>
      <c r="W14" s="4">
        <f t="shared" ref="W14:W43" si="14">((S14-U14))</f>
        <v>17629.665318049927</v>
      </c>
      <c r="X14" s="429" t="e">
        <f t="shared" si="9"/>
        <v>#REF!</v>
      </c>
      <c r="Y14" s="131">
        <f t="shared" si="10"/>
        <v>0.58459903787416001</v>
      </c>
      <c r="Z14" s="5"/>
    </row>
    <row r="15" spans="1:26" ht="13.15" customHeight="1" x14ac:dyDescent="0.2">
      <c r="A15" s="84">
        <f>'02 - Evolução Populacional'!A14</f>
        <v>7</v>
      </c>
      <c r="B15" s="84">
        <f>'02 - Evolução Populacional'!B14</f>
        <v>2031</v>
      </c>
      <c r="C15" s="25">
        <f>'01 - Dados de Entrada'!$C$18*'02 - Evolução Populacional'!E14*365/1000</f>
        <v>42303.025884156363</v>
      </c>
      <c r="D15" s="25">
        <f>C15*'01 - Dados de Entrada'!$C$26</f>
        <v>16921.210353662547</v>
      </c>
      <c r="E15" s="25">
        <f t="shared" si="0"/>
        <v>14806.059059454728</v>
      </c>
      <c r="F15" s="25">
        <f t="shared" si="1"/>
        <v>10575.756471039087</v>
      </c>
      <c r="G15" s="123">
        <v>0.02</v>
      </c>
      <c r="H15" s="23">
        <f t="shared" si="2"/>
        <v>338.42420707325095</v>
      </c>
      <c r="I15" s="124">
        <v>0.25</v>
      </c>
      <c r="J15" s="4">
        <f t="shared" si="3"/>
        <v>10575.756471039091</v>
      </c>
      <c r="K15" s="125">
        <v>0.66</v>
      </c>
      <c r="L15" s="4">
        <f t="shared" si="11"/>
        <v>6979.9992708857999</v>
      </c>
      <c r="M15" s="129">
        <f t="shared" si="4"/>
        <v>0.16500000000000001</v>
      </c>
      <c r="N15" s="5"/>
      <c r="O15" s="4">
        <f t="shared" si="5"/>
        <v>3595.7572001532908</v>
      </c>
      <c r="P15" s="138">
        <f t="shared" si="12"/>
        <v>34984.602406197315</v>
      </c>
      <c r="Q15" s="429" t="e">
        <f>'01 - Dados de Entrada'!#REF!*'02 - Evolução Populacional'!E14*365/1000</f>
        <v>#REF!</v>
      </c>
      <c r="R15" s="140">
        <f>'01 - Dados de Entrada'!$C$20*'02 - Evolução Populacional'!E14*365/1000</f>
        <v>325.50804773896863</v>
      </c>
      <c r="S15" s="4">
        <f t="shared" si="6"/>
        <v>35310.110453936286</v>
      </c>
      <c r="T15" s="125">
        <v>0.5</v>
      </c>
      <c r="U15" s="4">
        <f t="shared" si="7"/>
        <v>17655.055226968143</v>
      </c>
      <c r="V15" s="4">
        <f t="shared" si="13"/>
        <v>17655.055226968143</v>
      </c>
      <c r="W15" s="4">
        <f t="shared" si="14"/>
        <v>17655.055226968143</v>
      </c>
      <c r="X15" s="429" t="e">
        <f t="shared" si="9"/>
        <v>#REF!</v>
      </c>
      <c r="Y15" s="131">
        <f t="shared" si="10"/>
        <v>0.58583949297495419</v>
      </c>
      <c r="Z15" s="5"/>
    </row>
    <row r="16" spans="1:26" ht="13.15" customHeight="1" x14ac:dyDescent="0.2">
      <c r="A16" s="84">
        <f>'02 - Evolução Populacional'!A15</f>
        <v>8</v>
      </c>
      <c r="B16" s="84">
        <f>'02 - Evolução Populacional'!B15</f>
        <v>2032</v>
      </c>
      <c r="C16" s="25">
        <f>'01 - Dados de Entrada'!$C$18*'02 - Evolução Populacional'!E15*365/1000</f>
        <v>42490.004357823273</v>
      </c>
      <c r="D16" s="25">
        <f>C16*'01 - Dados de Entrada'!$C$26</f>
        <v>16996.001743129309</v>
      </c>
      <c r="E16" s="25">
        <f t="shared" si="0"/>
        <v>14871.501525238147</v>
      </c>
      <c r="F16" s="25">
        <f t="shared" si="1"/>
        <v>10622.501089455816</v>
      </c>
      <c r="G16" s="123">
        <v>0.02</v>
      </c>
      <c r="H16" s="23">
        <f t="shared" si="2"/>
        <v>339.92003486258619</v>
      </c>
      <c r="I16" s="124">
        <v>0.25</v>
      </c>
      <c r="J16" s="4">
        <f t="shared" si="3"/>
        <v>10622.501089455818</v>
      </c>
      <c r="K16" s="125">
        <v>0.67</v>
      </c>
      <c r="L16" s="4">
        <f t="shared" si="11"/>
        <v>7117.0757299353982</v>
      </c>
      <c r="M16" s="129">
        <f t="shared" si="4"/>
        <v>0.16750000000000001</v>
      </c>
      <c r="N16" s="127">
        <v>0.191</v>
      </c>
      <c r="O16" s="4">
        <f t="shared" si="5"/>
        <v>3505.42535952042</v>
      </c>
      <c r="P16" s="138">
        <f t="shared" si="12"/>
        <v>35033.008593025283</v>
      </c>
      <c r="Q16" s="429" t="e">
        <f>'01 - Dados de Entrada'!#REF!*'02 - Evolução Populacional'!E15*365/1000</f>
        <v>#REF!</v>
      </c>
      <c r="R16" s="140">
        <f>'01 - Dados de Entrada'!$C$20*'02 - Evolução Populacional'!E15*365/1000</f>
        <v>326.94678637906497</v>
      </c>
      <c r="S16" s="4">
        <f t="shared" si="6"/>
        <v>35359.955379404346</v>
      </c>
      <c r="T16" s="125">
        <v>0.5</v>
      </c>
      <c r="U16" s="4">
        <f t="shared" si="7"/>
        <v>17679.977689702173</v>
      </c>
      <c r="V16" s="4">
        <f t="shared" si="13"/>
        <v>17679.977689702173</v>
      </c>
      <c r="W16" s="4">
        <f t="shared" si="14"/>
        <v>17679.977689702173</v>
      </c>
      <c r="X16" s="429" t="e">
        <f t="shared" si="9"/>
        <v>#REF!</v>
      </c>
      <c r="Y16" s="131">
        <f t="shared" si="10"/>
        <v>0.58707994807574826</v>
      </c>
      <c r="Z16" s="133">
        <v>0.41899999999999998</v>
      </c>
    </row>
    <row r="17" spans="1:26" ht="13.15" customHeight="1" x14ac:dyDescent="0.2">
      <c r="A17" s="84">
        <f>'02 - Evolução Populacional'!A16</f>
        <v>9</v>
      </c>
      <c r="B17" s="84">
        <f>'02 - Evolução Populacional'!B16</f>
        <v>2033</v>
      </c>
      <c r="C17" s="25">
        <f>'01 - Dados de Entrada'!$C$18*'02 - Evolução Populacional'!E16*365/1000</f>
        <v>42676.769385744003</v>
      </c>
      <c r="D17" s="25">
        <f>C17*'01 - Dados de Entrada'!$C$26</f>
        <v>17070.7077542976</v>
      </c>
      <c r="E17" s="25">
        <f t="shared" si="0"/>
        <v>14936.869285010402</v>
      </c>
      <c r="F17" s="25">
        <f t="shared" si="1"/>
        <v>10669.192346436001</v>
      </c>
      <c r="G17" s="123">
        <v>0.02</v>
      </c>
      <c r="H17" s="23">
        <f t="shared" si="2"/>
        <v>341.41415508595202</v>
      </c>
      <c r="I17" s="124">
        <v>0.25</v>
      </c>
      <c r="J17" s="4">
        <f t="shared" si="3"/>
        <v>10669.192346436001</v>
      </c>
      <c r="K17" s="125">
        <v>0.68</v>
      </c>
      <c r="L17" s="4">
        <f t="shared" si="11"/>
        <v>7255.0507955764806</v>
      </c>
      <c r="M17" s="129">
        <f t="shared" si="4"/>
        <v>0.17</v>
      </c>
      <c r="N17" s="5"/>
      <c r="O17" s="4">
        <f t="shared" si="5"/>
        <v>3414.1415508595201</v>
      </c>
      <c r="P17" s="138">
        <f t="shared" si="12"/>
        <v>35080.304435081576</v>
      </c>
      <c r="Q17" s="429" t="e">
        <f>'01 - Dados de Entrada'!#REF!*'02 - Evolução Populacional'!E16*365/1000</f>
        <v>#REF!</v>
      </c>
      <c r="R17" s="140">
        <f>'01 - Dados de Entrada'!$C$20*'02 - Evolução Populacional'!E16*365/1000</f>
        <v>328.38388262345347</v>
      </c>
      <c r="S17" s="4">
        <f t="shared" si="6"/>
        <v>35408.688317705033</v>
      </c>
      <c r="T17" s="125">
        <v>0.5</v>
      </c>
      <c r="U17" s="4">
        <f t="shared" si="7"/>
        <v>17704.344158852517</v>
      </c>
      <c r="V17" s="4">
        <f t="shared" si="13"/>
        <v>17704.344158852517</v>
      </c>
      <c r="W17" s="4">
        <f t="shared" si="14"/>
        <v>17704.344158852517</v>
      </c>
      <c r="X17" s="429" t="e">
        <f t="shared" si="9"/>
        <v>#REF!</v>
      </c>
      <c r="Y17" s="131">
        <f t="shared" si="10"/>
        <v>0.58832040317654255</v>
      </c>
      <c r="Z17" s="5"/>
    </row>
    <row r="18" spans="1:26" ht="13.15" customHeight="1" x14ac:dyDescent="0.2">
      <c r="A18" s="84">
        <f>'02 - Evolução Populacional'!A17</f>
        <v>10</v>
      </c>
      <c r="B18" s="84">
        <f>'02 - Evolução Populacional'!B17</f>
        <v>2034</v>
      </c>
      <c r="C18" s="25">
        <f>'01 - Dados de Entrada'!$C$18*'02 - Evolução Populacional'!E17*365/1000</f>
        <v>42863.747859410927</v>
      </c>
      <c r="D18" s="25">
        <f>C18*'01 - Dados de Entrada'!$C$26</f>
        <v>17145.499143764373</v>
      </c>
      <c r="E18" s="25">
        <f t="shared" si="0"/>
        <v>15002.311750793826</v>
      </c>
      <c r="F18" s="25">
        <f t="shared" si="1"/>
        <v>10715.936964852728</v>
      </c>
      <c r="G18" s="123">
        <v>0.02</v>
      </c>
      <c r="H18" s="23">
        <f t="shared" si="2"/>
        <v>342.90998287528748</v>
      </c>
      <c r="I18" s="124">
        <v>0.25</v>
      </c>
      <c r="J18" s="4">
        <f t="shared" si="3"/>
        <v>10715.936964852732</v>
      </c>
      <c r="K18" s="125">
        <v>0.72</v>
      </c>
      <c r="L18" s="4">
        <f t="shared" si="11"/>
        <v>7715.4746146939669</v>
      </c>
      <c r="M18" s="129">
        <f t="shared" si="4"/>
        <v>0.18</v>
      </c>
      <c r="N18" s="5"/>
      <c r="O18" s="4">
        <f t="shared" si="5"/>
        <v>3000.4623501587648</v>
      </c>
      <c r="P18" s="138">
        <f t="shared" si="12"/>
        <v>34805.363261841674</v>
      </c>
      <c r="Q18" s="429" t="e">
        <f>'01 - Dados de Entrada'!#REF!*'02 - Evolução Populacional'!E17*365/1000</f>
        <v>#REF!</v>
      </c>
      <c r="R18" s="140">
        <f>'01 - Dados de Entrada'!$C$20*'02 - Evolução Populacional'!E17*365/1000</f>
        <v>329.82262126354976</v>
      </c>
      <c r="S18" s="4">
        <f t="shared" si="6"/>
        <v>35135.185883105223</v>
      </c>
      <c r="T18" s="125">
        <v>0.5</v>
      </c>
      <c r="U18" s="4">
        <f t="shared" si="7"/>
        <v>17567.592941552612</v>
      </c>
      <c r="V18" s="4">
        <f t="shared" si="13"/>
        <v>17567.592941552612</v>
      </c>
      <c r="W18" s="4">
        <f t="shared" si="14"/>
        <v>17567.592941552612</v>
      </c>
      <c r="X18" s="429" t="e">
        <f t="shared" si="9"/>
        <v>#REF!</v>
      </c>
      <c r="Y18" s="131">
        <f t="shared" si="10"/>
        <v>0.59328222357971894</v>
      </c>
      <c r="Z18" s="5"/>
    </row>
    <row r="19" spans="1:26" ht="13.15" customHeight="1" x14ac:dyDescent="0.2">
      <c r="A19" s="84">
        <f>'02 - Evolução Populacional'!A18</f>
        <v>11</v>
      </c>
      <c r="B19" s="84">
        <f>'02 - Evolução Populacional'!B18</f>
        <v>2035</v>
      </c>
      <c r="C19" s="25">
        <f>'01 - Dados de Entrada'!$C$18*'02 - Evolução Populacional'!E18*365/1000</f>
        <v>43050.726333077851</v>
      </c>
      <c r="D19" s="25">
        <f>C19*'01 - Dados de Entrada'!$C$26</f>
        <v>17220.290533231142</v>
      </c>
      <c r="E19" s="25">
        <f t="shared" si="0"/>
        <v>15067.75421657725</v>
      </c>
      <c r="F19" s="25">
        <f t="shared" si="1"/>
        <v>10762.681583269459</v>
      </c>
      <c r="G19" s="123">
        <v>0.02</v>
      </c>
      <c r="H19" s="23">
        <f t="shared" si="2"/>
        <v>344.40581066462283</v>
      </c>
      <c r="I19" s="124">
        <v>0.25</v>
      </c>
      <c r="J19" s="4">
        <f t="shared" si="3"/>
        <v>10762.681583269463</v>
      </c>
      <c r="K19" s="125">
        <v>0.76</v>
      </c>
      <c r="L19" s="4">
        <f t="shared" si="11"/>
        <v>8179.6380032847919</v>
      </c>
      <c r="M19" s="129">
        <f t="shared" si="4"/>
        <v>0.19</v>
      </c>
      <c r="N19" s="5"/>
      <c r="O19" s="4">
        <f t="shared" si="5"/>
        <v>2583.0435799846709</v>
      </c>
      <c r="P19" s="138">
        <f t="shared" si="12"/>
        <v>34526.68251912843</v>
      </c>
      <c r="Q19" s="429" t="e">
        <f>'01 - Dados de Entrada'!#REF!*'02 - Evolução Populacional'!E18*365/1000</f>
        <v>#REF!</v>
      </c>
      <c r="R19" s="140">
        <f>'01 - Dados de Entrada'!$C$20*'02 - Evolução Populacional'!E18*365/1000</f>
        <v>331.26135990364617</v>
      </c>
      <c r="S19" s="4">
        <f t="shared" si="6"/>
        <v>34857.943879032078</v>
      </c>
      <c r="T19" s="125">
        <v>0.5</v>
      </c>
      <c r="U19" s="4">
        <f t="shared" si="7"/>
        <v>17428.971939516039</v>
      </c>
      <c r="V19" s="4">
        <f t="shared" si="13"/>
        <v>17428.971939516039</v>
      </c>
      <c r="W19" s="4">
        <f t="shared" si="14"/>
        <v>17428.971939516039</v>
      </c>
      <c r="X19" s="429" t="e">
        <f t="shared" si="9"/>
        <v>#REF!</v>
      </c>
      <c r="Y19" s="131">
        <f t="shared" si="10"/>
        <v>0.59824404398289543</v>
      </c>
      <c r="Z19" s="5"/>
    </row>
    <row r="20" spans="1:26" ht="13.15" customHeight="1" x14ac:dyDescent="0.2">
      <c r="A20" s="84">
        <f>'02 - Evolução Populacional'!A19</f>
        <v>12</v>
      </c>
      <c r="B20" s="84">
        <f>'02 - Evolução Populacional'!B19</f>
        <v>2036</v>
      </c>
      <c r="C20" s="25">
        <f>'01 - Dados de Entrada'!$C$18*'02 - Evolução Populacional'!E19*365/1000</f>
        <v>43151.259279535749</v>
      </c>
      <c r="D20" s="25">
        <f>C20*'01 - Dados de Entrada'!$C$26</f>
        <v>17260.503711814301</v>
      </c>
      <c r="E20" s="25">
        <f t="shared" si="0"/>
        <v>15102.940747837514</v>
      </c>
      <c r="F20" s="25">
        <f t="shared" si="1"/>
        <v>10787.814819883934</v>
      </c>
      <c r="G20" s="123">
        <v>0.02</v>
      </c>
      <c r="H20" s="23">
        <f t="shared" si="2"/>
        <v>345.210074236286</v>
      </c>
      <c r="I20" s="124">
        <v>0.25</v>
      </c>
      <c r="J20" s="4">
        <f t="shared" si="3"/>
        <v>10787.814819883937</v>
      </c>
      <c r="K20" s="126">
        <v>0.8</v>
      </c>
      <c r="L20" s="4">
        <f t="shared" si="11"/>
        <v>8630.2518559071505</v>
      </c>
      <c r="M20" s="129">
        <f t="shared" si="4"/>
        <v>0.2</v>
      </c>
      <c r="N20" s="127">
        <v>0.23899999999999999</v>
      </c>
      <c r="O20" s="4">
        <f t="shared" si="5"/>
        <v>2157.5629639767867</v>
      </c>
      <c r="P20" s="138">
        <f t="shared" si="12"/>
        <v>34175.797349392305</v>
      </c>
      <c r="Q20" s="429" t="e">
        <f>'01 - Dados de Entrada'!#REF!*'02 - Evolução Populacional'!E19*365/1000</f>
        <v>#REF!</v>
      </c>
      <c r="R20" s="140">
        <f>'01 - Dados de Entrada'!$C$20*'02 - Evolução Populacional'!E19*365/1000</f>
        <v>332.03492828205412</v>
      </c>
      <c r="S20" s="4">
        <f t="shared" si="6"/>
        <v>34507.832277674359</v>
      </c>
      <c r="T20" s="125">
        <v>0.5</v>
      </c>
      <c r="U20" s="4">
        <f t="shared" si="7"/>
        <v>17253.916138837179</v>
      </c>
      <c r="V20" s="4">
        <f t="shared" si="13"/>
        <v>17253.916138837179</v>
      </c>
      <c r="W20" s="4">
        <f t="shared" si="14"/>
        <v>17253.916138837179</v>
      </c>
      <c r="X20" s="429" t="e">
        <f t="shared" si="9"/>
        <v>#REF!</v>
      </c>
      <c r="Y20" s="131">
        <f t="shared" si="10"/>
        <v>0.60320586438607204</v>
      </c>
      <c r="Z20" s="133">
        <v>0.54300000000000004</v>
      </c>
    </row>
    <row r="21" spans="1:26" ht="13.15" customHeight="1" x14ac:dyDescent="0.2">
      <c r="A21" s="84">
        <f>'02 - Evolução Populacional'!A20</f>
        <v>13</v>
      </c>
      <c r="B21" s="84">
        <f>'02 - Evolução Populacional'!B20</f>
        <v>2037</v>
      </c>
      <c r="C21" s="25">
        <f>'01 - Dados de Entrada'!$C$18*'02 - Evolução Populacional'!E20*365/1000</f>
        <v>43251.792225993646</v>
      </c>
      <c r="D21" s="25">
        <f>C21*'01 - Dados de Entrada'!$C$26</f>
        <v>17300.71689039746</v>
      </c>
      <c r="E21" s="25">
        <f t="shared" si="0"/>
        <v>15138.127279097778</v>
      </c>
      <c r="F21" s="25">
        <f t="shared" si="1"/>
        <v>10812.948056498408</v>
      </c>
      <c r="G21" s="123">
        <v>0.02</v>
      </c>
      <c r="H21" s="23">
        <f t="shared" si="2"/>
        <v>346.01433780794918</v>
      </c>
      <c r="I21" s="124">
        <v>0.25</v>
      </c>
      <c r="J21" s="4">
        <f t="shared" si="3"/>
        <v>10812.948056498411</v>
      </c>
      <c r="K21" s="126">
        <v>0.8</v>
      </c>
      <c r="L21" s="4">
        <f t="shared" si="11"/>
        <v>8650.3584451987299</v>
      </c>
      <c r="M21" s="129">
        <f t="shared" si="4"/>
        <v>0.2</v>
      </c>
      <c r="N21" s="5"/>
      <c r="O21" s="4">
        <f t="shared" si="5"/>
        <v>2162.5896112996816</v>
      </c>
      <c r="P21" s="138">
        <f t="shared" si="12"/>
        <v>34255.419442986968</v>
      </c>
      <c r="Q21" s="429" t="e">
        <f>'01 - Dados de Entrada'!#REF!*'02 - Evolução Populacional'!E20*365/1000</f>
        <v>#REF!</v>
      </c>
      <c r="R21" s="140">
        <f>'01 - Dados de Entrada'!$C$20*'02 - Evolução Populacional'!E20*365/1000</f>
        <v>332.80849666046214</v>
      </c>
      <c r="S21" s="4">
        <f t="shared" si="6"/>
        <v>34588.227939647433</v>
      </c>
      <c r="T21" s="125">
        <v>0.5</v>
      </c>
      <c r="U21" s="4">
        <f t="shared" si="7"/>
        <v>17294.113969823717</v>
      </c>
      <c r="V21" s="4">
        <f t="shared" si="13"/>
        <v>17294.113969823717</v>
      </c>
      <c r="W21" s="4">
        <f t="shared" si="14"/>
        <v>17294.113969823717</v>
      </c>
      <c r="X21" s="429" t="e">
        <f t="shared" si="9"/>
        <v>#REF!</v>
      </c>
      <c r="Y21" s="131">
        <f t="shared" si="10"/>
        <v>0.60320586438607204</v>
      </c>
      <c r="Z21" s="5"/>
    </row>
    <row r="22" spans="1:26" ht="13.15" customHeight="1" x14ac:dyDescent="0.2">
      <c r="A22" s="84">
        <f>'02 - Evolução Populacional'!A21</f>
        <v>14</v>
      </c>
      <c r="B22" s="84">
        <f>'02 - Evolução Populacional'!B21</f>
        <v>2038</v>
      </c>
      <c r="C22" s="25">
        <f>'01 - Dados de Entrada'!$C$18*'02 - Evolução Populacional'!E21*365/1000</f>
        <v>43352.32517245155</v>
      </c>
      <c r="D22" s="25">
        <f>C22*'01 - Dados de Entrada'!$C$26</f>
        <v>17340.930068980622</v>
      </c>
      <c r="E22" s="25">
        <f t="shared" si="0"/>
        <v>15173.313810358044</v>
      </c>
      <c r="F22" s="25">
        <f t="shared" si="1"/>
        <v>10838.081293112884</v>
      </c>
      <c r="G22" s="123">
        <v>0.02</v>
      </c>
      <c r="H22" s="23">
        <f t="shared" si="2"/>
        <v>346.81860137961246</v>
      </c>
      <c r="I22" s="124">
        <v>0.25</v>
      </c>
      <c r="J22" s="4">
        <f t="shared" si="3"/>
        <v>10838.081293112888</v>
      </c>
      <c r="K22" s="126">
        <v>0.8</v>
      </c>
      <c r="L22" s="4">
        <f t="shared" si="11"/>
        <v>8670.4650344903112</v>
      </c>
      <c r="M22" s="129">
        <f t="shared" si="4"/>
        <v>0.20000000000000004</v>
      </c>
      <c r="N22" s="5"/>
      <c r="O22" s="4">
        <f t="shared" si="5"/>
        <v>2167.6162586225764</v>
      </c>
      <c r="P22" s="138">
        <f t="shared" si="12"/>
        <v>34335.041536581622</v>
      </c>
      <c r="Q22" s="429" t="e">
        <f>'01 - Dados de Entrada'!#REF!*'02 - Evolução Populacional'!E21*365/1000</f>
        <v>#REF!</v>
      </c>
      <c r="R22" s="140">
        <f>'01 - Dados de Entrada'!$C$20*'02 - Evolução Populacional'!E21*365/1000</f>
        <v>333.5820650388701</v>
      </c>
      <c r="S22" s="4">
        <f t="shared" si="6"/>
        <v>34668.623601620493</v>
      </c>
      <c r="T22" s="125">
        <v>0.5</v>
      </c>
      <c r="U22" s="4">
        <f t="shared" si="7"/>
        <v>17334.311800810246</v>
      </c>
      <c r="V22" s="4">
        <f t="shared" si="13"/>
        <v>17334.311800810246</v>
      </c>
      <c r="W22" s="4">
        <f t="shared" si="14"/>
        <v>17334.311800810246</v>
      </c>
      <c r="X22" s="429" t="e">
        <f t="shared" si="9"/>
        <v>#REF!</v>
      </c>
      <c r="Y22" s="131">
        <f t="shared" si="10"/>
        <v>0.60320586438607204</v>
      </c>
      <c r="Z22" s="5"/>
    </row>
    <row r="23" spans="1:26" ht="13.15" customHeight="1" x14ac:dyDescent="0.2">
      <c r="A23" s="84">
        <f>'02 - Evolução Populacional'!A22</f>
        <v>15</v>
      </c>
      <c r="B23" s="84">
        <f>'02 - Evolução Populacional'!B22</f>
        <v>2039</v>
      </c>
      <c r="C23" s="25">
        <f>'01 - Dados de Entrada'!$C$18*'02 - Evolução Populacional'!E22*365/1000</f>
        <v>43452.858118909448</v>
      </c>
      <c r="D23" s="25">
        <f>C23*'01 - Dados de Entrada'!$C$26</f>
        <v>17381.143247563781</v>
      </c>
      <c r="E23" s="25">
        <f t="shared" si="0"/>
        <v>15208.500341618308</v>
      </c>
      <c r="F23" s="25">
        <f t="shared" si="1"/>
        <v>10863.214529727358</v>
      </c>
      <c r="G23" s="123">
        <v>0.02</v>
      </c>
      <c r="H23" s="23">
        <f t="shared" si="2"/>
        <v>347.62286495127563</v>
      </c>
      <c r="I23" s="124">
        <v>0.25</v>
      </c>
      <c r="J23" s="4">
        <f t="shared" si="3"/>
        <v>10863.214529727362</v>
      </c>
      <c r="K23" s="126">
        <v>0.8</v>
      </c>
      <c r="L23" s="4">
        <f t="shared" si="11"/>
        <v>8690.5716237818906</v>
      </c>
      <c r="M23" s="129">
        <f t="shared" si="4"/>
        <v>0.20000000000000004</v>
      </c>
      <c r="N23" s="5"/>
      <c r="O23" s="4">
        <f t="shared" si="5"/>
        <v>2172.6429059454713</v>
      </c>
      <c r="P23" s="138">
        <f t="shared" si="12"/>
        <v>34414.663630176277</v>
      </c>
      <c r="Q23" s="429" t="e">
        <f>'01 - Dados de Entrada'!#REF!*'02 - Evolução Populacional'!E22*365/1000</f>
        <v>#REF!</v>
      </c>
      <c r="R23" s="140">
        <f>'01 - Dados de Entrada'!$C$20*'02 - Evolução Populacional'!E22*365/1000</f>
        <v>334.35563341727806</v>
      </c>
      <c r="S23" s="4">
        <f t="shared" si="6"/>
        <v>34749.019263593553</v>
      </c>
      <c r="T23" s="125">
        <v>0.5</v>
      </c>
      <c r="U23" s="4">
        <f t="shared" si="7"/>
        <v>17374.509631796776</v>
      </c>
      <c r="V23" s="4">
        <f t="shared" si="13"/>
        <v>17374.509631796776</v>
      </c>
      <c r="W23" s="4">
        <f t="shared" si="14"/>
        <v>17374.509631796776</v>
      </c>
      <c r="X23" s="429" t="e">
        <f t="shared" si="9"/>
        <v>#REF!</v>
      </c>
      <c r="Y23" s="131">
        <f t="shared" si="10"/>
        <v>0.60320586438607204</v>
      </c>
      <c r="Z23" s="5"/>
    </row>
    <row r="24" spans="1:26" ht="13.15" customHeight="1" x14ac:dyDescent="0.2">
      <c r="A24" s="84">
        <f>'02 - Evolução Populacional'!A23</f>
        <v>16</v>
      </c>
      <c r="B24" s="84">
        <f>'02 - Evolução Populacional'!B23</f>
        <v>2040</v>
      </c>
      <c r="C24" s="25">
        <f>'01 - Dados de Entrada'!$C$18*'02 - Evolução Populacional'!E23*365/1000</f>
        <v>43553.391065367352</v>
      </c>
      <c r="D24" s="25">
        <f>C24*'01 - Dados de Entrada'!$C$26</f>
        <v>17421.35642614694</v>
      </c>
      <c r="E24" s="25">
        <f t="shared" si="0"/>
        <v>15243.686872878574</v>
      </c>
      <c r="F24" s="25">
        <f t="shared" si="1"/>
        <v>10888.347766341838</v>
      </c>
      <c r="G24" s="123">
        <v>0.02</v>
      </c>
      <c r="H24" s="23">
        <f t="shared" si="2"/>
        <v>348.4271285229388</v>
      </c>
      <c r="I24" s="124">
        <v>0.25</v>
      </c>
      <c r="J24" s="4">
        <f t="shared" si="3"/>
        <v>10888.347766341838</v>
      </c>
      <c r="K24" s="126">
        <v>0.8</v>
      </c>
      <c r="L24" s="4">
        <f t="shared" si="11"/>
        <v>8710.67821307347</v>
      </c>
      <c r="M24" s="129">
        <f t="shared" si="4"/>
        <v>0.19999999999999998</v>
      </c>
      <c r="N24" s="621">
        <v>0.28699999999999998</v>
      </c>
      <c r="O24" s="4">
        <f t="shared" si="5"/>
        <v>2177.669553268368</v>
      </c>
      <c r="P24" s="138">
        <f t="shared" si="12"/>
        <v>34494.28572377094</v>
      </c>
      <c r="Q24" s="429" t="e">
        <f>'01 - Dados de Entrada'!#REF!*'02 - Evolução Populacional'!E23*365/1000</f>
        <v>#REF!</v>
      </c>
      <c r="R24" s="140">
        <f>'01 - Dados de Entrada'!$C$20*'02 - Evolução Populacional'!E23*365/1000</f>
        <v>335.12920179568601</v>
      </c>
      <c r="S24" s="4">
        <f t="shared" si="6"/>
        <v>34829.414925566627</v>
      </c>
      <c r="T24" s="125">
        <v>0.6</v>
      </c>
      <c r="U24" s="4">
        <f t="shared" si="7"/>
        <v>20897.648955339977</v>
      </c>
      <c r="V24" s="4">
        <f t="shared" si="13"/>
        <v>13931.76597022665</v>
      </c>
      <c r="W24" s="4">
        <f t="shared" si="14"/>
        <v>13931.76597022665</v>
      </c>
      <c r="X24" s="429" t="e">
        <f t="shared" si="9"/>
        <v>#REF!</v>
      </c>
      <c r="Y24" s="131">
        <f t="shared" si="10"/>
        <v>0.68256469150885768</v>
      </c>
      <c r="Z24" s="133">
        <v>0.66700000000000004</v>
      </c>
    </row>
    <row r="25" spans="1:26" ht="13.15" customHeight="1" x14ac:dyDescent="0.2">
      <c r="A25" s="84">
        <f>'02 - Evolução Populacional'!A24</f>
        <v>17</v>
      </c>
      <c r="B25" s="84">
        <f>'02 - Evolução Populacional'!B24</f>
        <v>2041</v>
      </c>
      <c r="C25" s="25">
        <f>'01 - Dados de Entrada'!$C$18*'02 - Evolução Populacional'!E24*365/1000</f>
        <v>43561.715449468953</v>
      </c>
      <c r="D25" s="25">
        <f>C25*'01 - Dados de Entrada'!$C$26</f>
        <v>17424.686179787583</v>
      </c>
      <c r="E25" s="25">
        <f t="shared" si="0"/>
        <v>15246.600407314136</v>
      </c>
      <c r="F25" s="25">
        <f t="shared" si="1"/>
        <v>10890.428862367235</v>
      </c>
      <c r="G25" s="123">
        <v>0.02</v>
      </c>
      <c r="H25" s="23">
        <f t="shared" si="2"/>
        <v>348.49372359575165</v>
      </c>
      <c r="I25" s="124">
        <v>0.25</v>
      </c>
      <c r="J25" s="4">
        <f t="shared" si="3"/>
        <v>10890.428862367238</v>
      </c>
      <c r="K25" s="126">
        <v>0.8</v>
      </c>
      <c r="L25" s="4">
        <f t="shared" si="11"/>
        <v>8712.3430898937913</v>
      </c>
      <c r="M25" s="129">
        <f t="shared" si="4"/>
        <v>0.2</v>
      </c>
      <c r="N25" s="5"/>
      <c r="O25" s="4">
        <f t="shared" si="5"/>
        <v>2178.0857724734469</v>
      </c>
      <c r="P25" s="138">
        <f t="shared" si="12"/>
        <v>34500.878635979403</v>
      </c>
      <c r="Q25" s="429" t="e">
        <f>'01 - Dados de Entrada'!#REF!*'02 - Evolução Populacional'!E24*365/1000</f>
        <v>#REF!</v>
      </c>
      <c r="R25" s="140">
        <f>'01 - Dados de Entrada'!$C$20*'02 - Evolução Populacional'!E24*365/1000</f>
        <v>335.19325522829308</v>
      </c>
      <c r="S25" s="4">
        <f t="shared" si="6"/>
        <v>34836.071891207699</v>
      </c>
      <c r="T25" s="125">
        <v>0.6</v>
      </c>
      <c r="U25" s="4">
        <f t="shared" si="7"/>
        <v>20901.643134724618</v>
      </c>
      <c r="V25" s="4">
        <f t="shared" si="13"/>
        <v>13934.428756483081</v>
      </c>
      <c r="W25" s="4">
        <f t="shared" si="14"/>
        <v>13934.428756483081</v>
      </c>
      <c r="X25" s="429" t="e">
        <f t="shared" si="9"/>
        <v>#REF!</v>
      </c>
      <c r="Y25" s="131">
        <f t="shared" si="10"/>
        <v>0.68256469150885757</v>
      </c>
      <c r="Z25" s="132"/>
    </row>
    <row r="26" spans="1:26" ht="13.15" customHeight="1" x14ac:dyDescent="0.2">
      <c r="A26" s="84">
        <f>'02 - Evolução Populacional'!A25</f>
        <v>18</v>
      </c>
      <c r="B26" s="84">
        <f>'02 - Evolução Populacional'!B25</f>
        <v>2042</v>
      </c>
      <c r="C26" s="25">
        <f>'01 - Dados de Entrada'!$C$18*'02 - Evolução Populacional'!E25*365/1000</f>
        <v>43570.25327931677</v>
      </c>
      <c r="D26" s="25">
        <f>C26*'01 - Dados de Entrada'!$C$26</f>
        <v>17428.10131172671</v>
      </c>
      <c r="E26" s="25">
        <f t="shared" si="0"/>
        <v>15249.588647760871</v>
      </c>
      <c r="F26" s="25">
        <f t="shared" si="1"/>
        <v>10892.563319829189</v>
      </c>
      <c r="G26" s="123">
        <v>0.02</v>
      </c>
      <c r="H26" s="23">
        <f t="shared" si="2"/>
        <v>348.56202623453419</v>
      </c>
      <c r="I26" s="124">
        <v>0.25</v>
      </c>
      <c r="J26" s="4">
        <f t="shared" si="3"/>
        <v>10892.563319829193</v>
      </c>
      <c r="K26" s="126">
        <v>0.8</v>
      </c>
      <c r="L26" s="4">
        <f t="shared" si="11"/>
        <v>8714.0506558633551</v>
      </c>
      <c r="M26" s="129">
        <f t="shared" si="4"/>
        <v>0.20000000000000004</v>
      </c>
      <c r="N26" s="5"/>
      <c r="O26" s="4">
        <f t="shared" si="5"/>
        <v>2178.5126639658374</v>
      </c>
      <c r="P26" s="138">
        <f t="shared" si="12"/>
        <v>34507.64059721888</v>
      </c>
      <c r="Q26" s="429" t="e">
        <f>'01 - Dados de Entrada'!#REF!*'02 - Evolução Populacional'!E25*365/1000</f>
        <v>#REF!</v>
      </c>
      <c r="R26" s="140">
        <f>'01 - Dados de Entrada'!$C$20*'02 - Evolução Populacional'!E25*365/1000</f>
        <v>335.25895105660794</v>
      </c>
      <c r="S26" s="4">
        <f t="shared" si="6"/>
        <v>34842.899548275491</v>
      </c>
      <c r="T26" s="125">
        <v>0.6</v>
      </c>
      <c r="U26" s="4">
        <f t="shared" si="7"/>
        <v>20905.739728965294</v>
      </c>
      <c r="V26" s="4">
        <f t="shared" si="13"/>
        <v>13937.159819310196</v>
      </c>
      <c r="W26" s="4">
        <f t="shared" si="14"/>
        <v>13937.159819310196</v>
      </c>
      <c r="X26" s="429" t="e">
        <f t="shared" si="9"/>
        <v>#REF!</v>
      </c>
      <c r="Y26" s="131">
        <f t="shared" si="10"/>
        <v>0.68256469150885768</v>
      </c>
      <c r="Z26" s="132"/>
    </row>
    <row r="27" spans="1:26" ht="13.15" customHeight="1" x14ac:dyDescent="0.2">
      <c r="A27" s="84">
        <f>'02 - Evolução Populacional'!A26</f>
        <v>19</v>
      </c>
      <c r="B27" s="84">
        <f>'02 - Evolução Populacional'!B26</f>
        <v>2043</v>
      </c>
      <c r="C27" s="25">
        <f>'01 - Dados de Entrada'!$C$18*'02 - Evolução Populacional'!E26*365/1000</f>
        <v>43578.577663418379</v>
      </c>
      <c r="D27" s="25">
        <f>C27*'01 - Dados de Entrada'!$C$26</f>
        <v>17431.431065367353</v>
      </c>
      <c r="E27" s="25">
        <f t="shared" si="0"/>
        <v>15252.502182196435</v>
      </c>
      <c r="F27" s="25">
        <f t="shared" si="1"/>
        <v>10894.644415854591</v>
      </c>
      <c r="G27" s="123">
        <v>0.02</v>
      </c>
      <c r="H27" s="23">
        <f t="shared" si="2"/>
        <v>348.62862130734709</v>
      </c>
      <c r="I27" s="124">
        <v>0.25</v>
      </c>
      <c r="J27" s="4">
        <f t="shared" si="3"/>
        <v>10894.644415854595</v>
      </c>
      <c r="K27" s="126">
        <v>0.8</v>
      </c>
      <c r="L27" s="4">
        <f t="shared" si="11"/>
        <v>8715.7155326836764</v>
      </c>
      <c r="M27" s="129">
        <f t="shared" si="4"/>
        <v>0.2</v>
      </c>
      <c r="N27" s="5"/>
      <c r="O27" s="4">
        <f t="shared" si="5"/>
        <v>2178.9288831709182</v>
      </c>
      <c r="P27" s="138">
        <f t="shared" si="12"/>
        <v>34514.233509427359</v>
      </c>
      <c r="Q27" s="429" t="e">
        <f>'01 - Dados de Entrada'!#REF!*'02 - Evolução Populacional'!E26*365/1000</f>
        <v>#REF!</v>
      </c>
      <c r="R27" s="140">
        <f>'01 - Dados de Entrada'!$C$20*'02 - Evolução Populacional'!E26*365/1000</f>
        <v>335.32300448921495</v>
      </c>
      <c r="S27" s="4">
        <f t="shared" si="6"/>
        <v>34849.55651391657</v>
      </c>
      <c r="T27" s="125">
        <v>0.6</v>
      </c>
      <c r="U27" s="4">
        <f t="shared" si="7"/>
        <v>20909.733908349943</v>
      </c>
      <c r="V27" s="4">
        <f t="shared" si="13"/>
        <v>13939.822605566627</v>
      </c>
      <c r="W27" s="4">
        <f t="shared" si="14"/>
        <v>13939.822605566627</v>
      </c>
      <c r="X27" s="429" t="e">
        <f t="shared" si="9"/>
        <v>#REF!</v>
      </c>
      <c r="Y27" s="131">
        <f t="shared" si="10"/>
        <v>0.68256469150885779</v>
      </c>
      <c r="Z27" s="132"/>
    </row>
    <row r="28" spans="1:26" ht="13.15" customHeight="1" x14ac:dyDescent="0.2">
      <c r="A28" s="84">
        <f>'02 - Evolução Populacional'!A27</f>
        <v>20</v>
      </c>
      <c r="B28" s="84">
        <f>'02 - Evolução Populacional'!B27</f>
        <v>2044</v>
      </c>
      <c r="C28" s="25">
        <f>'01 - Dados de Entrada'!$C$18*'02 - Evolução Populacional'!E27*365/1000</f>
        <v>43586.90204751998</v>
      </c>
      <c r="D28" s="25">
        <f>C28*'01 - Dados de Entrada'!$C$26</f>
        <v>17434.760819007992</v>
      </c>
      <c r="E28" s="25">
        <f t="shared" si="0"/>
        <v>15255.415716631995</v>
      </c>
      <c r="F28" s="25">
        <f t="shared" si="1"/>
        <v>10896.725511879993</v>
      </c>
      <c r="G28" s="123">
        <v>0.02</v>
      </c>
      <c r="H28" s="23">
        <f t="shared" si="2"/>
        <v>348.69521638015982</v>
      </c>
      <c r="I28" s="124">
        <v>0.25</v>
      </c>
      <c r="J28" s="4">
        <f t="shared" si="3"/>
        <v>10896.725511879995</v>
      </c>
      <c r="K28" s="126">
        <v>0.8</v>
      </c>
      <c r="L28" s="4">
        <f t="shared" si="11"/>
        <v>8717.3804095039959</v>
      </c>
      <c r="M28" s="129">
        <f t="shared" si="4"/>
        <v>0.2</v>
      </c>
      <c r="N28" s="5"/>
      <c r="O28" s="4">
        <f t="shared" si="5"/>
        <v>2179.345102375999</v>
      </c>
      <c r="P28" s="138">
        <f t="shared" si="12"/>
        <v>34520.826421635822</v>
      </c>
      <c r="Q28" s="429" t="e">
        <f>'01 - Dados de Entrada'!#REF!*'02 - Evolução Populacional'!E27*365/1000</f>
        <v>#REF!</v>
      </c>
      <c r="R28" s="140">
        <f>'01 - Dados de Entrada'!$C$20*'02 - Evolução Populacional'!E27*365/1000</f>
        <v>335.38705792182202</v>
      </c>
      <c r="S28" s="4">
        <f t="shared" si="6"/>
        <v>34856.213479557642</v>
      </c>
      <c r="T28" s="125">
        <v>0.6</v>
      </c>
      <c r="U28" s="4">
        <f t="shared" si="7"/>
        <v>20913.728087734584</v>
      </c>
      <c r="V28" s="4">
        <f t="shared" si="13"/>
        <v>13942.485391823058</v>
      </c>
      <c r="W28" s="4">
        <f t="shared" si="14"/>
        <v>13942.485391823058</v>
      </c>
      <c r="X28" s="429" t="e">
        <f t="shared" si="9"/>
        <v>#REF!</v>
      </c>
      <c r="Y28" s="131">
        <f t="shared" si="10"/>
        <v>0.68256469150885768</v>
      </c>
      <c r="Z28" s="132"/>
    </row>
    <row r="29" spans="1:26" ht="13.15" customHeight="1" x14ac:dyDescent="0.2">
      <c r="A29" s="84">
        <f>'02 - Evolução Populacional'!A28</f>
        <v>21</v>
      </c>
      <c r="B29" s="84">
        <f>'02 - Evolução Populacional'!B28</f>
        <v>2045</v>
      </c>
      <c r="C29" s="25">
        <f>'01 - Dados de Entrada'!$C$18*'02 - Evolução Populacional'!E28*365/1000</f>
        <v>43595.439877367789</v>
      </c>
      <c r="D29" s="25">
        <f>C29*'01 - Dados de Entrada'!$C$26</f>
        <v>17438.175950947116</v>
      </c>
      <c r="E29" s="25">
        <f t="shared" si="0"/>
        <v>15258.403957078728</v>
      </c>
      <c r="F29" s="25">
        <f t="shared" si="1"/>
        <v>10898.859969341946</v>
      </c>
      <c r="G29" s="123">
        <v>0.02</v>
      </c>
      <c r="H29" s="23">
        <f t="shared" si="2"/>
        <v>348.7635190189423</v>
      </c>
      <c r="I29" s="124">
        <v>0.25</v>
      </c>
      <c r="J29" s="4">
        <f t="shared" si="3"/>
        <v>10898.859969341947</v>
      </c>
      <c r="K29" s="126">
        <v>0.8</v>
      </c>
      <c r="L29" s="4">
        <f t="shared" si="11"/>
        <v>8719.0879754735579</v>
      </c>
      <c r="M29" s="129">
        <f t="shared" si="4"/>
        <v>0.2</v>
      </c>
      <c r="N29" s="5"/>
      <c r="O29" s="4">
        <f t="shared" si="5"/>
        <v>2179.7719938683895</v>
      </c>
      <c r="P29" s="138">
        <f t="shared" si="12"/>
        <v>34527.588382875292</v>
      </c>
      <c r="Q29" s="429" t="e">
        <f>'01 - Dados de Entrada'!#REF!*'02 - Evolução Populacional'!E28*365/1000</f>
        <v>#REF!</v>
      </c>
      <c r="R29" s="140">
        <f>'01 - Dados de Entrada'!$C$20*'02 - Evolução Populacional'!E28*365/1000</f>
        <v>335.45275375013688</v>
      </c>
      <c r="S29" s="4">
        <f t="shared" si="6"/>
        <v>34863.041136625427</v>
      </c>
      <c r="T29" s="125">
        <v>0.6</v>
      </c>
      <c r="U29" s="4">
        <f t="shared" si="7"/>
        <v>20917.824681975257</v>
      </c>
      <c r="V29" s="4">
        <f t="shared" si="13"/>
        <v>13945.21645465017</v>
      </c>
      <c r="W29" s="4">
        <f t="shared" si="14"/>
        <v>13945.21645465017</v>
      </c>
      <c r="X29" s="429" t="e">
        <f t="shared" si="9"/>
        <v>#REF!</v>
      </c>
      <c r="Y29" s="131">
        <f t="shared" si="10"/>
        <v>0.68256469150885779</v>
      </c>
      <c r="Z29" s="132"/>
    </row>
    <row r="30" spans="1:26" ht="13.15" customHeight="1" x14ac:dyDescent="0.2">
      <c r="A30" s="84">
        <f>'02 - Evolução Populacional'!A29</f>
        <v>22</v>
      </c>
      <c r="B30" s="84">
        <f>'02 - Evolução Populacional'!B29</f>
        <v>2046</v>
      </c>
      <c r="C30" s="25">
        <f>'01 - Dados de Entrada'!$C$18*'02 - Evolução Populacional'!E29*365/1000</f>
        <v>43524.362443884813</v>
      </c>
      <c r="D30" s="25">
        <f>C30*'01 - Dados de Entrada'!$C$26</f>
        <v>17409.744977553924</v>
      </c>
      <c r="E30" s="25">
        <f t="shared" si="0"/>
        <v>15233.526855359685</v>
      </c>
      <c r="F30" s="25">
        <f t="shared" si="1"/>
        <v>10881.090610971203</v>
      </c>
      <c r="G30" s="123">
        <v>0.02</v>
      </c>
      <c r="H30" s="23">
        <f t="shared" si="2"/>
        <v>348.19489955107849</v>
      </c>
      <c r="I30" s="124">
        <v>0.25</v>
      </c>
      <c r="J30" s="4">
        <f t="shared" si="3"/>
        <v>10881.090610971203</v>
      </c>
      <c r="K30" s="126">
        <v>0.8</v>
      </c>
      <c r="L30" s="4">
        <f t="shared" si="11"/>
        <v>8704.8724887769622</v>
      </c>
      <c r="M30" s="129">
        <f t="shared" si="4"/>
        <v>0.19999999999999998</v>
      </c>
      <c r="N30" s="5"/>
      <c r="O30" s="4">
        <f t="shared" si="5"/>
        <v>2176.218122194241</v>
      </c>
      <c r="P30" s="138">
        <f t="shared" si="12"/>
        <v>34471.29505555678</v>
      </c>
      <c r="Q30" s="429" t="e">
        <f>'01 - Dados de Entrada'!#REF!*'02 - Evolução Populacional'!E29*365/1000</f>
        <v>#REF!</v>
      </c>
      <c r="R30" s="140">
        <f>'01 - Dados de Entrada'!$C$20*'02 - Evolução Populacional'!E29*365/1000</f>
        <v>334.90583597941531</v>
      </c>
      <c r="S30" s="4">
        <f t="shared" si="6"/>
        <v>34806.200891536195</v>
      </c>
      <c r="T30" s="125">
        <v>0.6</v>
      </c>
      <c r="U30" s="4">
        <f t="shared" si="7"/>
        <v>20883.720534921715</v>
      </c>
      <c r="V30" s="4">
        <f t="shared" si="13"/>
        <v>13922.48035661448</v>
      </c>
      <c r="W30" s="4">
        <f t="shared" si="14"/>
        <v>13922.48035661448</v>
      </c>
      <c r="X30" s="429" t="e">
        <f t="shared" si="9"/>
        <v>#REF!</v>
      </c>
      <c r="Y30" s="131">
        <f t="shared" si="10"/>
        <v>0.68256469150885768</v>
      </c>
      <c r="Z30" s="132"/>
    </row>
    <row r="31" spans="1:26" ht="13.15" customHeight="1" x14ac:dyDescent="0.2">
      <c r="A31" s="84">
        <f>'02 - Evolução Populacional'!A30</f>
        <v>23</v>
      </c>
      <c r="B31" s="84">
        <f>'02 - Evolução Populacional'!B30</f>
        <v>2047</v>
      </c>
      <c r="C31" s="25">
        <f>'01 - Dados de Entrada'!$C$18*'02 - Evolução Populacional'!E30*365/1000</f>
        <v>43453.285010401836</v>
      </c>
      <c r="D31" s="25">
        <f>C31*'01 - Dados de Entrada'!$C$26</f>
        <v>17381.314004160737</v>
      </c>
      <c r="E31" s="25">
        <f t="shared" si="0"/>
        <v>15208.649753640644</v>
      </c>
      <c r="F31" s="25">
        <f t="shared" si="1"/>
        <v>10863.321252600455</v>
      </c>
      <c r="G31" s="123">
        <v>0.02</v>
      </c>
      <c r="H31" s="23">
        <f t="shared" si="2"/>
        <v>347.62628008321474</v>
      </c>
      <c r="I31" s="124">
        <v>0.25</v>
      </c>
      <c r="J31" s="4">
        <f t="shared" si="3"/>
        <v>10863.321252600459</v>
      </c>
      <c r="K31" s="126">
        <v>0.8</v>
      </c>
      <c r="L31" s="4">
        <f t="shared" si="11"/>
        <v>8690.6570020803683</v>
      </c>
      <c r="M31" s="129">
        <f t="shared" si="4"/>
        <v>0.20000000000000004</v>
      </c>
      <c r="N31" s="5"/>
      <c r="O31" s="4">
        <f t="shared" si="5"/>
        <v>2172.6642505200907</v>
      </c>
      <c r="P31" s="138">
        <f t="shared" si="12"/>
        <v>34415.001728238261</v>
      </c>
      <c r="Q31" s="429" t="e">
        <f>'01 - Dados de Entrada'!#REF!*'02 - Evolução Populacional'!E30*365/1000</f>
        <v>#REF!</v>
      </c>
      <c r="R31" s="140">
        <f>'01 - Dados de Entrada'!$C$20*'02 - Evolução Populacional'!E30*365/1000</f>
        <v>334.35891820869381</v>
      </c>
      <c r="S31" s="4">
        <f t="shared" si="6"/>
        <v>34749.360646446956</v>
      </c>
      <c r="T31" s="125">
        <v>0.6</v>
      </c>
      <c r="U31" s="4">
        <f t="shared" si="7"/>
        <v>20849.616387868173</v>
      </c>
      <c r="V31" s="4">
        <f t="shared" si="13"/>
        <v>13899.744258578783</v>
      </c>
      <c r="W31" s="4">
        <f t="shared" si="14"/>
        <v>13899.744258578783</v>
      </c>
      <c r="X31" s="429" t="e">
        <f t="shared" si="9"/>
        <v>#REF!</v>
      </c>
      <c r="Y31" s="131">
        <f t="shared" si="10"/>
        <v>0.68256469150885779</v>
      </c>
      <c r="Z31" s="132"/>
    </row>
    <row r="32" spans="1:26" ht="13.15" customHeight="1" x14ac:dyDescent="0.2">
      <c r="A32" s="84">
        <f>'02 - Evolução Populacional'!A31</f>
        <v>24</v>
      </c>
      <c r="B32" s="84">
        <f>'02 - Evolução Populacional'!B31</f>
        <v>2048</v>
      </c>
      <c r="C32" s="25">
        <f>'01 - Dados de Entrada'!$C$18*'02 - Evolução Populacional'!E31*365/1000</f>
        <v>43382.20757691886</v>
      </c>
      <c r="D32" s="25">
        <f>C32*'01 - Dados de Entrada'!$C$26</f>
        <v>17352.883030767545</v>
      </c>
      <c r="E32" s="25">
        <f t="shared" si="0"/>
        <v>15183.772651921603</v>
      </c>
      <c r="F32" s="25">
        <f t="shared" si="1"/>
        <v>10845.551894229711</v>
      </c>
      <c r="G32" s="123">
        <v>0.02</v>
      </c>
      <c r="H32" s="23">
        <f t="shared" si="2"/>
        <v>347.05766061535093</v>
      </c>
      <c r="I32" s="124">
        <v>0.25</v>
      </c>
      <c r="J32" s="4">
        <f t="shared" si="3"/>
        <v>10845.551894229715</v>
      </c>
      <c r="K32" s="126">
        <v>0.8</v>
      </c>
      <c r="L32" s="4">
        <f t="shared" si="11"/>
        <v>8676.4415153837726</v>
      </c>
      <c r="M32" s="129">
        <f t="shared" si="4"/>
        <v>0.2</v>
      </c>
      <c r="N32" s="5"/>
      <c r="O32" s="4">
        <f t="shared" si="5"/>
        <v>2169.1103788459423</v>
      </c>
      <c r="P32" s="138">
        <f t="shared" si="12"/>
        <v>34358.708400919742</v>
      </c>
      <c r="Q32" s="429" t="e">
        <f>'01 - Dados de Entrada'!#REF!*'02 - Evolução Populacional'!E31*365/1000</f>
        <v>#REF!</v>
      </c>
      <c r="R32" s="140">
        <f>'01 - Dados de Entrada'!$C$20*'02 - Evolução Populacional'!E31*365/1000</f>
        <v>333.81200043797219</v>
      </c>
      <c r="S32" s="4">
        <f t="shared" si="6"/>
        <v>34692.520401357717</v>
      </c>
      <c r="T32" s="125">
        <v>0.6</v>
      </c>
      <c r="U32" s="4">
        <f t="shared" si="7"/>
        <v>20815.512240814631</v>
      </c>
      <c r="V32" s="4">
        <f t="shared" si="13"/>
        <v>13877.008160543086</v>
      </c>
      <c r="W32" s="4">
        <f t="shared" si="14"/>
        <v>13877.008160543086</v>
      </c>
      <c r="X32" s="429" t="e">
        <f t="shared" si="9"/>
        <v>#REF!</v>
      </c>
      <c r="Y32" s="131">
        <f t="shared" si="10"/>
        <v>0.68256469150885779</v>
      </c>
      <c r="Z32" s="132"/>
    </row>
    <row r="33" spans="1:26" ht="13.15" customHeight="1" x14ac:dyDescent="0.2">
      <c r="A33" s="84">
        <f>'02 - Evolução Populacional'!A32</f>
        <v>25</v>
      </c>
      <c r="B33" s="84">
        <f>'02 - Evolução Populacional'!B32</f>
        <v>2049</v>
      </c>
      <c r="C33" s="25">
        <f>'01 - Dados de Entrada'!$C$18*'02 - Evolução Populacional'!E32*365/1000</f>
        <v>43310.916697689689</v>
      </c>
      <c r="D33" s="25">
        <f>C33*'01 - Dados de Entrada'!$C$26</f>
        <v>17324.366679075876</v>
      </c>
      <c r="E33" s="25">
        <f t="shared" si="0"/>
        <v>15158.820844191392</v>
      </c>
      <c r="F33" s="25">
        <f t="shared" si="1"/>
        <v>10827.72917442242</v>
      </c>
      <c r="G33" s="123">
        <v>0.02</v>
      </c>
      <c r="H33" s="23">
        <f t="shared" si="2"/>
        <v>346.48733358151753</v>
      </c>
      <c r="I33" s="124">
        <v>0.25</v>
      </c>
      <c r="J33" s="4">
        <f t="shared" si="3"/>
        <v>10827.729174422422</v>
      </c>
      <c r="K33" s="126">
        <v>0.8</v>
      </c>
      <c r="L33" s="4">
        <f t="shared" si="11"/>
        <v>8662.1833395379381</v>
      </c>
      <c r="M33" s="129">
        <f t="shared" si="4"/>
        <v>0.2</v>
      </c>
      <c r="N33" s="5"/>
      <c r="O33" s="4">
        <f t="shared" si="5"/>
        <v>2165.5458348844841</v>
      </c>
      <c r="P33" s="138">
        <f t="shared" si="12"/>
        <v>34302.246024570231</v>
      </c>
      <c r="Q33" s="429" t="e">
        <f>'01 - Dados de Entrada'!#REF!*'02 - Evolução Populacional'!E32*365/1000</f>
        <v>#REF!</v>
      </c>
      <c r="R33" s="140">
        <f>'01 - Dados de Entrada'!$C$20*'02 - Evolução Populacional'!E32*365/1000</f>
        <v>333.26344027154278</v>
      </c>
      <c r="S33" s="4">
        <f t="shared" si="6"/>
        <v>34635.509464841773</v>
      </c>
      <c r="T33" s="125">
        <v>0.6</v>
      </c>
      <c r="U33" s="4">
        <f t="shared" si="7"/>
        <v>20781.305678905064</v>
      </c>
      <c r="V33" s="4">
        <f t="shared" si="13"/>
        <v>13854.203785936708</v>
      </c>
      <c r="W33" s="4">
        <f t="shared" si="14"/>
        <v>13854.203785936708</v>
      </c>
      <c r="X33" s="429" t="e">
        <f t="shared" si="9"/>
        <v>#REF!</v>
      </c>
      <c r="Y33" s="131">
        <f t="shared" si="10"/>
        <v>0.68256469150885768</v>
      </c>
      <c r="Z33" s="132"/>
    </row>
    <row r="34" spans="1:26" ht="13.15" customHeight="1" x14ac:dyDescent="0.2">
      <c r="A34" s="84">
        <f>'02 - Evolução Populacional'!A33</f>
        <v>26</v>
      </c>
      <c r="B34" s="84">
        <f>'02 - Evolução Populacional'!B33</f>
        <v>2050</v>
      </c>
      <c r="C34" s="25">
        <f>'01 - Dados de Entrada'!$C$18*'02 - Evolução Populacional'!E33*365/1000</f>
        <v>43239.839264206719</v>
      </c>
      <c r="D34" s="25">
        <f>C34*'01 - Dados de Entrada'!$C$26</f>
        <v>17295.935705682688</v>
      </c>
      <c r="E34" s="25">
        <f t="shared" si="0"/>
        <v>15133.943742472353</v>
      </c>
      <c r="F34" s="25">
        <f t="shared" si="1"/>
        <v>10809.959816051678</v>
      </c>
      <c r="G34" s="123">
        <v>0.02</v>
      </c>
      <c r="H34" s="23">
        <f t="shared" si="2"/>
        <v>345.91871411365378</v>
      </c>
      <c r="I34" s="124">
        <v>0.25</v>
      </c>
      <c r="J34" s="4">
        <f t="shared" si="3"/>
        <v>10809.95981605168</v>
      </c>
      <c r="K34" s="126">
        <v>0.8</v>
      </c>
      <c r="L34" s="4">
        <f t="shared" si="11"/>
        <v>8647.9678528413442</v>
      </c>
      <c r="M34" s="129">
        <f t="shared" si="4"/>
        <v>0.2</v>
      </c>
      <c r="N34" s="5"/>
      <c r="O34" s="4">
        <f t="shared" si="5"/>
        <v>2161.9919632103356</v>
      </c>
      <c r="P34" s="138">
        <f t="shared" si="12"/>
        <v>34245.95269725172</v>
      </c>
      <c r="Q34" s="429" t="e">
        <f>'01 - Dados de Entrada'!#REF!*'02 - Evolução Populacional'!E33*365/1000</f>
        <v>#REF!</v>
      </c>
      <c r="R34" s="140">
        <f>'01 - Dados de Entrada'!$C$20*'02 - Evolução Populacional'!E33*365/1000</f>
        <v>332.71652250082121</v>
      </c>
      <c r="S34" s="4">
        <f t="shared" si="6"/>
        <v>34578.669219752541</v>
      </c>
      <c r="T34" s="125">
        <v>0.6</v>
      </c>
      <c r="U34" s="4">
        <f t="shared" si="7"/>
        <v>20747.201531851522</v>
      </c>
      <c r="V34" s="4">
        <f t="shared" si="13"/>
        <v>13831.467687901019</v>
      </c>
      <c r="W34" s="4">
        <f t="shared" si="14"/>
        <v>13831.467687901019</v>
      </c>
      <c r="X34" s="429" t="e">
        <f t="shared" si="9"/>
        <v>#REF!</v>
      </c>
      <c r="Y34" s="131">
        <f t="shared" si="10"/>
        <v>0.68256469150885768</v>
      </c>
      <c r="Z34" s="132"/>
    </row>
    <row r="35" spans="1:26" ht="13.15" customHeight="1" x14ac:dyDescent="0.2">
      <c r="A35" s="84">
        <f>'02 - Evolução Populacional'!A34</f>
        <v>27</v>
      </c>
      <c r="B35" s="84">
        <f>'02 - Evolução Populacional'!B34</f>
        <v>2051</v>
      </c>
      <c r="C35" s="25">
        <f>'01 - Dados de Entrada'!$C$18*'02 - Evolução Populacional'!E34*365/1000</f>
        <v>43091.281024854921</v>
      </c>
      <c r="D35" s="25">
        <f>C35*'01 - Dados de Entrada'!$C$26</f>
        <v>17236.51240994197</v>
      </c>
      <c r="E35" s="25">
        <f t="shared" si="0"/>
        <v>15081.948358699225</v>
      </c>
      <c r="F35" s="25">
        <f t="shared" si="1"/>
        <v>10772.820256213727</v>
      </c>
      <c r="G35" s="123">
        <v>0.02</v>
      </c>
      <c r="H35" s="23">
        <f t="shared" si="2"/>
        <v>344.73024819883943</v>
      </c>
      <c r="I35" s="124">
        <v>0.25</v>
      </c>
      <c r="J35" s="4">
        <f t="shared" si="3"/>
        <v>10772.82025621373</v>
      </c>
      <c r="K35" s="126">
        <v>0.8</v>
      </c>
      <c r="L35" s="4">
        <f t="shared" si="11"/>
        <v>8618.256204970985</v>
      </c>
      <c r="M35" s="129">
        <f t="shared" si="4"/>
        <v>0.2</v>
      </c>
      <c r="N35" s="5"/>
      <c r="O35" s="4">
        <f t="shared" si="5"/>
        <v>2154.5640512427453</v>
      </c>
      <c r="P35" s="138">
        <f t="shared" si="12"/>
        <v>34128.294571685095</v>
      </c>
      <c r="Q35" s="429" t="e">
        <f>'01 - Dados de Entrada'!#REF!*'02 - Evolução Populacional'!E34*365/1000</f>
        <v>#REF!</v>
      </c>
      <c r="R35" s="140">
        <f>'01 - Dados de Entrada'!$C$20*'02 - Evolução Populacional'!E34*365/1000</f>
        <v>331.57341508814193</v>
      </c>
      <c r="S35" s="4">
        <f t="shared" si="6"/>
        <v>34459.867986773235</v>
      </c>
      <c r="T35" s="125">
        <v>0.6</v>
      </c>
      <c r="U35" s="4">
        <f t="shared" si="7"/>
        <v>20675.920792063942</v>
      </c>
      <c r="V35" s="4">
        <f t="shared" si="13"/>
        <v>13783.947194709293</v>
      </c>
      <c r="W35" s="4">
        <f t="shared" si="14"/>
        <v>13783.947194709293</v>
      </c>
      <c r="X35" s="429" t="e">
        <f t="shared" si="9"/>
        <v>#REF!</v>
      </c>
      <c r="Y35" s="131">
        <f t="shared" si="10"/>
        <v>0.68256469150885768</v>
      </c>
      <c r="Z35" s="132"/>
    </row>
    <row r="36" spans="1:26" ht="13.15" customHeight="1" x14ac:dyDescent="0.2">
      <c r="A36" s="84">
        <f>'02 - Evolução Populacional'!A35</f>
        <v>28</v>
      </c>
      <c r="B36" s="84">
        <f>'02 - Evolução Populacional'!B35</f>
        <v>2052</v>
      </c>
      <c r="C36" s="25">
        <f>'01 - Dados de Entrada'!$C$18*'02 - Evolução Populacional'!E35*365/1000</f>
        <v>42942.722785503116</v>
      </c>
      <c r="D36" s="25">
        <f>C36*'01 - Dados de Entrada'!$C$26</f>
        <v>17177.089114201248</v>
      </c>
      <c r="E36" s="25">
        <f t="shared" si="0"/>
        <v>15029.952974926093</v>
      </c>
      <c r="F36" s="25">
        <f t="shared" si="1"/>
        <v>10735.680696375775</v>
      </c>
      <c r="G36" s="123">
        <v>0.02</v>
      </c>
      <c r="H36" s="23">
        <f t="shared" si="2"/>
        <v>343.54178228402498</v>
      </c>
      <c r="I36" s="124">
        <v>0.25</v>
      </c>
      <c r="J36" s="4">
        <f t="shared" si="3"/>
        <v>10735.680696375779</v>
      </c>
      <c r="K36" s="126">
        <v>0.8</v>
      </c>
      <c r="L36" s="4">
        <f t="shared" si="11"/>
        <v>8588.5445571006239</v>
      </c>
      <c r="M36" s="129">
        <f t="shared" si="4"/>
        <v>0.2</v>
      </c>
      <c r="N36" s="5"/>
      <c r="O36" s="4">
        <f t="shared" si="5"/>
        <v>2147.1361392751551</v>
      </c>
      <c r="P36" s="138">
        <f t="shared" si="12"/>
        <v>34010.636446118471</v>
      </c>
      <c r="Q36" s="429" t="e">
        <f>'01 - Dados de Entrada'!#REF!*'02 - Evolução Populacional'!E35*365/1000</f>
        <v>#REF!</v>
      </c>
      <c r="R36" s="140">
        <f>'01 - Dados de Entrada'!$C$20*'02 - Evolução Populacional'!E35*365/1000</f>
        <v>330.43030767546264</v>
      </c>
      <c r="S36" s="4">
        <f t="shared" si="6"/>
        <v>34341.066753793937</v>
      </c>
      <c r="T36" s="125">
        <v>0.6</v>
      </c>
      <c r="U36" s="4">
        <f t="shared" si="7"/>
        <v>20604.640052276362</v>
      </c>
      <c r="V36" s="4">
        <f t="shared" si="13"/>
        <v>13736.426701517576</v>
      </c>
      <c r="W36" s="4">
        <f t="shared" si="14"/>
        <v>13736.426701517576</v>
      </c>
      <c r="X36" s="429" t="e">
        <f t="shared" si="9"/>
        <v>#REF!</v>
      </c>
      <c r="Y36" s="131">
        <f t="shared" si="10"/>
        <v>0.68256469150885768</v>
      </c>
      <c r="Z36" s="132"/>
    </row>
    <row r="37" spans="1:26" ht="13.15" customHeight="1" x14ac:dyDescent="0.2">
      <c r="A37" s="84">
        <f>'02 - Evolução Populacional'!A36</f>
        <v>29</v>
      </c>
      <c r="B37" s="84">
        <f>'02 - Evolução Populacional'!B36</f>
        <v>2053</v>
      </c>
      <c r="C37" s="25">
        <f>'01 - Dados de Entrada'!$C$18*'02 - Evolução Populacional'!E36*365/1000</f>
        <v>42794.164546151318</v>
      </c>
      <c r="D37" s="25">
        <f>C37*'01 - Dados de Entrada'!$C$26</f>
        <v>17117.665818460529</v>
      </c>
      <c r="E37" s="25">
        <f t="shared" si="0"/>
        <v>14977.957591152963</v>
      </c>
      <c r="F37" s="25">
        <f t="shared" si="1"/>
        <v>10698.541136537826</v>
      </c>
      <c r="G37" s="123">
        <v>0.02</v>
      </c>
      <c r="H37" s="23">
        <f t="shared" si="2"/>
        <v>342.35331636921057</v>
      </c>
      <c r="I37" s="124">
        <v>0.25</v>
      </c>
      <c r="J37" s="4">
        <f t="shared" si="3"/>
        <v>10698.54113653783</v>
      </c>
      <c r="K37" s="126">
        <v>0.8</v>
      </c>
      <c r="L37" s="4">
        <f t="shared" si="11"/>
        <v>8558.8329092302647</v>
      </c>
      <c r="M37" s="129">
        <f t="shared" si="4"/>
        <v>0.20000000000000004</v>
      </c>
      <c r="N37" s="5"/>
      <c r="O37" s="4">
        <f t="shared" si="5"/>
        <v>2139.7082273075648</v>
      </c>
      <c r="P37" s="138">
        <f t="shared" si="12"/>
        <v>33892.97832055184</v>
      </c>
      <c r="Q37" s="429" t="e">
        <f>'01 - Dados de Entrada'!#REF!*'02 - Evolução Populacional'!E36*365/1000</f>
        <v>#REF!</v>
      </c>
      <c r="R37" s="140">
        <f>'01 - Dados de Entrada'!$C$20*'02 - Evolução Populacional'!E36*365/1000</f>
        <v>329.2872002627833</v>
      </c>
      <c r="S37" s="4">
        <f t="shared" si="6"/>
        <v>34222.265520814624</v>
      </c>
      <c r="T37" s="125">
        <v>0.6</v>
      </c>
      <c r="U37" s="4">
        <f t="shared" si="7"/>
        <v>20533.359312488774</v>
      </c>
      <c r="V37" s="4">
        <f t="shared" si="13"/>
        <v>13688.90620832585</v>
      </c>
      <c r="W37" s="4">
        <f t="shared" si="14"/>
        <v>13688.90620832585</v>
      </c>
      <c r="X37" s="429" t="e">
        <f t="shared" si="9"/>
        <v>#REF!</v>
      </c>
      <c r="Y37" s="131">
        <f t="shared" si="10"/>
        <v>0.68256469150885757</v>
      </c>
      <c r="Z37" s="132"/>
    </row>
    <row r="38" spans="1:26" ht="13.15" customHeight="1" x14ac:dyDescent="0.2">
      <c r="A38" s="84">
        <f>'02 - Evolução Populacional'!A37</f>
        <v>30</v>
      </c>
      <c r="B38" s="84">
        <f>'02 - Evolução Populacional'!B37</f>
        <v>2054</v>
      </c>
      <c r="C38" s="25">
        <f>'01 - Dados de Entrada'!$C$18*'02 - Evolução Populacional'!E37*365/1000</f>
        <v>42645.819752545714</v>
      </c>
      <c r="D38" s="25">
        <f>C38*'01 - Dados de Entrada'!$C$26</f>
        <v>17058.327901018285</v>
      </c>
      <c r="E38" s="25">
        <f t="shared" si="0"/>
        <v>14926.036913391001</v>
      </c>
      <c r="F38" s="25">
        <f t="shared" si="1"/>
        <v>10661.454938136429</v>
      </c>
      <c r="G38" s="123">
        <v>0.02</v>
      </c>
      <c r="H38" s="23">
        <f t="shared" si="2"/>
        <v>341.1665580203657</v>
      </c>
      <c r="I38" s="124">
        <v>0.25</v>
      </c>
      <c r="J38" s="4">
        <f t="shared" si="3"/>
        <v>10661.454938136429</v>
      </c>
      <c r="K38" s="126">
        <v>0.8</v>
      </c>
      <c r="L38" s="4">
        <f t="shared" si="11"/>
        <v>8529.1639505091425</v>
      </c>
      <c r="M38" s="129">
        <f t="shared" si="4"/>
        <v>0.19999999999999998</v>
      </c>
      <c r="N38" s="5"/>
      <c r="O38" s="4">
        <f t="shared" si="5"/>
        <v>2132.2909876272861</v>
      </c>
      <c r="P38" s="138">
        <f t="shared" si="12"/>
        <v>33775.489244016208</v>
      </c>
      <c r="Q38" s="429" t="e">
        <f>'01 - Dados de Entrada'!#REF!*'02 - Evolução Populacional'!E37*365/1000</f>
        <v>#REF!</v>
      </c>
      <c r="R38" s="140">
        <f>'01 - Dados de Entrada'!$C$20*'02 - Evolução Populacional'!E37*365/1000</f>
        <v>328.14573524581192</v>
      </c>
      <c r="S38" s="4">
        <f t="shared" si="6"/>
        <v>34103.634979262017</v>
      </c>
      <c r="T38" s="125">
        <v>0.6</v>
      </c>
      <c r="U38" s="4">
        <f t="shared" si="7"/>
        <v>20462.180987557211</v>
      </c>
      <c r="V38" s="4">
        <f t="shared" si="13"/>
        <v>13641.453991704806</v>
      </c>
      <c r="W38" s="4">
        <f t="shared" si="14"/>
        <v>13641.453991704806</v>
      </c>
      <c r="X38" s="429" t="e">
        <f t="shared" si="9"/>
        <v>#REF!</v>
      </c>
      <c r="Y38" s="131">
        <f t="shared" si="10"/>
        <v>0.68256469150885768</v>
      </c>
      <c r="Z38" s="132"/>
    </row>
    <row r="39" spans="1:26" ht="13.15" customHeight="1" x14ac:dyDescent="0.2">
      <c r="A39" s="84">
        <f>'02 - Evolução Populacional'!A38</f>
        <v>31</v>
      </c>
      <c r="B39" s="84">
        <f>'02 - Evolução Populacional'!B38</f>
        <v>2055</v>
      </c>
      <c r="C39" s="25">
        <f>'01 - Dados de Entrada'!$C$18*'02 - Evolução Populacional'!E38*365/1000</f>
        <v>42497.261513193909</v>
      </c>
      <c r="D39" s="25">
        <f>C39*'01 - Dados de Entrada'!$C$26</f>
        <v>16998.904605277563</v>
      </c>
      <c r="E39" s="25">
        <f t="shared" si="0"/>
        <v>14874.041529617869</v>
      </c>
      <c r="F39" s="25">
        <f t="shared" si="1"/>
        <v>10624.315378298477</v>
      </c>
      <c r="G39" s="123">
        <v>0.02</v>
      </c>
      <c r="H39" s="23">
        <f t="shared" si="2"/>
        <v>339.97809210555124</v>
      </c>
      <c r="I39" s="124">
        <v>0.25</v>
      </c>
      <c r="J39" s="4">
        <f t="shared" si="3"/>
        <v>10624.315378298477</v>
      </c>
      <c r="K39" s="126">
        <v>0.8</v>
      </c>
      <c r="L39" s="4">
        <f t="shared" si="11"/>
        <v>8499.4523026387815</v>
      </c>
      <c r="M39" s="129">
        <f t="shared" si="4"/>
        <v>0.19999999999999998</v>
      </c>
      <c r="N39" s="5"/>
      <c r="O39" s="4">
        <f t="shared" si="5"/>
        <v>2124.8630756596958</v>
      </c>
      <c r="P39" s="138">
        <f t="shared" si="12"/>
        <v>33657.831118449576</v>
      </c>
      <c r="Q39" s="429" t="e">
        <f>'01 - Dados de Entrada'!#REF!*'02 - Evolução Populacional'!E38*365/1000</f>
        <v>#REF!</v>
      </c>
      <c r="R39" s="140">
        <f>'01 - Dados de Entrada'!$C$20*'02 - Evolução Populacional'!E38*365/1000</f>
        <v>327.00262783313264</v>
      </c>
      <c r="S39" s="4">
        <f t="shared" si="6"/>
        <v>33984.833746282711</v>
      </c>
      <c r="T39" s="125">
        <v>0.6</v>
      </c>
      <c r="U39" s="4">
        <f t="shared" si="7"/>
        <v>20390.900247769627</v>
      </c>
      <c r="V39" s="4">
        <f t="shared" si="13"/>
        <v>13593.933498513084</v>
      </c>
      <c r="W39" s="4">
        <f t="shared" si="14"/>
        <v>13593.933498513084</v>
      </c>
      <c r="X39" s="429" t="e">
        <f t="shared" si="9"/>
        <v>#REF!</v>
      </c>
      <c r="Y39" s="131">
        <f t="shared" si="10"/>
        <v>0.68256469150885768</v>
      </c>
      <c r="Z39" s="132"/>
    </row>
    <row r="40" spans="1:26" ht="13.15" customHeight="1" x14ac:dyDescent="0.2">
      <c r="A40" s="84">
        <f>'02 - Evolução Populacional'!A39</f>
        <v>32</v>
      </c>
      <c r="B40" s="84">
        <f>'02 - Evolução Populacional'!B39</f>
        <v>2056</v>
      </c>
      <c r="C40" s="25">
        <f>'01 - Dados de Entrada'!$C$18*'02 - Evolução Populacional'!E39*365/1000</f>
        <v>42253.719916785281</v>
      </c>
      <c r="D40" s="25">
        <f>C40*'01 - Dados de Entrada'!$C$26</f>
        <v>16901.487966714114</v>
      </c>
      <c r="E40" s="25">
        <f>C40*$E$7</f>
        <v>14788.801970874851</v>
      </c>
      <c r="F40" s="25">
        <f>C40-D40-E40</f>
        <v>10563.429979196317</v>
      </c>
      <c r="G40" s="123">
        <v>0.02</v>
      </c>
      <c r="H40" s="23">
        <f t="shared" si="2"/>
        <v>338.02975933428229</v>
      </c>
      <c r="I40" s="124">
        <v>0.25</v>
      </c>
      <c r="J40" s="4">
        <f t="shared" si="3"/>
        <v>10563.42997919632</v>
      </c>
      <c r="K40" s="126">
        <v>0.8</v>
      </c>
      <c r="L40" s="4">
        <f t="shared" si="11"/>
        <v>8450.743983357057</v>
      </c>
      <c r="M40" s="129">
        <f t="shared" si="4"/>
        <v>0.2</v>
      </c>
      <c r="N40" s="5"/>
      <c r="O40" s="4">
        <f t="shared" si="5"/>
        <v>2112.6859958392633</v>
      </c>
      <c r="P40" s="138">
        <f t="shared" si="12"/>
        <v>33464.946174093944</v>
      </c>
      <c r="Q40" s="429" t="e">
        <f>'01 - Dados de Entrada'!#REF!*'02 - Evolução Populacional'!E39*365/1000</f>
        <v>#REF!</v>
      </c>
      <c r="R40" s="140">
        <f>'01 - Dados de Entrada'!$C$20*'02 - Evolução Populacional'!E39*365/1000</f>
        <v>325.12865433045005</v>
      </c>
      <c r="S40" s="4">
        <f t="shared" si="6"/>
        <v>33790.074828424396</v>
      </c>
      <c r="T40" s="125">
        <v>0.6</v>
      </c>
      <c r="U40" s="4">
        <f t="shared" si="7"/>
        <v>20274.044897054639</v>
      </c>
      <c r="V40" s="4">
        <f t="shared" si="13"/>
        <v>13516.029931369758</v>
      </c>
      <c r="W40" s="4">
        <f t="shared" si="14"/>
        <v>13516.029931369758</v>
      </c>
      <c r="X40" s="429" t="e">
        <f t="shared" si="9"/>
        <v>#REF!</v>
      </c>
      <c r="Y40" s="131">
        <f t="shared" si="10"/>
        <v>0.68256469150885779</v>
      </c>
      <c r="Z40" s="132"/>
    </row>
    <row r="41" spans="1:26" ht="13.15" customHeight="1" x14ac:dyDescent="0.2">
      <c r="A41" s="84">
        <f>'02 - Evolução Populacional'!A40</f>
        <v>33</v>
      </c>
      <c r="B41" s="84">
        <f>'02 - Evolução Populacional'!B40</f>
        <v>2057</v>
      </c>
      <c r="C41" s="25">
        <f>'01 - Dados de Entrada'!$C$18*'02 - Evolução Populacional'!E40*365/1000</f>
        <v>42010.391766122848</v>
      </c>
      <c r="D41" s="25">
        <f>C41*'01 - Dados de Entrada'!$C$26</f>
        <v>16804.156706449139</v>
      </c>
      <c r="E41" s="25">
        <f>C41*$E$7</f>
        <v>14703.637118142999</v>
      </c>
      <c r="F41" s="25">
        <f>C41-D41-E41</f>
        <v>10502.59794153071</v>
      </c>
      <c r="G41" s="123">
        <v>0.02</v>
      </c>
      <c r="H41" s="23">
        <f t="shared" si="2"/>
        <v>336.08313412898281</v>
      </c>
      <c r="I41" s="124">
        <v>0.25</v>
      </c>
      <c r="J41" s="4">
        <f t="shared" si="3"/>
        <v>10502.597941530712</v>
      </c>
      <c r="K41" s="126">
        <v>0.8</v>
      </c>
      <c r="L41" s="4">
        <f t="shared" si="11"/>
        <v>8402.0783532245696</v>
      </c>
      <c r="M41" s="129">
        <f t="shared" si="4"/>
        <v>0.2</v>
      </c>
      <c r="N41" s="5"/>
      <c r="O41" s="4">
        <f t="shared" si="5"/>
        <v>2100.5195883061424</v>
      </c>
      <c r="P41" s="138">
        <f t="shared" si="12"/>
        <v>33272.230278769297</v>
      </c>
      <c r="Q41" s="429" t="e">
        <f>'01 - Dados de Entrada'!#REF!*'02 - Evolução Populacional'!E40*365/1000</f>
        <v>#REF!</v>
      </c>
      <c r="R41" s="140">
        <f>'01 - Dados de Entrada'!$C$20*'02 - Evolução Populacional'!E40*365/1000</f>
        <v>323.25632322347536</v>
      </c>
      <c r="S41" s="4">
        <f t="shared" si="6"/>
        <v>33595.486601992772</v>
      </c>
      <c r="T41" s="125">
        <v>0.6</v>
      </c>
      <c r="U41" s="4">
        <f t="shared" si="7"/>
        <v>20157.291961195664</v>
      </c>
      <c r="V41" s="4">
        <f t="shared" si="13"/>
        <v>13438.194640797108</v>
      </c>
      <c r="W41" s="4">
        <f t="shared" si="14"/>
        <v>13438.194640797108</v>
      </c>
      <c r="X41" s="429" t="e">
        <f t="shared" si="9"/>
        <v>#REF!</v>
      </c>
      <c r="Y41" s="131">
        <f t="shared" si="10"/>
        <v>0.68256469150885768</v>
      </c>
      <c r="Z41" s="132"/>
    </row>
    <row r="42" spans="1:26" ht="13.15" customHeight="1" x14ac:dyDescent="0.2">
      <c r="A42" s="84">
        <f>'02 - Evolução Populacional'!A41</f>
        <v>34</v>
      </c>
      <c r="B42" s="84">
        <f>'02 - Evolução Populacional'!B41</f>
        <v>2058</v>
      </c>
      <c r="C42" s="25">
        <f>'01 - Dados de Entrada'!$C$18*'02 - Evolução Populacional'!E41*365/1000</f>
        <v>41766.85016971422</v>
      </c>
      <c r="D42" s="25">
        <f>C42*'01 - Dados de Entrada'!$C$26</f>
        <v>16706.74006788569</v>
      </c>
      <c r="E42" s="25">
        <f>C42*$E$7</f>
        <v>14618.397559399978</v>
      </c>
      <c r="F42" s="25">
        <f>C42-D42-E42</f>
        <v>10441.712542428551</v>
      </c>
      <c r="G42" s="123">
        <v>0.02</v>
      </c>
      <c r="H42" s="23">
        <f t="shared" si="2"/>
        <v>334.1348013577138</v>
      </c>
      <c r="I42" s="124">
        <v>0.25</v>
      </c>
      <c r="J42" s="4">
        <f t="shared" si="3"/>
        <v>10441.712542428555</v>
      </c>
      <c r="K42" s="126">
        <v>0.8</v>
      </c>
      <c r="L42" s="4">
        <f t="shared" si="11"/>
        <v>8353.3700339428451</v>
      </c>
      <c r="M42" s="129">
        <f t="shared" si="4"/>
        <v>0.20000000000000004</v>
      </c>
      <c r="N42" s="5"/>
      <c r="O42" s="4">
        <f t="shared" si="5"/>
        <v>2088.3425084857099</v>
      </c>
      <c r="P42" s="138">
        <f t="shared" si="12"/>
        <v>33079.345334413658</v>
      </c>
      <c r="Q42" s="429" t="e">
        <f>'01 - Dados de Entrada'!#REF!*'02 - Evolução Populacional'!E41*365/1000</f>
        <v>#REF!</v>
      </c>
      <c r="R42" s="140">
        <f>'01 - Dados de Entrada'!$C$20*'02 - Evolução Populacional'!E41*365/1000</f>
        <v>321.38234972079277</v>
      </c>
      <c r="S42" s="4">
        <f t="shared" si="6"/>
        <v>33400.72768413445</v>
      </c>
      <c r="T42" s="125">
        <v>0.6</v>
      </c>
      <c r="U42" s="4">
        <f t="shared" si="7"/>
        <v>20040.436610480669</v>
      </c>
      <c r="V42" s="4">
        <f t="shared" si="13"/>
        <v>13360.291073653781</v>
      </c>
      <c r="W42" s="4">
        <f t="shared" si="14"/>
        <v>13360.291073653781</v>
      </c>
      <c r="X42" s="429" t="e">
        <f t="shared" si="9"/>
        <v>#REF!</v>
      </c>
      <c r="Y42" s="131">
        <f t="shared" si="10"/>
        <v>0.68256469150885768</v>
      </c>
      <c r="Z42" s="132"/>
    </row>
    <row r="43" spans="1:26" ht="13.15" customHeight="1" x14ac:dyDescent="0.2">
      <c r="A43" s="84">
        <f>'02 - Evolução Populacional'!A42</f>
        <v>35</v>
      </c>
      <c r="B43" s="84">
        <f>'02 - Evolução Populacional'!B42</f>
        <v>2059</v>
      </c>
      <c r="C43" s="25">
        <f>'01 - Dados de Entrada'!$C$18*'02 - Evolução Populacional'!E42*365/1000</f>
        <v>41523.735464797981</v>
      </c>
      <c r="D43" s="25">
        <f>C43*'01 - Dados de Entrada'!$C$26</f>
        <v>16609.494185919193</v>
      </c>
      <c r="E43" s="25">
        <f>C43*$E$7</f>
        <v>14533.307412679294</v>
      </c>
      <c r="F43" s="25">
        <f>C43-D43-E43</f>
        <v>10380.933866199493</v>
      </c>
      <c r="G43" s="123">
        <v>0.02</v>
      </c>
      <c r="H43" s="23">
        <f t="shared" si="2"/>
        <v>332.1898837183839</v>
      </c>
      <c r="I43" s="124">
        <v>0.25</v>
      </c>
      <c r="J43" s="4">
        <f t="shared" si="3"/>
        <v>10380.933866199495</v>
      </c>
      <c r="K43" s="126">
        <v>0.8</v>
      </c>
      <c r="L43" s="4">
        <f t="shared" si="11"/>
        <v>8304.7470929595966</v>
      </c>
      <c r="M43" s="129">
        <f t="shared" si="4"/>
        <v>0.2</v>
      </c>
      <c r="N43" s="5"/>
      <c r="O43" s="4">
        <f t="shared" si="5"/>
        <v>2076.1867732398987</v>
      </c>
      <c r="P43" s="138">
        <f t="shared" si="12"/>
        <v>32886.798488120003</v>
      </c>
      <c r="Q43" s="429" t="e">
        <f>'01 - Dados de Entrada'!#REF!*'02 - Evolução Populacional'!E42*365/1000</f>
        <v>#REF!</v>
      </c>
      <c r="R43" s="140">
        <f>'01 - Dados de Entrada'!$C$20*'02 - Evolução Populacional'!E42*365/1000</f>
        <v>319.51166100952594</v>
      </c>
      <c r="S43" s="4">
        <f t="shared" si="6"/>
        <v>33206.310149129531</v>
      </c>
      <c r="T43" s="125">
        <v>0.6</v>
      </c>
      <c r="U43" s="4">
        <f t="shared" si="7"/>
        <v>19923.786089477719</v>
      </c>
      <c r="V43" s="4">
        <f t="shared" si="13"/>
        <v>13282.524059651812</v>
      </c>
      <c r="W43" s="4">
        <f t="shared" si="14"/>
        <v>13282.524059651812</v>
      </c>
      <c r="X43" s="429" t="e">
        <f t="shared" si="9"/>
        <v>#REF!</v>
      </c>
      <c r="Y43" s="131">
        <f t="shared" si="10"/>
        <v>0.68256469150885768</v>
      </c>
      <c r="Z43" s="132"/>
    </row>
    <row r="44" spans="1:26" ht="13.15" customHeight="1" x14ac:dyDescent="0.2">
      <c r="C44" s="620">
        <f>SUM(C9:C43)</f>
        <v>1494551.5972188772</v>
      </c>
      <c r="D44" s="620">
        <f>SUM(D9:D43)</f>
        <v>597820.63888755057</v>
      </c>
      <c r="E44" s="620">
        <f>SUM(E9:E43)</f>
        <v>523093.05902660673</v>
      </c>
      <c r="F44" s="620">
        <f>SUM(F9:F43)</f>
        <v>373637.89930471918</v>
      </c>
      <c r="G44" s="128"/>
      <c r="H44" s="128">
        <f>SUM(H9:H43)</f>
        <v>11303.50016958283</v>
      </c>
      <c r="I44" s="128"/>
      <c r="J44" s="128">
        <f>SUM(J9:J43)</f>
        <v>367335.90353246476</v>
      </c>
      <c r="K44" s="128"/>
      <c r="L44" s="128">
        <f>SUM(L9:L43)</f>
        <v>278802.8700622227</v>
      </c>
      <c r="M44" s="128"/>
      <c r="N44" s="128"/>
      <c r="O44" s="128">
        <f>SUM(O9:O43)</f>
        <v>88533.033470241964</v>
      </c>
      <c r="P44" s="128">
        <f>SUM(P9:P43)</f>
        <v>1204445.2269870713</v>
      </c>
      <c r="Q44" s="430" t="e">
        <f>SUM(Q9:Q43)</f>
        <v>#REF!</v>
      </c>
      <c r="R44" s="128">
        <f>SUM(R9:R43)</f>
        <v>11500.089236833463</v>
      </c>
      <c r="S44" s="128">
        <f>SUM(S9:S43)</f>
        <v>1215945.3162239045</v>
      </c>
      <c r="T44" s="128"/>
      <c r="U44" s="128">
        <f>SUM(U9:U43)</f>
        <v>605061.69110644259</v>
      </c>
      <c r="V44" s="128">
        <f>SUM(V9:V43)</f>
        <v>467532.94583250408</v>
      </c>
      <c r="W44" s="128">
        <f>SUM(W9:W43)</f>
        <v>610883.62511746178</v>
      </c>
      <c r="X44" s="430" t="e">
        <f>SUM(X9:X43)</f>
        <v>#REF!</v>
      </c>
      <c r="Y44" s="128"/>
      <c r="Z44" s="128"/>
    </row>
    <row r="45" spans="1:26" ht="13.15" customHeight="1" x14ac:dyDescent="0.2"/>
    <row r="46" spans="1:26" ht="13.15" customHeight="1" x14ac:dyDescent="0.2"/>
    <row r="47" spans="1:26" ht="13.15" customHeight="1" x14ac:dyDescent="0.2"/>
    <row r="48" spans="1:26" ht="13.15" customHeight="1" x14ac:dyDescent="0.2"/>
    <row r="49" ht="13.15" customHeight="1" x14ac:dyDescent="0.2"/>
    <row r="50" ht="13.15" customHeight="1" x14ac:dyDescent="0.2"/>
    <row r="51" ht="13.15" customHeight="1" x14ac:dyDescent="0.2"/>
    <row r="52" ht="13.15" customHeight="1" x14ac:dyDescent="0.2"/>
    <row r="53" ht="13.15" customHeight="1" x14ac:dyDescent="0.2"/>
    <row r="54" ht="13.15" customHeight="1" x14ac:dyDescent="0.2"/>
    <row r="55" ht="13.15" customHeight="1" x14ac:dyDescent="0.2"/>
    <row r="56" ht="13.15" customHeight="1" x14ac:dyDescent="0.2"/>
    <row r="57" ht="13.15" customHeight="1" x14ac:dyDescent="0.2"/>
    <row r="58" ht="13.15" customHeight="1" x14ac:dyDescent="0.2"/>
    <row r="59" ht="13.15" customHeight="1" x14ac:dyDescent="0.2"/>
    <row r="60" ht="13.15" customHeight="1" x14ac:dyDescent="0.2"/>
    <row r="61" ht="13.15" customHeight="1" x14ac:dyDescent="0.2"/>
  </sheetData>
  <mergeCells count="6">
    <mergeCell ref="W5:Z5"/>
    <mergeCell ref="A5:B6"/>
    <mergeCell ref="C5:F5"/>
    <mergeCell ref="G5:H5"/>
    <mergeCell ref="I5:O5"/>
    <mergeCell ref="P5:V5"/>
  </mergeCells>
  <pageMargins left="0.511811024" right="0.511811024" top="0.78740157499999996" bottom="0.78740157499999996" header="0.31496062000000002" footer="0.31496062000000002"/>
  <pageSetup paperSize="9" scale="3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A1:AJ79"/>
  <sheetViews>
    <sheetView showGridLines="0" zoomScale="85" zoomScaleNormal="85" workbookViewId="0">
      <pane xSplit="1" ySplit="5" topLeftCell="B6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7109375" defaultRowHeight="13.15" customHeight="1" x14ac:dyDescent="0.2"/>
  <cols>
    <col min="1" max="1" width="64.42578125" style="20" customWidth="1"/>
    <col min="2" max="8" width="8.7109375" style="20" customWidth="1"/>
    <col min="9" max="9" width="10.42578125" style="20" bestFit="1" customWidth="1"/>
    <col min="10" max="25" width="8.7109375" style="20" customWidth="1"/>
    <col min="26" max="26" width="7" style="20" bestFit="1" customWidth="1"/>
    <col min="27" max="31" width="8.7109375" style="20" customWidth="1"/>
    <col min="32" max="16384" width="10.7109375" style="20"/>
  </cols>
  <sheetData>
    <row r="1" spans="1:36" ht="13.15" customHeight="1" x14ac:dyDescent="0.2">
      <c r="A1" s="21" t="s">
        <v>0</v>
      </c>
      <c r="B1" s="21"/>
      <c r="C1" s="492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</row>
    <row r="2" spans="1:36" ht="13.15" customHeight="1" x14ac:dyDescent="0.2">
      <c r="A2" s="21" t="s">
        <v>1</v>
      </c>
      <c r="B2" s="21"/>
      <c r="C2" s="492"/>
      <c r="D2" s="493"/>
      <c r="E2" s="493"/>
      <c r="F2" s="493"/>
      <c r="G2" s="493"/>
      <c r="H2" s="493"/>
      <c r="I2" s="66"/>
      <c r="J2" s="494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66"/>
      <c r="AA2" s="493"/>
      <c r="AB2" s="493"/>
      <c r="AC2" s="493"/>
      <c r="AD2" s="493"/>
      <c r="AE2" s="493"/>
      <c r="AF2" s="493"/>
      <c r="AG2" s="493"/>
      <c r="AH2" s="493"/>
      <c r="AI2" s="493"/>
      <c r="AJ2" s="493"/>
    </row>
    <row r="3" spans="1:36" ht="13.15" customHeight="1" x14ac:dyDescent="0.2">
      <c r="A3" s="21" t="s">
        <v>773</v>
      </c>
      <c r="B3" s="21"/>
      <c r="C3" s="492"/>
      <c r="D3" s="493"/>
      <c r="E3" s="493"/>
      <c r="F3" s="493"/>
      <c r="G3" s="493"/>
      <c r="H3" s="493"/>
      <c r="I3" s="493"/>
      <c r="J3" s="494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</row>
    <row r="4" spans="1:36" ht="13.15" customHeight="1" x14ac:dyDescent="0.2">
      <c r="A4" s="493"/>
      <c r="B4" s="66"/>
      <c r="C4" s="66"/>
      <c r="D4" s="493"/>
      <c r="E4" s="495"/>
      <c r="F4" s="493"/>
      <c r="G4" s="493"/>
      <c r="H4" s="493"/>
      <c r="I4" s="493"/>
      <c r="J4" s="494"/>
      <c r="K4" s="493"/>
      <c r="L4" s="493"/>
      <c r="M4" s="493"/>
      <c r="N4" s="493"/>
      <c r="O4" s="493"/>
      <c r="P4" s="493"/>
      <c r="Q4" s="493"/>
      <c r="R4" s="493"/>
      <c r="S4" s="493"/>
      <c r="T4" s="493"/>
      <c r="U4" s="493"/>
      <c r="V4" s="493"/>
      <c r="W4" s="493"/>
      <c r="X4" s="493"/>
      <c r="Y4" s="493"/>
      <c r="Z4" s="493"/>
      <c r="AA4" s="493"/>
      <c r="AB4" s="493"/>
      <c r="AC4" s="493"/>
      <c r="AD4" s="493"/>
      <c r="AE4" s="493"/>
      <c r="AF4" s="493"/>
      <c r="AG4" s="493"/>
      <c r="AH4" s="493"/>
      <c r="AI4" s="493"/>
      <c r="AJ4" s="493"/>
    </row>
    <row r="5" spans="1:36" s="21" customFormat="1" ht="13.15" customHeight="1" x14ac:dyDescent="0.2">
      <c r="A5" s="11" t="s">
        <v>774</v>
      </c>
      <c r="B5" s="9" t="s">
        <v>775</v>
      </c>
      <c r="C5" s="9" t="s">
        <v>776</v>
      </c>
      <c r="D5" s="9" t="s">
        <v>777</v>
      </c>
      <c r="E5" s="9" t="s">
        <v>778</v>
      </c>
      <c r="F5" s="9" t="s">
        <v>779</v>
      </c>
      <c r="G5" s="9" t="s">
        <v>780</v>
      </c>
      <c r="H5" s="9" t="s">
        <v>781</v>
      </c>
      <c r="I5" s="9" t="s">
        <v>782</v>
      </c>
      <c r="J5" s="9" t="s">
        <v>783</v>
      </c>
      <c r="K5" s="9" t="s">
        <v>717</v>
      </c>
      <c r="L5" s="9" t="s">
        <v>718</v>
      </c>
      <c r="M5" s="9" t="s">
        <v>719</v>
      </c>
      <c r="N5" s="9" t="s">
        <v>720</v>
      </c>
      <c r="O5" s="9" t="s">
        <v>721</v>
      </c>
      <c r="P5" s="9" t="s">
        <v>722</v>
      </c>
      <c r="Q5" s="9" t="s">
        <v>723</v>
      </c>
      <c r="R5" s="9" t="s">
        <v>724</v>
      </c>
      <c r="S5" s="9" t="s">
        <v>725</v>
      </c>
      <c r="T5" s="9" t="s">
        <v>726</v>
      </c>
      <c r="U5" s="9" t="s">
        <v>727</v>
      </c>
      <c r="V5" s="9" t="s">
        <v>728</v>
      </c>
      <c r="W5" s="9" t="s">
        <v>729</v>
      </c>
      <c r="X5" s="9" t="s">
        <v>730</v>
      </c>
      <c r="Y5" s="9" t="s">
        <v>731</v>
      </c>
      <c r="Z5" s="9" t="s">
        <v>732</v>
      </c>
      <c r="AA5" s="9" t="s">
        <v>733</v>
      </c>
      <c r="AB5" s="9" t="s">
        <v>734</v>
      </c>
      <c r="AC5" s="9" t="s">
        <v>735</v>
      </c>
      <c r="AD5" s="9" t="s">
        <v>736</v>
      </c>
      <c r="AE5" s="9" t="s">
        <v>737</v>
      </c>
      <c r="AF5" s="9" t="s">
        <v>738</v>
      </c>
      <c r="AG5" s="9" t="s">
        <v>739</v>
      </c>
      <c r="AH5" s="9" t="s">
        <v>740</v>
      </c>
      <c r="AI5" s="9" t="s">
        <v>741</v>
      </c>
      <c r="AJ5" s="9" t="s">
        <v>742</v>
      </c>
    </row>
    <row r="6" spans="1:36" s="21" customFormat="1" ht="13.15" customHeight="1" x14ac:dyDescent="0.2">
      <c r="A6" s="26" t="s">
        <v>784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6" s="35" customFormat="1" ht="13.15" customHeight="1" x14ac:dyDescent="0.2">
      <c r="A7" s="34" t="s">
        <v>785</v>
      </c>
      <c r="B7" s="254">
        <v>0</v>
      </c>
      <c r="C7" s="254">
        <v>0</v>
      </c>
      <c r="D7" s="254">
        <v>0</v>
      </c>
      <c r="E7" s="254">
        <v>0</v>
      </c>
      <c r="F7" s="254">
        <v>0</v>
      </c>
      <c r="G7" s="254">
        <v>0</v>
      </c>
      <c r="H7" s="254">
        <v>0</v>
      </c>
      <c r="I7" s="254">
        <v>0</v>
      </c>
      <c r="J7" s="254">
        <v>0</v>
      </c>
      <c r="K7" s="254">
        <v>0</v>
      </c>
      <c r="L7" s="254">
        <v>0</v>
      </c>
      <c r="M7" s="254">
        <v>0</v>
      </c>
      <c r="N7" s="254">
        <v>0</v>
      </c>
      <c r="O7" s="254">
        <v>0</v>
      </c>
      <c r="P7" s="254">
        <v>0</v>
      </c>
      <c r="Q7" s="254">
        <v>0</v>
      </c>
      <c r="R7" s="254">
        <v>0</v>
      </c>
      <c r="S7" s="254">
        <v>0</v>
      </c>
      <c r="T7" s="254">
        <v>0</v>
      </c>
      <c r="U7" s="254">
        <v>0</v>
      </c>
      <c r="V7" s="254">
        <v>0</v>
      </c>
      <c r="W7" s="254">
        <v>0</v>
      </c>
      <c r="X7" s="254">
        <v>0</v>
      </c>
      <c r="Y7" s="254">
        <v>0</v>
      </c>
      <c r="Z7" s="254">
        <v>0</v>
      </c>
      <c r="AA7" s="254">
        <v>0</v>
      </c>
      <c r="AB7" s="254">
        <v>0</v>
      </c>
      <c r="AC7" s="254">
        <v>0</v>
      </c>
      <c r="AD7" s="254">
        <v>0</v>
      </c>
      <c r="AE7" s="254">
        <v>0</v>
      </c>
      <c r="AF7" s="254">
        <v>0</v>
      </c>
      <c r="AG7" s="254">
        <v>0</v>
      </c>
      <c r="AH7" s="254">
        <v>0</v>
      </c>
      <c r="AI7" s="254">
        <v>0</v>
      </c>
      <c r="AJ7" s="254">
        <v>0</v>
      </c>
    </row>
    <row r="8" spans="1:36" s="35" customFormat="1" ht="13.15" customHeight="1" x14ac:dyDescent="0.2">
      <c r="A8" s="34" t="s">
        <v>786</v>
      </c>
      <c r="B8" s="254">
        <f>ROUNDUP(B9*'01 - Dados de Entrada'!$C$181,0)</f>
        <v>1</v>
      </c>
      <c r="C8" s="254">
        <f>ROUNDUP(C9*'01 - Dados de Entrada'!$C$181,0)</f>
        <v>1</v>
      </c>
      <c r="D8" s="254">
        <f>ROUNDUP(D9*'01 - Dados de Entrada'!$C$181,0)</f>
        <v>1</v>
      </c>
      <c r="E8" s="254">
        <f>ROUNDUP(E9*'01 - Dados de Entrada'!$C$181,0)</f>
        <v>1</v>
      </c>
      <c r="F8" s="254">
        <f>ROUNDUP(F9*'01 - Dados de Entrada'!$C$181,0)</f>
        <v>1</v>
      </c>
      <c r="G8" s="254">
        <f>ROUNDUP(G9*'01 - Dados de Entrada'!$C$181,0)</f>
        <v>1</v>
      </c>
      <c r="H8" s="254">
        <f>ROUNDUP(H9*'01 - Dados de Entrada'!$C$181,0)</f>
        <v>1</v>
      </c>
      <c r="I8" s="254">
        <f>ROUNDUP(I9*'01 - Dados de Entrada'!$C$181,0)</f>
        <v>1</v>
      </c>
      <c r="J8" s="254">
        <f>ROUNDUP(J9*'01 - Dados de Entrada'!$C$181,0)</f>
        <v>1</v>
      </c>
      <c r="K8" s="254">
        <f>ROUNDUP(K9*'01 - Dados de Entrada'!$C$181,0)</f>
        <v>1</v>
      </c>
      <c r="L8" s="254">
        <f>ROUNDUP(L9*'01 - Dados de Entrada'!$C$181,0)</f>
        <v>1</v>
      </c>
      <c r="M8" s="254">
        <f>ROUNDUP(M9*'01 - Dados de Entrada'!$C$181,0)</f>
        <v>1</v>
      </c>
      <c r="N8" s="254">
        <f>ROUNDUP(N9*'01 - Dados de Entrada'!$C$181,0)</f>
        <v>1</v>
      </c>
      <c r="O8" s="254">
        <f>ROUNDUP(O9*'01 - Dados de Entrada'!$C$181,0)</f>
        <v>1</v>
      </c>
      <c r="P8" s="254">
        <f>ROUNDUP(P9*'01 - Dados de Entrada'!$C$181,0)</f>
        <v>1</v>
      </c>
      <c r="Q8" s="254">
        <f>ROUNDUP(Q9*'01 - Dados de Entrada'!$C$181,0)</f>
        <v>1</v>
      </c>
      <c r="R8" s="254">
        <f>ROUNDUP(R9*'01 - Dados de Entrada'!$C$181,0)</f>
        <v>1</v>
      </c>
      <c r="S8" s="254">
        <f>ROUNDUP(S9*'01 - Dados de Entrada'!$C$181,0)</f>
        <v>1</v>
      </c>
      <c r="T8" s="254">
        <f>ROUNDUP(T9*'01 - Dados de Entrada'!$C$181,0)</f>
        <v>1</v>
      </c>
      <c r="U8" s="254">
        <f>ROUNDUP(U9*'01 - Dados de Entrada'!$C$181,0)</f>
        <v>1</v>
      </c>
      <c r="V8" s="254">
        <f>ROUNDUP(V9*'01 - Dados de Entrada'!$C$181,0)</f>
        <v>1</v>
      </c>
      <c r="W8" s="254">
        <f>ROUNDUP(W9*'01 - Dados de Entrada'!$C$181,0)</f>
        <v>1</v>
      </c>
      <c r="X8" s="254">
        <f>ROUNDUP(X9*'01 - Dados de Entrada'!$C$181,0)</f>
        <v>1</v>
      </c>
      <c r="Y8" s="254">
        <f>ROUNDUP(Y9*'01 - Dados de Entrada'!$C$181,0)</f>
        <v>1</v>
      </c>
      <c r="Z8" s="254">
        <f>ROUNDUP(Z9*'01 - Dados de Entrada'!$C$181,0)</f>
        <v>1</v>
      </c>
      <c r="AA8" s="254">
        <f>ROUNDUP(AA9*'01 - Dados de Entrada'!$C$181,0)</f>
        <v>1</v>
      </c>
      <c r="AB8" s="254">
        <f>ROUNDUP(AB9*'01 - Dados de Entrada'!$C$181,0)</f>
        <v>1</v>
      </c>
      <c r="AC8" s="254">
        <f>ROUNDUP(AC9*'01 - Dados de Entrada'!$C$181,0)</f>
        <v>1</v>
      </c>
      <c r="AD8" s="254">
        <f>ROUNDUP(AD9*'01 - Dados de Entrada'!$C$181,0)</f>
        <v>1</v>
      </c>
      <c r="AE8" s="254">
        <f>ROUNDUP(AE9*'01 - Dados de Entrada'!$C$181,0)</f>
        <v>1</v>
      </c>
      <c r="AF8" s="254">
        <f>ROUNDUP(AF9*'01 - Dados de Entrada'!$C$181,0)</f>
        <v>1</v>
      </c>
      <c r="AG8" s="254">
        <f>ROUNDUP(AG9*'01 - Dados de Entrada'!$C$181,0)</f>
        <v>1</v>
      </c>
      <c r="AH8" s="254">
        <f>ROUNDUP(AH9*'01 - Dados de Entrada'!$C$181,0)</f>
        <v>1</v>
      </c>
      <c r="AI8" s="254">
        <f>ROUNDUP(AI9*'01 - Dados de Entrada'!$C$181,0)</f>
        <v>1</v>
      </c>
      <c r="AJ8" s="254">
        <f>ROUNDUP(AJ9*'01 - Dados de Entrada'!$C$181,0)</f>
        <v>1</v>
      </c>
    </row>
    <row r="9" spans="1:36" s="8" customFormat="1" ht="13.15" customHeight="1" x14ac:dyDescent="0.2">
      <c r="A9" s="404" t="s">
        <v>787</v>
      </c>
      <c r="B9" s="496">
        <v>4</v>
      </c>
      <c r="C9" s="496">
        <v>4</v>
      </c>
      <c r="D9" s="496">
        <v>4</v>
      </c>
      <c r="E9" s="496">
        <v>4</v>
      </c>
      <c r="F9" s="496">
        <v>4</v>
      </c>
      <c r="G9" s="496">
        <v>5</v>
      </c>
      <c r="H9" s="496">
        <v>5</v>
      </c>
      <c r="I9" s="496">
        <v>5</v>
      </c>
      <c r="J9" s="496">
        <v>5</v>
      </c>
      <c r="K9" s="496">
        <v>5</v>
      </c>
      <c r="L9" s="496">
        <v>5</v>
      </c>
      <c r="M9" s="496">
        <v>5</v>
      </c>
      <c r="N9" s="496">
        <v>5</v>
      </c>
      <c r="O9" s="496">
        <v>5</v>
      </c>
      <c r="P9" s="496">
        <v>5</v>
      </c>
      <c r="Q9" s="496">
        <v>5</v>
      </c>
      <c r="R9" s="496">
        <v>5</v>
      </c>
      <c r="S9" s="496">
        <v>5</v>
      </c>
      <c r="T9" s="496">
        <v>5</v>
      </c>
      <c r="U9" s="496">
        <v>5</v>
      </c>
      <c r="V9" s="496">
        <v>5</v>
      </c>
      <c r="W9" s="496">
        <v>5</v>
      </c>
      <c r="X9" s="496">
        <v>5</v>
      </c>
      <c r="Y9" s="496">
        <v>5</v>
      </c>
      <c r="Z9" s="496">
        <v>5</v>
      </c>
      <c r="AA9" s="496">
        <v>5</v>
      </c>
      <c r="AB9" s="496">
        <v>5</v>
      </c>
      <c r="AC9" s="496">
        <v>5</v>
      </c>
      <c r="AD9" s="496">
        <v>5</v>
      </c>
      <c r="AE9" s="496">
        <v>5</v>
      </c>
      <c r="AF9" s="496">
        <v>5</v>
      </c>
      <c r="AG9" s="496">
        <v>5</v>
      </c>
      <c r="AH9" s="496">
        <v>5</v>
      </c>
      <c r="AI9" s="496">
        <v>5</v>
      </c>
      <c r="AJ9" s="496">
        <v>5</v>
      </c>
    </row>
    <row r="10" spans="1:36" s="8" customFormat="1" ht="13.15" customHeight="1" x14ac:dyDescent="0.2">
      <c r="A10" s="24" t="s">
        <v>788</v>
      </c>
      <c r="B10" s="496">
        <f>'01 - Dados de Entrada'!$C$185</f>
        <v>2</v>
      </c>
      <c r="C10" s="496">
        <f>'01 - Dados de Entrada'!$C$185</f>
        <v>2</v>
      </c>
      <c r="D10" s="496">
        <f>'01 - Dados de Entrada'!$C$185</f>
        <v>2</v>
      </c>
      <c r="E10" s="496">
        <f>'01 - Dados de Entrada'!$C$185</f>
        <v>2</v>
      </c>
      <c r="F10" s="496">
        <f>'01 - Dados de Entrada'!$C$185</f>
        <v>2</v>
      </c>
      <c r="G10" s="496">
        <f>'01 - Dados de Entrada'!$C$185</f>
        <v>2</v>
      </c>
      <c r="H10" s="496">
        <f>'01 - Dados de Entrada'!$C$185</f>
        <v>2</v>
      </c>
      <c r="I10" s="496">
        <f>'01 - Dados de Entrada'!$C$185</f>
        <v>2</v>
      </c>
      <c r="J10" s="496">
        <f>'01 - Dados de Entrada'!$C$185</f>
        <v>2</v>
      </c>
      <c r="K10" s="496">
        <f>'01 - Dados de Entrada'!$C$185</f>
        <v>2</v>
      </c>
      <c r="L10" s="496">
        <f>'01 - Dados de Entrada'!$C$185</f>
        <v>2</v>
      </c>
      <c r="M10" s="496">
        <f>'01 - Dados de Entrada'!$C$185</f>
        <v>2</v>
      </c>
      <c r="N10" s="496">
        <f>'01 - Dados de Entrada'!$C$185</f>
        <v>2</v>
      </c>
      <c r="O10" s="496">
        <f>'01 - Dados de Entrada'!$C$185</f>
        <v>2</v>
      </c>
      <c r="P10" s="496">
        <f>'01 - Dados de Entrada'!$C$185</f>
        <v>2</v>
      </c>
      <c r="Q10" s="496">
        <f>'01 - Dados de Entrada'!$C$185</f>
        <v>2</v>
      </c>
      <c r="R10" s="496">
        <f>'01 - Dados de Entrada'!$C$185</f>
        <v>2</v>
      </c>
      <c r="S10" s="496">
        <f>'01 - Dados de Entrada'!$C$185</f>
        <v>2</v>
      </c>
      <c r="T10" s="496">
        <f>'01 - Dados de Entrada'!$C$185</f>
        <v>2</v>
      </c>
      <c r="U10" s="496">
        <f>'01 - Dados de Entrada'!$C$185</f>
        <v>2</v>
      </c>
      <c r="V10" s="496">
        <f>'01 - Dados de Entrada'!$C$185</f>
        <v>2</v>
      </c>
      <c r="W10" s="496">
        <f>'01 - Dados de Entrada'!$C$185</f>
        <v>2</v>
      </c>
      <c r="X10" s="496">
        <f>'01 - Dados de Entrada'!$C$185</f>
        <v>2</v>
      </c>
      <c r="Y10" s="496">
        <f>'01 - Dados de Entrada'!$C$185</f>
        <v>2</v>
      </c>
      <c r="Z10" s="496">
        <f>'01 - Dados de Entrada'!$C$185</f>
        <v>2</v>
      </c>
      <c r="AA10" s="496">
        <f>'01 - Dados de Entrada'!$C$185</f>
        <v>2</v>
      </c>
      <c r="AB10" s="496">
        <f>'01 - Dados de Entrada'!$C$185</f>
        <v>2</v>
      </c>
      <c r="AC10" s="496">
        <f>'01 - Dados de Entrada'!$C$185</f>
        <v>2</v>
      </c>
      <c r="AD10" s="496">
        <f>'01 - Dados de Entrada'!$C$185</f>
        <v>2</v>
      </c>
      <c r="AE10" s="496">
        <f>'01 - Dados de Entrada'!$C$185</f>
        <v>2</v>
      </c>
      <c r="AF10" s="496">
        <f>'01 - Dados de Entrada'!$C$185</f>
        <v>2</v>
      </c>
      <c r="AG10" s="496">
        <f>'01 - Dados de Entrada'!$C$185</f>
        <v>2</v>
      </c>
      <c r="AH10" s="496">
        <f>'01 - Dados de Entrada'!$C$185</f>
        <v>2</v>
      </c>
      <c r="AI10" s="496">
        <f>'01 - Dados de Entrada'!$C$185</f>
        <v>2</v>
      </c>
      <c r="AJ10" s="496">
        <f>'01 - Dados de Entrada'!$C$185</f>
        <v>2</v>
      </c>
    </row>
    <row r="11" spans="1:36" s="8" customFormat="1" ht="13.15" customHeight="1" x14ac:dyDescent="0.2">
      <c r="A11" s="24" t="s">
        <v>789</v>
      </c>
      <c r="B11" s="344">
        <f>ROUNDUP(B10*'01 - Dados de Entrada'!$C$181,0)</f>
        <v>1</v>
      </c>
      <c r="C11" s="344">
        <f>ROUNDUP(C10*'01 - Dados de Entrada'!$C$181,0)</f>
        <v>1</v>
      </c>
      <c r="D11" s="344">
        <f>ROUNDUP(D10*'01 - Dados de Entrada'!$C$181,0)</f>
        <v>1</v>
      </c>
      <c r="E11" s="344">
        <f>ROUNDUP(E10*'01 - Dados de Entrada'!$C$181,0)</f>
        <v>1</v>
      </c>
      <c r="F11" s="344">
        <f>ROUNDUP(F10*'01 - Dados de Entrada'!$C$181,0)</f>
        <v>1</v>
      </c>
      <c r="G11" s="344">
        <f>ROUNDUP(G10*'01 - Dados de Entrada'!$C$181,0)</f>
        <v>1</v>
      </c>
      <c r="H11" s="344">
        <f>ROUNDUP(H10*'01 - Dados de Entrada'!$C$181,0)</f>
        <v>1</v>
      </c>
      <c r="I11" s="344">
        <f>ROUNDUP(I10*'01 - Dados de Entrada'!$C$181,0)</f>
        <v>1</v>
      </c>
      <c r="J11" s="344">
        <f>ROUNDUP(J10*'01 - Dados de Entrada'!$C$181,0)</f>
        <v>1</v>
      </c>
      <c r="K11" s="344">
        <f>ROUNDUP(K10*'01 - Dados de Entrada'!$C$181,0)</f>
        <v>1</v>
      </c>
      <c r="L11" s="344">
        <f>ROUNDUP(L10*'01 - Dados de Entrada'!$C$181,0)</f>
        <v>1</v>
      </c>
      <c r="M11" s="344">
        <f>ROUNDUP(M10*'01 - Dados de Entrada'!$C$181,0)</f>
        <v>1</v>
      </c>
      <c r="N11" s="344">
        <f>ROUNDUP(N10*'01 - Dados de Entrada'!$C$181,0)</f>
        <v>1</v>
      </c>
      <c r="O11" s="344">
        <f>ROUNDUP(O10*'01 - Dados de Entrada'!$C$181,0)</f>
        <v>1</v>
      </c>
      <c r="P11" s="344">
        <f>ROUNDUP(P10*'01 - Dados de Entrada'!$C$181,0)</f>
        <v>1</v>
      </c>
      <c r="Q11" s="344">
        <f>ROUNDUP(Q10*'01 - Dados de Entrada'!$C$181,0)</f>
        <v>1</v>
      </c>
      <c r="R11" s="344">
        <f>ROUNDUP(R10*'01 - Dados de Entrada'!$C$181,0)</f>
        <v>1</v>
      </c>
      <c r="S11" s="344">
        <f>ROUNDUP(S10*'01 - Dados de Entrada'!$C$181,0)</f>
        <v>1</v>
      </c>
      <c r="T11" s="344">
        <f>ROUNDUP(T10*'01 - Dados de Entrada'!$C$181,0)</f>
        <v>1</v>
      </c>
      <c r="U11" s="344">
        <f>ROUNDUP(U10*'01 - Dados de Entrada'!$C$181,0)</f>
        <v>1</v>
      </c>
      <c r="V11" s="344">
        <f>ROUNDUP(V10*'01 - Dados de Entrada'!$C$181,0)</f>
        <v>1</v>
      </c>
      <c r="W11" s="344">
        <f>ROUNDUP(W10*'01 - Dados de Entrada'!$C$181,0)</f>
        <v>1</v>
      </c>
      <c r="X11" s="344">
        <f>ROUNDUP(X10*'01 - Dados de Entrada'!$C$181,0)</f>
        <v>1</v>
      </c>
      <c r="Y11" s="344">
        <f>ROUNDUP(Y10*'01 - Dados de Entrada'!$C$181,0)</f>
        <v>1</v>
      </c>
      <c r="Z11" s="344">
        <f>ROUNDUP(Z10*'01 - Dados de Entrada'!$C$181,0)</f>
        <v>1</v>
      </c>
      <c r="AA11" s="344">
        <f>ROUNDUP(AA10*'01 - Dados de Entrada'!$C$181,0)</f>
        <v>1</v>
      </c>
      <c r="AB11" s="344">
        <f>ROUNDUP(AB10*'01 - Dados de Entrada'!$C$181,0)</f>
        <v>1</v>
      </c>
      <c r="AC11" s="344">
        <f>ROUNDUP(AC10*'01 - Dados de Entrada'!$C$181,0)</f>
        <v>1</v>
      </c>
      <c r="AD11" s="344">
        <f>ROUNDUP(AD10*'01 - Dados de Entrada'!$C$181,0)</f>
        <v>1</v>
      </c>
      <c r="AE11" s="344">
        <f>ROUNDUP(AE10*'01 - Dados de Entrada'!$C$181,0)</f>
        <v>1</v>
      </c>
      <c r="AF11" s="344">
        <f>ROUNDUP(AF10*'01 - Dados de Entrada'!$C$181,0)</f>
        <v>1</v>
      </c>
      <c r="AG11" s="344">
        <f>ROUNDUP(AG10*'01 - Dados de Entrada'!$C$181,0)</f>
        <v>1</v>
      </c>
      <c r="AH11" s="344">
        <f>ROUNDUP(AH10*'01 - Dados de Entrada'!$C$181,0)</f>
        <v>1</v>
      </c>
      <c r="AI11" s="344">
        <f>ROUNDUP(AI10*'01 - Dados de Entrada'!$C$181,0)</f>
        <v>1</v>
      </c>
      <c r="AJ11" s="344">
        <f>ROUNDUP(AJ10*'01 - Dados de Entrada'!$C$181,0)</f>
        <v>1</v>
      </c>
    </row>
    <row r="12" spans="1:36" s="8" customFormat="1" ht="13.15" customHeight="1" x14ac:dyDescent="0.2">
      <c r="A12" s="315" t="s">
        <v>790</v>
      </c>
      <c r="B12" s="320">
        <f>B7+B9</f>
        <v>4</v>
      </c>
      <c r="C12" s="320">
        <f>C7+C9</f>
        <v>4</v>
      </c>
      <c r="D12" s="320">
        <f t="shared" ref="D12:AJ12" si="0">D7+D9</f>
        <v>4</v>
      </c>
      <c r="E12" s="320">
        <f t="shared" si="0"/>
        <v>4</v>
      </c>
      <c r="F12" s="320">
        <f t="shared" si="0"/>
        <v>4</v>
      </c>
      <c r="G12" s="320">
        <f t="shared" si="0"/>
        <v>5</v>
      </c>
      <c r="H12" s="320">
        <f t="shared" si="0"/>
        <v>5</v>
      </c>
      <c r="I12" s="320">
        <f t="shared" si="0"/>
        <v>5</v>
      </c>
      <c r="J12" s="320">
        <f t="shared" si="0"/>
        <v>5</v>
      </c>
      <c r="K12" s="320">
        <f t="shared" si="0"/>
        <v>5</v>
      </c>
      <c r="L12" s="320">
        <f t="shared" si="0"/>
        <v>5</v>
      </c>
      <c r="M12" s="320">
        <f t="shared" si="0"/>
        <v>5</v>
      </c>
      <c r="N12" s="320">
        <f t="shared" si="0"/>
        <v>5</v>
      </c>
      <c r="O12" s="320">
        <f t="shared" si="0"/>
        <v>5</v>
      </c>
      <c r="P12" s="320">
        <f t="shared" si="0"/>
        <v>5</v>
      </c>
      <c r="Q12" s="320">
        <f t="shared" si="0"/>
        <v>5</v>
      </c>
      <c r="R12" s="320">
        <f t="shared" si="0"/>
        <v>5</v>
      </c>
      <c r="S12" s="320">
        <f t="shared" si="0"/>
        <v>5</v>
      </c>
      <c r="T12" s="320">
        <f t="shared" si="0"/>
        <v>5</v>
      </c>
      <c r="U12" s="320">
        <f t="shared" si="0"/>
        <v>5</v>
      </c>
      <c r="V12" s="320">
        <f t="shared" si="0"/>
        <v>5</v>
      </c>
      <c r="W12" s="320">
        <f t="shared" si="0"/>
        <v>5</v>
      </c>
      <c r="X12" s="320">
        <f t="shared" si="0"/>
        <v>5</v>
      </c>
      <c r="Y12" s="320">
        <f t="shared" si="0"/>
        <v>5</v>
      </c>
      <c r="Z12" s="320">
        <f t="shared" si="0"/>
        <v>5</v>
      </c>
      <c r="AA12" s="320">
        <f t="shared" si="0"/>
        <v>5</v>
      </c>
      <c r="AB12" s="320">
        <f t="shared" si="0"/>
        <v>5</v>
      </c>
      <c r="AC12" s="320">
        <f t="shared" si="0"/>
        <v>5</v>
      </c>
      <c r="AD12" s="320">
        <f t="shared" si="0"/>
        <v>5</v>
      </c>
      <c r="AE12" s="320">
        <f t="shared" si="0"/>
        <v>5</v>
      </c>
      <c r="AF12" s="320">
        <f t="shared" si="0"/>
        <v>5</v>
      </c>
      <c r="AG12" s="320">
        <f t="shared" si="0"/>
        <v>5</v>
      </c>
      <c r="AH12" s="320">
        <f t="shared" si="0"/>
        <v>5</v>
      </c>
      <c r="AI12" s="320">
        <f t="shared" si="0"/>
        <v>5</v>
      </c>
      <c r="AJ12" s="320">
        <f t="shared" si="0"/>
        <v>5</v>
      </c>
    </row>
    <row r="13" spans="1:36" s="35" customFormat="1" ht="13.15" customHeight="1" x14ac:dyDescent="0.2">
      <c r="A13" s="315" t="s">
        <v>791</v>
      </c>
      <c r="B13" s="316">
        <f>SUM(B7:B11)</f>
        <v>8</v>
      </c>
      <c r="C13" s="316">
        <f t="shared" ref="C13:AJ13" si="1">SUM(C7:C11)</f>
        <v>8</v>
      </c>
      <c r="D13" s="316">
        <f t="shared" si="1"/>
        <v>8</v>
      </c>
      <c r="E13" s="316">
        <f t="shared" si="1"/>
        <v>8</v>
      </c>
      <c r="F13" s="316">
        <f t="shared" si="1"/>
        <v>8</v>
      </c>
      <c r="G13" s="316">
        <f t="shared" si="1"/>
        <v>9</v>
      </c>
      <c r="H13" s="316">
        <f t="shared" si="1"/>
        <v>9</v>
      </c>
      <c r="I13" s="316">
        <f t="shared" si="1"/>
        <v>9</v>
      </c>
      <c r="J13" s="316">
        <f t="shared" si="1"/>
        <v>9</v>
      </c>
      <c r="K13" s="316">
        <f t="shared" si="1"/>
        <v>9</v>
      </c>
      <c r="L13" s="316">
        <f t="shared" si="1"/>
        <v>9</v>
      </c>
      <c r="M13" s="316">
        <f t="shared" si="1"/>
        <v>9</v>
      </c>
      <c r="N13" s="316">
        <f t="shared" si="1"/>
        <v>9</v>
      </c>
      <c r="O13" s="316">
        <f t="shared" si="1"/>
        <v>9</v>
      </c>
      <c r="P13" s="316">
        <f t="shared" si="1"/>
        <v>9</v>
      </c>
      <c r="Q13" s="316">
        <f t="shared" si="1"/>
        <v>9</v>
      </c>
      <c r="R13" s="316">
        <f t="shared" si="1"/>
        <v>9</v>
      </c>
      <c r="S13" s="316">
        <f t="shared" si="1"/>
        <v>9</v>
      </c>
      <c r="T13" s="316">
        <f t="shared" si="1"/>
        <v>9</v>
      </c>
      <c r="U13" s="316">
        <f t="shared" si="1"/>
        <v>9</v>
      </c>
      <c r="V13" s="316">
        <f t="shared" si="1"/>
        <v>9</v>
      </c>
      <c r="W13" s="316">
        <f t="shared" si="1"/>
        <v>9</v>
      </c>
      <c r="X13" s="316">
        <f t="shared" si="1"/>
        <v>9</v>
      </c>
      <c r="Y13" s="316">
        <f t="shared" si="1"/>
        <v>9</v>
      </c>
      <c r="Z13" s="316">
        <f t="shared" si="1"/>
        <v>9</v>
      </c>
      <c r="AA13" s="316">
        <f t="shared" si="1"/>
        <v>9</v>
      </c>
      <c r="AB13" s="316">
        <f t="shared" si="1"/>
        <v>9</v>
      </c>
      <c r="AC13" s="316">
        <f t="shared" si="1"/>
        <v>9</v>
      </c>
      <c r="AD13" s="316">
        <f t="shared" si="1"/>
        <v>9</v>
      </c>
      <c r="AE13" s="316">
        <f t="shared" si="1"/>
        <v>9</v>
      </c>
      <c r="AF13" s="316">
        <f t="shared" si="1"/>
        <v>9</v>
      </c>
      <c r="AG13" s="316">
        <f t="shared" si="1"/>
        <v>9</v>
      </c>
      <c r="AH13" s="316">
        <f t="shared" si="1"/>
        <v>9</v>
      </c>
      <c r="AI13" s="316">
        <f t="shared" si="1"/>
        <v>9</v>
      </c>
      <c r="AJ13" s="316">
        <f t="shared" si="1"/>
        <v>9</v>
      </c>
    </row>
    <row r="14" spans="1:36" s="38" customFormat="1" ht="13.15" customHeight="1" x14ac:dyDescent="0.2">
      <c r="A14" s="36" t="s">
        <v>792</v>
      </c>
      <c r="B14" s="254">
        <v>1</v>
      </c>
      <c r="C14" s="254">
        <v>1</v>
      </c>
      <c r="D14" s="254">
        <v>1</v>
      </c>
      <c r="E14" s="254">
        <v>1</v>
      </c>
      <c r="F14" s="254">
        <v>1</v>
      </c>
      <c r="G14" s="254">
        <v>1</v>
      </c>
      <c r="H14" s="254">
        <v>1</v>
      </c>
      <c r="I14" s="254">
        <v>1</v>
      </c>
      <c r="J14" s="254">
        <v>1</v>
      </c>
      <c r="K14" s="254">
        <v>1</v>
      </c>
      <c r="L14" s="254">
        <v>1</v>
      </c>
      <c r="M14" s="254">
        <v>1</v>
      </c>
      <c r="N14" s="254">
        <v>1</v>
      </c>
      <c r="O14" s="254">
        <v>1</v>
      </c>
      <c r="P14" s="254">
        <v>1</v>
      </c>
      <c r="Q14" s="254">
        <v>1</v>
      </c>
      <c r="R14" s="254">
        <v>1</v>
      </c>
      <c r="S14" s="254">
        <v>1</v>
      </c>
      <c r="T14" s="254">
        <v>1</v>
      </c>
      <c r="U14" s="254">
        <v>1</v>
      </c>
      <c r="V14" s="254">
        <v>1</v>
      </c>
      <c r="W14" s="254">
        <v>1</v>
      </c>
      <c r="X14" s="254">
        <v>1</v>
      </c>
      <c r="Y14" s="254">
        <v>1</v>
      </c>
      <c r="Z14" s="254">
        <v>1</v>
      </c>
      <c r="AA14" s="254">
        <v>1</v>
      </c>
      <c r="AB14" s="254">
        <v>1</v>
      </c>
      <c r="AC14" s="254">
        <v>1</v>
      </c>
      <c r="AD14" s="254">
        <v>1</v>
      </c>
      <c r="AE14" s="254">
        <v>1</v>
      </c>
      <c r="AF14" s="254">
        <v>1</v>
      </c>
      <c r="AG14" s="254">
        <v>1</v>
      </c>
      <c r="AH14" s="254">
        <v>1</v>
      </c>
      <c r="AI14" s="254">
        <v>1</v>
      </c>
      <c r="AJ14" s="254">
        <v>1</v>
      </c>
    </row>
    <row r="15" spans="1:36" s="38" customFormat="1" ht="13.15" customHeight="1" x14ac:dyDescent="0.2">
      <c r="A15" s="34" t="s">
        <v>793</v>
      </c>
      <c r="B15" s="254">
        <f>ROUND(B13/10,0)</f>
        <v>1</v>
      </c>
      <c r="C15" s="254">
        <f t="shared" ref="C15:AE15" si="2">ROUND(C13/10,0)</f>
        <v>1</v>
      </c>
      <c r="D15" s="254">
        <f t="shared" si="2"/>
        <v>1</v>
      </c>
      <c r="E15" s="254">
        <f t="shared" si="2"/>
        <v>1</v>
      </c>
      <c r="F15" s="254">
        <f t="shared" si="2"/>
        <v>1</v>
      </c>
      <c r="G15" s="254">
        <f t="shared" si="2"/>
        <v>1</v>
      </c>
      <c r="H15" s="254">
        <f t="shared" si="2"/>
        <v>1</v>
      </c>
      <c r="I15" s="254">
        <f t="shared" si="2"/>
        <v>1</v>
      </c>
      <c r="J15" s="254">
        <f t="shared" si="2"/>
        <v>1</v>
      </c>
      <c r="K15" s="254">
        <f t="shared" si="2"/>
        <v>1</v>
      </c>
      <c r="L15" s="254">
        <f t="shared" si="2"/>
        <v>1</v>
      </c>
      <c r="M15" s="254">
        <f t="shared" si="2"/>
        <v>1</v>
      </c>
      <c r="N15" s="254">
        <f t="shared" si="2"/>
        <v>1</v>
      </c>
      <c r="O15" s="254">
        <f t="shared" si="2"/>
        <v>1</v>
      </c>
      <c r="P15" s="254">
        <f t="shared" si="2"/>
        <v>1</v>
      </c>
      <c r="Q15" s="254">
        <f t="shared" si="2"/>
        <v>1</v>
      </c>
      <c r="R15" s="254">
        <f t="shared" si="2"/>
        <v>1</v>
      </c>
      <c r="S15" s="254">
        <f t="shared" si="2"/>
        <v>1</v>
      </c>
      <c r="T15" s="254">
        <f t="shared" si="2"/>
        <v>1</v>
      </c>
      <c r="U15" s="254">
        <f t="shared" si="2"/>
        <v>1</v>
      </c>
      <c r="V15" s="254">
        <f t="shared" si="2"/>
        <v>1</v>
      </c>
      <c r="W15" s="254">
        <f t="shared" si="2"/>
        <v>1</v>
      </c>
      <c r="X15" s="254">
        <f t="shared" si="2"/>
        <v>1</v>
      </c>
      <c r="Y15" s="254">
        <f t="shared" si="2"/>
        <v>1</v>
      </c>
      <c r="Z15" s="254">
        <f t="shared" si="2"/>
        <v>1</v>
      </c>
      <c r="AA15" s="254">
        <f t="shared" si="2"/>
        <v>1</v>
      </c>
      <c r="AB15" s="254">
        <f t="shared" si="2"/>
        <v>1</v>
      </c>
      <c r="AC15" s="254">
        <f t="shared" si="2"/>
        <v>1</v>
      </c>
      <c r="AD15" s="254">
        <f t="shared" si="2"/>
        <v>1</v>
      </c>
      <c r="AE15" s="254">
        <f t="shared" si="2"/>
        <v>1</v>
      </c>
      <c r="AF15" s="254">
        <f>ROUND(AF13/10,0)</f>
        <v>1</v>
      </c>
      <c r="AG15" s="254">
        <f>ROUND(AG13/10,0)</f>
        <v>1</v>
      </c>
      <c r="AH15" s="254">
        <f>ROUND(AH13/10,0)</f>
        <v>1</v>
      </c>
      <c r="AI15" s="254">
        <f>ROUND(AI13/10,0)</f>
        <v>1</v>
      </c>
      <c r="AJ15" s="254">
        <f>ROUND(AJ13/10,0)</f>
        <v>1</v>
      </c>
    </row>
    <row r="16" spans="1:36" s="38" customFormat="1" ht="13.15" customHeight="1" x14ac:dyDescent="0.2">
      <c r="A16" s="34" t="s">
        <v>794</v>
      </c>
      <c r="B16" s="254">
        <f>ROUND(B13/6,0)</f>
        <v>1</v>
      </c>
      <c r="C16" s="254">
        <f t="shared" ref="C16:AE16" si="3">ROUND(C13/6,0)</f>
        <v>1</v>
      </c>
      <c r="D16" s="254">
        <f t="shared" si="3"/>
        <v>1</v>
      </c>
      <c r="E16" s="254">
        <f t="shared" si="3"/>
        <v>1</v>
      </c>
      <c r="F16" s="254">
        <f t="shared" si="3"/>
        <v>1</v>
      </c>
      <c r="G16" s="254">
        <f t="shared" si="3"/>
        <v>2</v>
      </c>
      <c r="H16" s="254">
        <f t="shared" si="3"/>
        <v>2</v>
      </c>
      <c r="I16" s="254">
        <f t="shared" si="3"/>
        <v>2</v>
      </c>
      <c r="J16" s="254">
        <f t="shared" si="3"/>
        <v>2</v>
      </c>
      <c r="K16" s="254">
        <f t="shared" si="3"/>
        <v>2</v>
      </c>
      <c r="L16" s="254">
        <f t="shared" si="3"/>
        <v>2</v>
      </c>
      <c r="M16" s="254">
        <f t="shared" si="3"/>
        <v>2</v>
      </c>
      <c r="N16" s="254">
        <f t="shared" si="3"/>
        <v>2</v>
      </c>
      <c r="O16" s="254">
        <f t="shared" si="3"/>
        <v>2</v>
      </c>
      <c r="P16" s="254">
        <f t="shared" si="3"/>
        <v>2</v>
      </c>
      <c r="Q16" s="254">
        <f t="shared" si="3"/>
        <v>2</v>
      </c>
      <c r="R16" s="254">
        <f t="shared" si="3"/>
        <v>2</v>
      </c>
      <c r="S16" s="254">
        <f t="shared" si="3"/>
        <v>2</v>
      </c>
      <c r="T16" s="254">
        <f t="shared" si="3"/>
        <v>2</v>
      </c>
      <c r="U16" s="254">
        <f t="shared" si="3"/>
        <v>2</v>
      </c>
      <c r="V16" s="254">
        <f t="shared" si="3"/>
        <v>2</v>
      </c>
      <c r="W16" s="254">
        <f t="shared" si="3"/>
        <v>2</v>
      </c>
      <c r="X16" s="254">
        <f t="shared" si="3"/>
        <v>2</v>
      </c>
      <c r="Y16" s="254">
        <f t="shared" si="3"/>
        <v>2</v>
      </c>
      <c r="Z16" s="254">
        <f t="shared" si="3"/>
        <v>2</v>
      </c>
      <c r="AA16" s="254">
        <f t="shared" si="3"/>
        <v>2</v>
      </c>
      <c r="AB16" s="254">
        <f t="shared" si="3"/>
        <v>2</v>
      </c>
      <c r="AC16" s="254">
        <f t="shared" si="3"/>
        <v>2</v>
      </c>
      <c r="AD16" s="254">
        <f t="shared" si="3"/>
        <v>2</v>
      </c>
      <c r="AE16" s="254">
        <f t="shared" si="3"/>
        <v>2</v>
      </c>
      <c r="AF16" s="254">
        <f>ROUND(AF13/6,0)</f>
        <v>2</v>
      </c>
      <c r="AG16" s="254">
        <f>ROUND(AG13/6,0)</f>
        <v>2</v>
      </c>
      <c r="AH16" s="254">
        <f>ROUND(AH13/6,0)</f>
        <v>2</v>
      </c>
      <c r="AI16" s="254">
        <f>ROUND(AI13/6,0)</f>
        <v>2</v>
      </c>
      <c r="AJ16" s="254">
        <f>ROUND(AJ13/6,0)</f>
        <v>2</v>
      </c>
    </row>
    <row r="17" spans="1:36" s="38" customFormat="1" ht="13.15" customHeight="1" x14ac:dyDescent="0.2">
      <c r="A17" s="54" t="s">
        <v>795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</row>
    <row r="18" spans="1:36" s="38" customFormat="1" ht="13.15" customHeight="1" x14ac:dyDescent="0.2">
      <c r="A18" s="34" t="s">
        <v>796</v>
      </c>
      <c r="B18" s="254">
        <f>7-B20</f>
        <v>0</v>
      </c>
      <c r="C18" s="254">
        <f t="shared" ref="C18:H18" si="4">7-C20</f>
        <v>0</v>
      </c>
      <c r="D18" s="254">
        <f t="shared" si="4"/>
        <v>0</v>
      </c>
      <c r="E18" s="254">
        <f t="shared" si="4"/>
        <v>0</v>
      </c>
      <c r="F18" s="254">
        <f t="shared" si="4"/>
        <v>0</v>
      </c>
      <c r="G18" s="254">
        <f>7-G20</f>
        <v>0</v>
      </c>
      <c r="H18" s="254">
        <f t="shared" si="4"/>
        <v>0</v>
      </c>
      <c r="I18" s="254">
        <f>8-I20</f>
        <v>0</v>
      </c>
      <c r="J18" s="254">
        <f t="shared" ref="J18:AJ18" si="5">8-J20</f>
        <v>0</v>
      </c>
      <c r="K18" s="254">
        <f t="shared" si="5"/>
        <v>0</v>
      </c>
      <c r="L18" s="254">
        <f t="shared" si="5"/>
        <v>0</v>
      </c>
      <c r="M18" s="254">
        <f t="shared" si="5"/>
        <v>0</v>
      </c>
      <c r="N18" s="254">
        <f t="shared" si="5"/>
        <v>0</v>
      </c>
      <c r="O18" s="254">
        <f t="shared" si="5"/>
        <v>0</v>
      </c>
      <c r="P18" s="254">
        <f t="shared" si="5"/>
        <v>0</v>
      </c>
      <c r="Q18" s="254">
        <f t="shared" si="5"/>
        <v>0</v>
      </c>
      <c r="R18" s="254">
        <f t="shared" si="5"/>
        <v>0</v>
      </c>
      <c r="S18" s="254">
        <f t="shared" si="5"/>
        <v>0</v>
      </c>
      <c r="T18" s="254">
        <f t="shared" si="5"/>
        <v>0</v>
      </c>
      <c r="U18" s="254">
        <f t="shared" si="5"/>
        <v>0</v>
      </c>
      <c r="V18" s="254">
        <f t="shared" si="5"/>
        <v>0</v>
      </c>
      <c r="W18" s="254">
        <f t="shared" si="5"/>
        <v>0</v>
      </c>
      <c r="X18" s="254">
        <f t="shared" si="5"/>
        <v>0</v>
      </c>
      <c r="Y18" s="254">
        <f t="shared" si="5"/>
        <v>0</v>
      </c>
      <c r="Z18" s="254">
        <f t="shared" si="5"/>
        <v>0</v>
      </c>
      <c r="AA18" s="254">
        <f t="shared" si="5"/>
        <v>0</v>
      </c>
      <c r="AB18" s="254">
        <f t="shared" si="5"/>
        <v>0</v>
      </c>
      <c r="AC18" s="254">
        <f t="shared" si="5"/>
        <v>0</v>
      </c>
      <c r="AD18" s="254">
        <f t="shared" si="5"/>
        <v>0</v>
      </c>
      <c r="AE18" s="254">
        <f t="shared" si="5"/>
        <v>0</v>
      </c>
      <c r="AF18" s="254">
        <f t="shared" si="5"/>
        <v>0</v>
      </c>
      <c r="AG18" s="254">
        <f t="shared" si="5"/>
        <v>0</v>
      </c>
      <c r="AH18" s="254">
        <f t="shared" si="5"/>
        <v>0</v>
      </c>
      <c r="AI18" s="254">
        <f t="shared" si="5"/>
        <v>0</v>
      </c>
      <c r="AJ18" s="254">
        <f t="shared" si="5"/>
        <v>0</v>
      </c>
    </row>
    <row r="19" spans="1:36" s="38" customFormat="1" ht="13.15" customHeight="1" x14ac:dyDescent="0.2">
      <c r="A19" s="34" t="s">
        <v>797</v>
      </c>
      <c r="B19" s="254">
        <f>ROUNDUP(B21*'01 - Dados de Entrada'!$C$181,0)</f>
        <v>2</v>
      </c>
      <c r="C19" s="254">
        <f>ROUNDUP(C21*'01 - Dados de Entrada'!$C$181,0)</f>
        <v>2</v>
      </c>
      <c r="D19" s="254">
        <f>ROUNDUP(D21*'01 - Dados de Entrada'!$C$181,0)</f>
        <v>2</v>
      </c>
      <c r="E19" s="254">
        <f>ROUNDUP(E21*'01 - Dados de Entrada'!$C$181,0)</f>
        <v>2</v>
      </c>
      <c r="F19" s="254">
        <f>ROUNDUP(F21*'01 - Dados de Entrada'!$C$181,0)</f>
        <v>2</v>
      </c>
      <c r="G19" s="254">
        <f>ROUNDUP(G21*'01 - Dados de Entrada'!$C$181,0)</f>
        <v>2</v>
      </c>
      <c r="H19" s="254">
        <f>ROUNDUP(H21*'01 - Dados de Entrada'!$C$181,0)</f>
        <v>2</v>
      </c>
      <c r="I19" s="254">
        <f>ROUNDUP(I21*'01 - Dados de Entrada'!$C$181,0)</f>
        <v>2</v>
      </c>
      <c r="J19" s="254">
        <f>ROUNDUP(J21*'01 - Dados de Entrada'!$C$181,0)</f>
        <v>2</v>
      </c>
      <c r="K19" s="254">
        <f>ROUNDUP(K21*'01 - Dados de Entrada'!$C$181,0)</f>
        <v>2</v>
      </c>
      <c r="L19" s="254">
        <f>ROUNDUP(L21*'01 - Dados de Entrada'!$C$181,0)</f>
        <v>2</v>
      </c>
      <c r="M19" s="254">
        <f>ROUNDUP(M21*'01 - Dados de Entrada'!$C$181,0)</f>
        <v>2</v>
      </c>
      <c r="N19" s="254">
        <f>ROUNDUP(N21*'01 - Dados de Entrada'!$C$181,0)</f>
        <v>2</v>
      </c>
      <c r="O19" s="254">
        <f>ROUNDUP(O21*'01 - Dados de Entrada'!$C$181,0)</f>
        <v>2</v>
      </c>
      <c r="P19" s="254">
        <f>ROUNDUP(P21*'01 - Dados de Entrada'!$C$181,0)</f>
        <v>2</v>
      </c>
      <c r="Q19" s="254">
        <f>ROUNDUP(Q21*'01 - Dados de Entrada'!$C$181,0)</f>
        <v>2</v>
      </c>
      <c r="R19" s="254">
        <f>ROUNDUP(R21*'01 - Dados de Entrada'!$C$181,0)</f>
        <v>2</v>
      </c>
      <c r="S19" s="254">
        <f>ROUNDUP(S21*'01 - Dados de Entrada'!$C$181,0)</f>
        <v>2</v>
      </c>
      <c r="T19" s="254">
        <f>ROUNDUP(T21*'01 - Dados de Entrada'!$C$181,0)</f>
        <v>2</v>
      </c>
      <c r="U19" s="254">
        <f>ROUNDUP(U21*'01 - Dados de Entrada'!$C$181,0)</f>
        <v>2</v>
      </c>
      <c r="V19" s="254">
        <f>ROUNDUP(V21*'01 - Dados de Entrada'!$C$181,0)</f>
        <v>2</v>
      </c>
      <c r="W19" s="254">
        <f>ROUNDUP(W21*'01 - Dados de Entrada'!$C$181,0)</f>
        <v>2</v>
      </c>
      <c r="X19" s="254">
        <f>ROUNDUP(X21*'01 - Dados de Entrada'!$C$181,0)</f>
        <v>2</v>
      </c>
      <c r="Y19" s="254">
        <f>ROUNDUP(Y21*'01 - Dados de Entrada'!$C$181,0)</f>
        <v>2</v>
      </c>
      <c r="Z19" s="254">
        <f>ROUNDUP(Z21*'01 - Dados de Entrada'!$C$181,0)</f>
        <v>2</v>
      </c>
      <c r="AA19" s="254">
        <f>ROUNDUP(AA21*'01 - Dados de Entrada'!$C$181,0)</f>
        <v>2</v>
      </c>
      <c r="AB19" s="254">
        <f>ROUNDUP(AB21*'01 - Dados de Entrada'!$C$181,0)</f>
        <v>2</v>
      </c>
      <c r="AC19" s="254">
        <f>ROUNDUP(AC21*'01 - Dados de Entrada'!$C$181,0)</f>
        <v>2</v>
      </c>
      <c r="AD19" s="254">
        <f>ROUNDUP(AD21*'01 - Dados de Entrada'!$C$181,0)</f>
        <v>2</v>
      </c>
      <c r="AE19" s="254">
        <f>ROUNDUP(AE21*'01 - Dados de Entrada'!$C$181,0)</f>
        <v>2</v>
      </c>
      <c r="AF19" s="254">
        <f>ROUNDUP(AF21*'01 - Dados de Entrada'!$C$181,0)</f>
        <v>2</v>
      </c>
      <c r="AG19" s="254">
        <f>ROUNDUP(AG21*'01 - Dados de Entrada'!$C$181,0)</f>
        <v>2</v>
      </c>
      <c r="AH19" s="254">
        <f>ROUNDUP(AH21*'01 - Dados de Entrada'!$C$181,0)</f>
        <v>2</v>
      </c>
      <c r="AI19" s="254">
        <f>ROUNDUP(AI21*'01 - Dados de Entrada'!$C$181,0)</f>
        <v>2</v>
      </c>
      <c r="AJ19" s="254">
        <f>ROUNDUP(AJ21*'01 - Dados de Entrada'!$C$181,0)</f>
        <v>2</v>
      </c>
    </row>
    <row r="20" spans="1:36" s="35" customFormat="1" ht="13.15" customHeight="1" x14ac:dyDescent="0.2">
      <c r="A20" s="34" t="s">
        <v>798</v>
      </c>
      <c r="B20" s="254">
        <v>7</v>
      </c>
      <c r="C20" s="254">
        <v>7</v>
      </c>
      <c r="D20" s="254">
        <v>7</v>
      </c>
      <c r="E20" s="254">
        <v>7</v>
      </c>
      <c r="F20" s="254">
        <v>7</v>
      </c>
      <c r="G20" s="254">
        <v>7</v>
      </c>
      <c r="H20" s="254">
        <v>7</v>
      </c>
      <c r="I20" s="254">
        <v>8</v>
      </c>
      <c r="J20" s="254">
        <v>8</v>
      </c>
      <c r="K20" s="254">
        <v>8</v>
      </c>
      <c r="L20" s="254">
        <v>8</v>
      </c>
      <c r="M20" s="254">
        <v>8</v>
      </c>
      <c r="N20" s="254">
        <v>8</v>
      </c>
      <c r="O20" s="254">
        <v>8</v>
      </c>
      <c r="P20" s="254">
        <v>8</v>
      </c>
      <c r="Q20" s="254">
        <v>8</v>
      </c>
      <c r="R20" s="254">
        <v>8</v>
      </c>
      <c r="S20" s="254">
        <v>8</v>
      </c>
      <c r="T20" s="254">
        <v>8</v>
      </c>
      <c r="U20" s="254">
        <v>8</v>
      </c>
      <c r="V20" s="254">
        <v>8</v>
      </c>
      <c r="W20" s="254">
        <v>8</v>
      </c>
      <c r="X20" s="254">
        <v>8</v>
      </c>
      <c r="Y20" s="254">
        <v>8</v>
      </c>
      <c r="Z20" s="254">
        <v>8</v>
      </c>
      <c r="AA20" s="254">
        <v>8</v>
      </c>
      <c r="AB20" s="254">
        <v>8</v>
      </c>
      <c r="AC20" s="254">
        <v>8</v>
      </c>
      <c r="AD20" s="254">
        <v>8</v>
      </c>
      <c r="AE20" s="254">
        <v>8</v>
      </c>
      <c r="AF20" s="254">
        <v>8</v>
      </c>
      <c r="AG20" s="254">
        <v>8</v>
      </c>
      <c r="AH20" s="254">
        <v>8</v>
      </c>
      <c r="AI20" s="254">
        <v>8</v>
      </c>
      <c r="AJ20" s="254">
        <v>8</v>
      </c>
    </row>
    <row r="21" spans="1:36" s="35" customFormat="1" ht="13.15" customHeight="1" x14ac:dyDescent="0.2">
      <c r="A21" s="315" t="s">
        <v>790</v>
      </c>
      <c r="B21" s="316">
        <f>B18+B20</f>
        <v>7</v>
      </c>
      <c r="C21" s="316">
        <f t="shared" ref="C21:AJ21" si="6">C18+C20</f>
        <v>7</v>
      </c>
      <c r="D21" s="316">
        <f t="shared" si="6"/>
        <v>7</v>
      </c>
      <c r="E21" s="316">
        <f t="shared" si="6"/>
        <v>7</v>
      </c>
      <c r="F21" s="316">
        <f t="shared" si="6"/>
        <v>7</v>
      </c>
      <c r="G21" s="316">
        <f t="shared" si="6"/>
        <v>7</v>
      </c>
      <c r="H21" s="316">
        <f>H18+H20</f>
        <v>7</v>
      </c>
      <c r="I21" s="316">
        <f t="shared" si="6"/>
        <v>8</v>
      </c>
      <c r="J21" s="316">
        <f t="shared" si="6"/>
        <v>8</v>
      </c>
      <c r="K21" s="316">
        <f t="shared" si="6"/>
        <v>8</v>
      </c>
      <c r="L21" s="316">
        <f t="shared" si="6"/>
        <v>8</v>
      </c>
      <c r="M21" s="316">
        <f t="shared" si="6"/>
        <v>8</v>
      </c>
      <c r="N21" s="316">
        <f t="shared" si="6"/>
        <v>8</v>
      </c>
      <c r="O21" s="316">
        <f t="shared" si="6"/>
        <v>8</v>
      </c>
      <c r="P21" s="316">
        <f t="shared" si="6"/>
        <v>8</v>
      </c>
      <c r="Q21" s="316">
        <f t="shared" si="6"/>
        <v>8</v>
      </c>
      <c r="R21" s="316">
        <f t="shared" si="6"/>
        <v>8</v>
      </c>
      <c r="S21" s="316">
        <f t="shared" si="6"/>
        <v>8</v>
      </c>
      <c r="T21" s="316">
        <f t="shared" si="6"/>
        <v>8</v>
      </c>
      <c r="U21" s="316">
        <f t="shared" si="6"/>
        <v>8</v>
      </c>
      <c r="V21" s="316">
        <f t="shared" si="6"/>
        <v>8</v>
      </c>
      <c r="W21" s="316">
        <f t="shared" si="6"/>
        <v>8</v>
      </c>
      <c r="X21" s="316">
        <f t="shared" si="6"/>
        <v>8</v>
      </c>
      <c r="Y21" s="316">
        <f t="shared" si="6"/>
        <v>8</v>
      </c>
      <c r="Z21" s="316">
        <f t="shared" si="6"/>
        <v>8</v>
      </c>
      <c r="AA21" s="316">
        <f t="shared" si="6"/>
        <v>8</v>
      </c>
      <c r="AB21" s="316">
        <f t="shared" si="6"/>
        <v>8</v>
      </c>
      <c r="AC21" s="316">
        <f t="shared" si="6"/>
        <v>8</v>
      </c>
      <c r="AD21" s="316">
        <f t="shared" si="6"/>
        <v>8</v>
      </c>
      <c r="AE21" s="316">
        <f t="shared" si="6"/>
        <v>8</v>
      </c>
      <c r="AF21" s="316">
        <f t="shared" si="6"/>
        <v>8</v>
      </c>
      <c r="AG21" s="316">
        <f t="shared" si="6"/>
        <v>8</v>
      </c>
      <c r="AH21" s="316">
        <f t="shared" si="6"/>
        <v>8</v>
      </c>
      <c r="AI21" s="316">
        <f t="shared" si="6"/>
        <v>8</v>
      </c>
      <c r="AJ21" s="316">
        <f t="shared" si="6"/>
        <v>8</v>
      </c>
    </row>
    <row r="22" spans="1:36" s="38" customFormat="1" ht="13.15" customHeight="1" x14ac:dyDescent="0.2">
      <c r="A22" s="34" t="s">
        <v>799</v>
      </c>
      <c r="B22" s="254">
        <v>1</v>
      </c>
      <c r="C22" s="254">
        <v>1</v>
      </c>
      <c r="D22" s="254">
        <v>1</v>
      </c>
      <c r="E22" s="254">
        <v>1</v>
      </c>
      <c r="F22" s="254">
        <v>1</v>
      </c>
      <c r="G22" s="254">
        <v>1</v>
      </c>
      <c r="H22" s="254">
        <v>1</v>
      </c>
      <c r="I22" s="254">
        <v>1</v>
      </c>
      <c r="J22" s="254">
        <v>1</v>
      </c>
      <c r="K22" s="254">
        <v>1</v>
      </c>
      <c r="L22" s="254">
        <v>1</v>
      </c>
      <c r="M22" s="254">
        <v>1</v>
      </c>
      <c r="N22" s="254">
        <v>1</v>
      </c>
      <c r="O22" s="254">
        <v>1</v>
      </c>
      <c r="P22" s="254">
        <v>1</v>
      </c>
      <c r="Q22" s="254">
        <v>1</v>
      </c>
      <c r="R22" s="254">
        <v>1</v>
      </c>
      <c r="S22" s="254">
        <v>1</v>
      </c>
      <c r="T22" s="254">
        <v>1</v>
      </c>
      <c r="U22" s="254">
        <v>1</v>
      </c>
      <c r="V22" s="254">
        <v>1</v>
      </c>
      <c r="W22" s="254">
        <v>1</v>
      </c>
      <c r="X22" s="254">
        <v>1</v>
      </c>
      <c r="Y22" s="254">
        <v>1</v>
      </c>
      <c r="Z22" s="254">
        <v>1</v>
      </c>
      <c r="AA22" s="254">
        <v>1</v>
      </c>
      <c r="AB22" s="254">
        <v>1</v>
      </c>
      <c r="AC22" s="254">
        <v>1</v>
      </c>
      <c r="AD22" s="254">
        <v>1</v>
      </c>
      <c r="AE22" s="254">
        <v>1</v>
      </c>
      <c r="AF22" s="254">
        <v>1</v>
      </c>
      <c r="AG22" s="254">
        <v>1</v>
      </c>
      <c r="AH22" s="254">
        <v>1</v>
      </c>
      <c r="AI22" s="254">
        <v>1</v>
      </c>
      <c r="AJ22" s="254">
        <v>1</v>
      </c>
    </row>
    <row r="23" spans="1:36" s="38" customFormat="1" ht="13.15" customHeight="1" x14ac:dyDescent="0.2">
      <c r="A23" s="34" t="s">
        <v>794</v>
      </c>
      <c r="B23" s="254">
        <v>1</v>
      </c>
      <c r="C23" s="254">
        <v>1</v>
      </c>
      <c r="D23" s="254">
        <v>1</v>
      </c>
      <c r="E23" s="254">
        <v>1</v>
      </c>
      <c r="F23" s="254">
        <v>1</v>
      </c>
      <c r="G23" s="254">
        <v>1</v>
      </c>
      <c r="H23" s="254">
        <v>1</v>
      </c>
      <c r="I23" s="254">
        <v>1</v>
      </c>
      <c r="J23" s="254">
        <v>1</v>
      </c>
      <c r="K23" s="254">
        <v>1</v>
      </c>
      <c r="L23" s="254">
        <v>1</v>
      </c>
      <c r="M23" s="254">
        <v>1</v>
      </c>
      <c r="N23" s="254">
        <v>1</v>
      </c>
      <c r="O23" s="254">
        <v>1</v>
      </c>
      <c r="P23" s="254">
        <v>1</v>
      </c>
      <c r="Q23" s="254">
        <v>1</v>
      </c>
      <c r="R23" s="254">
        <v>1</v>
      </c>
      <c r="S23" s="254">
        <v>1</v>
      </c>
      <c r="T23" s="254">
        <v>1</v>
      </c>
      <c r="U23" s="254">
        <v>1</v>
      </c>
      <c r="V23" s="254">
        <v>1</v>
      </c>
      <c r="W23" s="254">
        <v>1</v>
      </c>
      <c r="X23" s="254">
        <v>1</v>
      </c>
      <c r="Y23" s="254">
        <v>1</v>
      </c>
      <c r="Z23" s="254">
        <v>1</v>
      </c>
      <c r="AA23" s="254">
        <v>1</v>
      </c>
      <c r="AB23" s="254">
        <v>1</v>
      </c>
      <c r="AC23" s="254">
        <v>1</v>
      </c>
      <c r="AD23" s="254">
        <v>1</v>
      </c>
      <c r="AE23" s="254">
        <v>1</v>
      </c>
      <c r="AF23" s="254">
        <v>1</v>
      </c>
      <c r="AG23" s="254">
        <v>1</v>
      </c>
      <c r="AH23" s="254">
        <v>1</v>
      </c>
      <c r="AI23" s="254">
        <v>1</v>
      </c>
      <c r="AJ23" s="254">
        <v>1</v>
      </c>
    </row>
    <row r="24" spans="1:36" s="38" customFormat="1" ht="13.15" customHeight="1" x14ac:dyDescent="0.2">
      <c r="A24" s="54" t="s">
        <v>800</v>
      </c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</row>
    <row r="25" spans="1:36" s="38" customFormat="1" ht="13.15" customHeight="1" x14ac:dyDescent="0.2">
      <c r="A25" s="34" t="s">
        <v>793</v>
      </c>
      <c r="B25" s="254">
        <f>ROUND((B7+B9+B10+B14+B15+B16+B18+B20+B22+B23)/20,0)</f>
        <v>1</v>
      </c>
      <c r="C25" s="254">
        <f t="shared" ref="C25:AJ25" si="7">ROUND((C7+C9+C10+C14+C15+C16+C18+C20+C22+C23)/20,0)</f>
        <v>1</v>
      </c>
      <c r="D25" s="254">
        <f t="shared" si="7"/>
        <v>1</v>
      </c>
      <c r="E25" s="254">
        <f t="shared" si="7"/>
        <v>1</v>
      </c>
      <c r="F25" s="254">
        <f t="shared" si="7"/>
        <v>1</v>
      </c>
      <c r="G25" s="254">
        <f t="shared" si="7"/>
        <v>1</v>
      </c>
      <c r="H25" s="254">
        <f t="shared" si="7"/>
        <v>1</v>
      </c>
      <c r="I25" s="254">
        <f t="shared" si="7"/>
        <v>1</v>
      </c>
      <c r="J25" s="254">
        <f t="shared" si="7"/>
        <v>1</v>
      </c>
      <c r="K25" s="254">
        <f t="shared" si="7"/>
        <v>1</v>
      </c>
      <c r="L25" s="254">
        <f t="shared" si="7"/>
        <v>1</v>
      </c>
      <c r="M25" s="254">
        <f t="shared" si="7"/>
        <v>1</v>
      </c>
      <c r="N25" s="254">
        <f t="shared" si="7"/>
        <v>1</v>
      </c>
      <c r="O25" s="254">
        <f t="shared" si="7"/>
        <v>1</v>
      </c>
      <c r="P25" s="254">
        <f t="shared" si="7"/>
        <v>1</v>
      </c>
      <c r="Q25" s="254">
        <f t="shared" si="7"/>
        <v>1</v>
      </c>
      <c r="R25" s="254">
        <f t="shared" si="7"/>
        <v>1</v>
      </c>
      <c r="S25" s="254">
        <f t="shared" si="7"/>
        <v>1</v>
      </c>
      <c r="T25" s="254">
        <f t="shared" si="7"/>
        <v>1</v>
      </c>
      <c r="U25" s="254">
        <f t="shared" si="7"/>
        <v>1</v>
      </c>
      <c r="V25" s="254">
        <f t="shared" si="7"/>
        <v>1</v>
      </c>
      <c r="W25" s="254">
        <f t="shared" si="7"/>
        <v>1</v>
      </c>
      <c r="X25" s="254">
        <f t="shared" si="7"/>
        <v>1</v>
      </c>
      <c r="Y25" s="254">
        <f t="shared" si="7"/>
        <v>1</v>
      </c>
      <c r="Z25" s="254">
        <f t="shared" si="7"/>
        <v>1</v>
      </c>
      <c r="AA25" s="254">
        <f t="shared" si="7"/>
        <v>1</v>
      </c>
      <c r="AB25" s="254">
        <f t="shared" si="7"/>
        <v>1</v>
      </c>
      <c r="AC25" s="254">
        <f t="shared" si="7"/>
        <v>1</v>
      </c>
      <c r="AD25" s="254">
        <f t="shared" si="7"/>
        <v>1</v>
      </c>
      <c r="AE25" s="254">
        <f t="shared" si="7"/>
        <v>1</v>
      </c>
      <c r="AF25" s="254">
        <f t="shared" si="7"/>
        <v>1</v>
      </c>
      <c r="AG25" s="254">
        <f t="shared" si="7"/>
        <v>1</v>
      </c>
      <c r="AH25" s="254">
        <f t="shared" si="7"/>
        <v>1</v>
      </c>
      <c r="AI25" s="254">
        <f t="shared" si="7"/>
        <v>1</v>
      </c>
      <c r="AJ25" s="254">
        <f t="shared" si="7"/>
        <v>1</v>
      </c>
    </row>
    <row r="26" spans="1:36" s="38" customFormat="1" ht="13.15" customHeight="1" x14ac:dyDescent="0.2">
      <c r="A26" s="54" t="s">
        <v>801</v>
      </c>
      <c r="B26" s="55">
        <v>0</v>
      </c>
      <c r="C26" s="55">
        <v>0</v>
      </c>
      <c r="D26" s="55">
        <v>0</v>
      </c>
      <c r="E26" s="55">
        <v>0</v>
      </c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</row>
    <row r="27" spans="1:36" s="38" customFormat="1" ht="13.15" customHeight="1" x14ac:dyDescent="0.2">
      <c r="A27" s="34" t="s">
        <v>802</v>
      </c>
      <c r="B27" s="254">
        <f>'05 - Relação de funcionários'!B41</f>
        <v>1</v>
      </c>
      <c r="C27" s="254">
        <f>'05 - Relação de funcionários'!C41</f>
        <v>1</v>
      </c>
      <c r="D27" s="254">
        <f>'05 - Relação de funcionários'!D41</f>
        <v>1</v>
      </c>
      <c r="E27" s="254">
        <f>'05 - Relação de funcionários'!E41</f>
        <v>1</v>
      </c>
      <c r="F27" s="254">
        <f>'05 - Relação de funcionários'!F41</f>
        <v>1</v>
      </c>
      <c r="G27" s="254">
        <f>'05 - Relação de funcionários'!G41</f>
        <v>1</v>
      </c>
      <c r="H27" s="254">
        <f>'05 - Relação de funcionários'!H41</f>
        <v>1</v>
      </c>
      <c r="I27" s="254">
        <f>'05 - Relação de funcionários'!I41</f>
        <v>1</v>
      </c>
      <c r="J27" s="254">
        <f>'05 - Relação de funcionários'!J41</f>
        <v>1</v>
      </c>
      <c r="K27" s="254">
        <f>'05 - Relação de funcionários'!K41</f>
        <v>1</v>
      </c>
      <c r="L27" s="254">
        <f>'05 - Relação de funcionários'!L41</f>
        <v>1</v>
      </c>
      <c r="M27" s="254">
        <f>'05 - Relação de funcionários'!M41</f>
        <v>1</v>
      </c>
      <c r="N27" s="254">
        <f>'05 - Relação de funcionários'!N41</f>
        <v>1</v>
      </c>
      <c r="O27" s="254">
        <f>'05 - Relação de funcionários'!O41</f>
        <v>1</v>
      </c>
      <c r="P27" s="254">
        <f>'05 - Relação de funcionários'!P41</f>
        <v>1</v>
      </c>
      <c r="Q27" s="254">
        <f>'05 - Relação de funcionários'!Q41</f>
        <v>1</v>
      </c>
      <c r="R27" s="254">
        <f>'05 - Relação de funcionários'!R41</f>
        <v>1</v>
      </c>
      <c r="S27" s="254">
        <f>'05 - Relação de funcionários'!S41</f>
        <v>1</v>
      </c>
      <c r="T27" s="254">
        <f>'05 - Relação de funcionários'!T41</f>
        <v>1</v>
      </c>
      <c r="U27" s="254">
        <f>'05 - Relação de funcionários'!U41</f>
        <v>1</v>
      </c>
      <c r="V27" s="254">
        <f>'05 - Relação de funcionários'!V41</f>
        <v>1</v>
      </c>
      <c r="W27" s="254">
        <f>'05 - Relação de funcionários'!W41</f>
        <v>1</v>
      </c>
      <c r="X27" s="254">
        <f>'05 - Relação de funcionários'!X41</f>
        <v>1</v>
      </c>
      <c r="Y27" s="254">
        <f>'05 - Relação de funcionários'!Y41</f>
        <v>1</v>
      </c>
      <c r="Z27" s="254">
        <f>'05 - Relação de funcionários'!Z41</f>
        <v>1</v>
      </c>
      <c r="AA27" s="254">
        <f>'05 - Relação de funcionários'!AA41</f>
        <v>1</v>
      </c>
      <c r="AB27" s="254">
        <f>'05 - Relação de funcionários'!AB41</f>
        <v>1</v>
      </c>
      <c r="AC27" s="254">
        <f>'05 - Relação de funcionários'!AC41</f>
        <v>1</v>
      </c>
      <c r="AD27" s="254">
        <f>'05 - Relação de funcionários'!AD41</f>
        <v>1</v>
      </c>
      <c r="AE27" s="254">
        <f>'05 - Relação de funcionários'!AE41</f>
        <v>1</v>
      </c>
      <c r="AF27" s="254">
        <f>'05 - Relação de funcionários'!AF41</f>
        <v>1</v>
      </c>
      <c r="AG27" s="254">
        <f>'05 - Relação de funcionários'!AG41</f>
        <v>1</v>
      </c>
      <c r="AH27" s="254">
        <f>'05 - Relação de funcionários'!AH41</f>
        <v>1</v>
      </c>
      <c r="AI27" s="254">
        <f>'05 - Relação de funcionários'!AI41</f>
        <v>1</v>
      </c>
      <c r="AJ27" s="254">
        <f>'05 - Relação de funcionários'!AJ41</f>
        <v>1</v>
      </c>
    </row>
    <row r="28" spans="1:36" s="255" customFormat="1" ht="13.15" customHeight="1" x14ac:dyDescent="0.2">
      <c r="A28" s="54" t="s">
        <v>803</v>
      </c>
      <c r="B28" s="55">
        <v>0</v>
      </c>
      <c r="C28" s="55">
        <v>0</v>
      </c>
      <c r="D28" s="55">
        <v>0</v>
      </c>
      <c r="E28" s="55">
        <v>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</row>
    <row r="29" spans="1:36" s="255" customFormat="1" ht="13.15" customHeight="1" x14ac:dyDescent="0.2">
      <c r="A29" s="34" t="s">
        <v>802</v>
      </c>
      <c r="B29" s="254">
        <v>1</v>
      </c>
      <c r="C29" s="254">
        <v>1</v>
      </c>
      <c r="D29" s="254">
        <v>1</v>
      </c>
      <c r="E29" s="254">
        <v>1</v>
      </c>
      <c r="F29" s="254">
        <v>1</v>
      </c>
      <c r="G29" s="254">
        <v>1</v>
      </c>
      <c r="H29" s="254">
        <v>1</v>
      </c>
      <c r="I29" s="254">
        <v>1</v>
      </c>
      <c r="J29" s="254">
        <v>1</v>
      </c>
      <c r="K29" s="254">
        <v>1</v>
      </c>
      <c r="L29" s="254">
        <v>1</v>
      </c>
      <c r="M29" s="254">
        <v>1</v>
      </c>
      <c r="N29" s="254">
        <v>1</v>
      </c>
      <c r="O29" s="254">
        <v>1</v>
      </c>
      <c r="P29" s="254">
        <v>1</v>
      </c>
      <c r="Q29" s="254">
        <v>1</v>
      </c>
      <c r="R29" s="254">
        <v>1</v>
      </c>
      <c r="S29" s="254">
        <v>1</v>
      </c>
      <c r="T29" s="254">
        <v>1</v>
      </c>
      <c r="U29" s="254">
        <v>1</v>
      </c>
      <c r="V29" s="254">
        <v>1</v>
      </c>
      <c r="W29" s="254">
        <v>1</v>
      </c>
      <c r="X29" s="254">
        <v>1</v>
      </c>
      <c r="Y29" s="254">
        <v>1</v>
      </c>
      <c r="Z29" s="254">
        <v>1</v>
      </c>
      <c r="AA29" s="254">
        <v>1</v>
      </c>
      <c r="AB29" s="254">
        <v>1</v>
      </c>
      <c r="AC29" s="254">
        <v>1</v>
      </c>
      <c r="AD29" s="254">
        <v>1</v>
      </c>
      <c r="AE29" s="254">
        <v>1</v>
      </c>
      <c r="AF29" s="254">
        <v>1</v>
      </c>
      <c r="AG29" s="254">
        <v>1</v>
      </c>
      <c r="AH29" s="254">
        <v>1</v>
      </c>
      <c r="AI29" s="254">
        <v>1</v>
      </c>
      <c r="AJ29" s="254">
        <v>1</v>
      </c>
    </row>
    <row r="30" spans="1:36" s="38" customFormat="1" ht="13.15" customHeight="1" x14ac:dyDescent="0.2">
      <c r="A30" s="54" t="s">
        <v>804</v>
      </c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</row>
    <row r="31" spans="1:36" s="38" customFormat="1" ht="13.15" customHeight="1" x14ac:dyDescent="0.2">
      <c r="A31" s="34" t="s">
        <v>802</v>
      </c>
      <c r="B31" s="254">
        <f>'05 - Relação de funcionários'!B19+'05 - Relação de funcionários'!B20</f>
        <v>2</v>
      </c>
      <c r="C31" s="254">
        <f>'05 - Relação de funcionários'!C19+'05 - Relação de funcionários'!C20</f>
        <v>2</v>
      </c>
      <c r="D31" s="254">
        <f>'05 - Relação de funcionários'!D19+'05 - Relação de funcionários'!D20</f>
        <v>2</v>
      </c>
      <c r="E31" s="254">
        <f>'05 - Relação de funcionários'!E19+'05 - Relação de funcionários'!E20</f>
        <v>2</v>
      </c>
      <c r="F31" s="254">
        <f>'05 - Relação de funcionários'!F19+'05 - Relação de funcionários'!F20</f>
        <v>2</v>
      </c>
      <c r="G31" s="254">
        <f>'05 - Relação de funcionários'!G19+'05 - Relação de funcionários'!G20</f>
        <v>2</v>
      </c>
      <c r="H31" s="254">
        <f>'05 - Relação de funcionários'!H19+'05 - Relação de funcionários'!H20</f>
        <v>2</v>
      </c>
      <c r="I31" s="254">
        <f>'05 - Relação de funcionários'!I19+'05 - Relação de funcionários'!I20</f>
        <v>2</v>
      </c>
      <c r="J31" s="254">
        <f>'05 - Relação de funcionários'!J19+'05 - Relação de funcionários'!J20</f>
        <v>2</v>
      </c>
      <c r="K31" s="254">
        <f>'05 - Relação de funcionários'!K19+'05 - Relação de funcionários'!K20</f>
        <v>2</v>
      </c>
      <c r="L31" s="254">
        <f>'05 - Relação de funcionários'!L19+'05 - Relação de funcionários'!L20</f>
        <v>2</v>
      </c>
      <c r="M31" s="254">
        <f>'05 - Relação de funcionários'!M19+'05 - Relação de funcionários'!M20</f>
        <v>2</v>
      </c>
      <c r="N31" s="254">
        <f>'05 - Relação de funcionários'!N19+'05 - Relação de funcionários'!N20</f>
        <v>2</v>
      </c>
      <c r="O31" s="254">
        <f>'05 - Relação de funcionários'!O19+'05 - Relação de funcionários'!O20</f>
        <v>2</v>
      </c>
      <c r="P31" s="254">
        <f>'05 - Relação de funcionários'!P19+'05 - Relação de funcionários'!P20</f>
        <v>2</v>
      </c>
      <c r="Q31" s="254">
        <f>'05 - Relação de funcionários'!Q19+'05 - Relação de funcionários'!Q20</f>
        <v>2</v>
      </c>
      <c r="R31" s="254">
        <f>'05 - Relação de funcionários'!R19+'05 - Relação de funcionários'!R20</f>
        <v>2</v>
      </c>
      <c r="S31" s="254">
        <f>'05 - Relação de funcionários'!S19+'05 - Relação de funcionários'!S20</f>
        <v>2</v>
      </c>
      <c r="T31" s="254">
        <f>'05 - Relação de funcionários'!T19+'05 - Relação de funcionários'!T20</f>
        <v>2</v>
      </c>
      <c r="U31" s="254">
        <f>'05 - Relação de funcionários'!U19+'05 - Relação de funcionários'!U20</f>
        <v>2</v>
      </c>
      <c r="V31" s="254">
        <f>'05 - Relação de funcionários'!V19+'05 - Relação de funcionários'!V20</f>
        <v>2</v>
      </c>
      <c r="W31" s="254">
        <f>'05 - Relação de funcionários'!W19+'05 - Relação de funcionários'!W20</f>
        <v>2</v>
      </c>
      <c r="X31" s="254">
        <f>'05 - Relação de funcionários'!X19+'05 - Relação de funcionários'!X20</f>
        <v>2</v>
      </c>
      <c r="Y31" s="254">
        <f>'05 - Relação de funcionários'!Y19+'05 - Relação de funcionários'!Y20</f>
        <v>2</v>
      </c>
      <c r="Z31" s="254">
        <f>'05 - Relação de funcionários'!Z19+'05 - Relação de funcionários'!Z20</f>
        <v>2</v>
      </c>
      <c r="AA31" s="254">
        <f>'05 - Relação de funcionários'!AA19+'05 - Relação de funcionários'!AA20</f>
        <v>2</v>
      </c>
      <c r="AB31" s="254">
        <f>'05 - Relação de funcionários'!AB19+'05 - Relação de funcionários'!AB20</f>
        <v>2</v>
      </c>
      <c r="AC31" s="254">
        <f>'05 - Relação de funcionários'!AC19+'05 - Relação de funcionários'!AC20</f>
        <v>2</v>
      </c>
      <c r="AD31" s="254">
        <f>'05 - Relação de funcionários'!AD19+'05 - Relação de funcionários'!AD20</f>
        <v>2</v>
      </c>
      <c r="AE31" s="254">
        <f>'05 - Relação de funcionários'!AE19+'05 - Relação de funcionários'!AE20</f>
        <v>2</v>
      </c>
      <c r="AF31" s="254">
        <f>'05 - Relação de funcionários'!AF19+'05 - Relação de funcionários'!AF20</f>
        <v>2</v>
      </c>
      <c r="AG31" s="254">
        <f>'05 - Relação de funcionários'!AG19+'05 - Relação de funcionários'!AG20</f>
        <v>2</v>
      </c>
      <c r="AH31" s="254">
        <f>'05 - Relação de funcionários'!AH19+'05 - Relação de funcionários'!AH20</f>
        <v>2</v>
      </c>
      <c r="AI31" s="254">
        <f>'05 - Relação de funcionários'!AI19+'05 - Relação de funcionários'!AI20</f>
        <v>2</v>
      </c>
      <c r="AJ31" s="254">
        <f>'05 - Relação de funcionários'!AJ19+'05 - Relação de funcionários'!AJ20</f>
        <v>2</v>
      </c>
    </row>
    <row r="32" spans="1:36" s="38" customFormat="1" ht="13.15" customHeight="1" x14ac:dyDescent="0.2">
      <c r="A32" s="54" t="s">
        <v>805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</row>
    <row r="33" spans="1:36" s="38" customFormat="1" ht="13.15" customHeight="1" x14ac:dyDescent="0.2">
      <c r="A33" s="36" t="s">
        <v>806</v>
      </c>
      <c r="B33" s="254">
        <f>'01 - Dados de Entrada'!$C$175</f>
        <v>210</v>
      </c>
      <c r="C33" s="254">
        <f>'01 - Dados de Entrada'!$C$175</f>
        <v>210</v>
      </c>
      <c r="D33" s="254">
        <f>'01 - Dados de Entrada'!$C$175+'01 - Dados de Entrada'!$C$176</f>
        <v>420</v>
      </c>
      <c r="E33" s="254">
        <f>'01 - Dados de Entrada'!$C$175+'01 - Dados de Entrada'!$C$176</f>
        <v>420</v>
      </c>
      <c r="F33" s="254">
        <f>'01 - Dados de Entrada'!$C$175+'01 - Dados de Entrada'!$C$176+'01 - Dados de Entrada'!$C$177</f>
        <v>600</v>
      </c>
      <c r="G33" s="254">
        <f>'01 - Dados de Entrada'!$C$175+'01 - Dados de Entrada'!$C$176+'01 - Dados de Entrada'!$C$177</f>
        <v>600</v>
      </c>
      <c r="H33" s="254">
        <f>'01 - Dados de Entrada'!$C$175+'01 - Dados de Entrada'!$C$176+'01 - Dados de Entrada'!$C$177</f>
        <v>600</v>
      </c>
      <c r="I33" s="254">
        <f>'01 - Dados de Entrada'!$C$175+'01 - Dados de Entrada'!$C$176+'01 - Dados de Entrada'!$C$177</f>
        <v>600</v>
      </c>
      <c r="J33" s="254">
        <f>'01 - Dados de Entrada'!$C$175+'01 - Dados de Entrada'!$C$176+'01 - Dados de Entrada'!$C$177</f>
        <v>600</v>
      </c>
      <c r="K33" s="254">
        <f>'01 - Dados de Entrada'!$C$175+'01 - Dados de Entrada'!$C$176+'01 - Dados de Entrada'!$C$177</f>
        <v>600</v>
      </c>
      <c r="L33" s="254">
        <f>'01 - Dados de Entrada'!$C$175+'01 - Dados de Entrada'!$C$176+'01 - Dados de Entrada'!$C$177</f>
        <v>600</v>
      </c>
      <c r="M33" s="254">
        <f>'01 - Dados de Entrada'!$C$175+'01 - Dados de Entrada'!$C$176+'01 - Dados de Entrada'!$C$177</f>
        <v>600</v>
      </c>
      <c r="N33" s="254">
        <f>'01 - Dados de Entrada'!$C$175+'01 - Dados de Entrada'!$C$176+'01 - Dados de Entrada'!$C$177</f>
        <v>600</v>
      </c>
      <c r="O33" s="254">
        <f>'01 - Dados de Entrada'!$C$175+'01 - Dados de Entrada'!$C$176+'01 - Dados de Entrada'!$C$177</f>
        <v>600</v>
      </c>
      <c r="P33" s="254">
        <f>'01 - Dados de Entrada'!$C$175+'01 - Dados de Entrada'!$C$176+'01 - Dados de Entrada'!$C$177</f>
        <v>600</v>
      </c>
      <c r="Q33" s="254">
        <f>'01 - Dados de Entrada'!$C$175+'01 - Dados de Entrada'!$C$176+'01 - Dados de Entrada'!$C$177</f>
        <v>600</v>
      </c>
      <c r="R33" s="254">
        <f>'01 - Dados de Entrada'!$C$175+'01 - Dados de Entrada'!$C$176+'01 - Dados de Entrada'!$C$177</f>
        <v>600</v>
      </c>
      <c r="S33" s="254">
        <f>'01 - Dados de Entrada'!$C$175+'01 - Dados de Entrada'!$C$176+'01 - Dados de Entrada'!$C$177</f>
        <v>600</v>
      </c>
      <c r="T33" s="254">
        <f>'01 - Dados de Entrada'!$C$175+'01 - Dados de Entrada'!$C$176+'01 - Dados de Entrada'!$C$177</f>
        <v>600</v>
      </c>
      <c r="U33" s="254">
        <f>'01 - Dados de Entrada'!$C$175+'01 - Dados de Entrada'!$C$176+'01 - Dados de Entrada'!$C$177</f>
        <v>600</v>
      </c>
      <c r="V33" s="254">
        <f>'01 - Dados de Entrada'!$C$175+'01 - Dados de Entrada'!$C$176+'01 - Dados de Entrada'!$C$177</f>
        <v>600</v>
      </c>
      <c r="W33" s="254">
        <f>'01 - Dados de Entrada'!$C$175+'01 - Dados de Entrada'!$C$176+'01 - Dados de Entrada'!$C$177</f>
        <v>600</v>
      </c>
      <c r="X33" s="254">
        <f>'01 - Dados de Entrada'!$C$175+'01 - Dados de Entrada'!$C$176+'01 - Dados de Entrada'!$C$177</f>
        <v>600</v>
      </c>
      <c r="Y33" s="254">
        <f>'01 - Dados de Entrada'!$C$175+'01 - Dados de Entrada'!$C$176+'01 - Dados de Entrada'!$C$177</f>
        <v>600</v>
      </c>
      <c r="Z33" s="254">
        <f>'01 - Dados de Entrada'!$C$175+'01 - Dados de Entrada'!$C$176+'01 - Dados de Entrada'!$C$177</f>
        <v>600</v>
      </c>
      <c r="AA33" s="254">
        <f>'01 - Dados de Entrada'!$C$175+'01 - Dados de Entrada'!$C$176+'01 - Dados de Entrada'!$C$177</f>
        <v>600</v>
      </c>
      <c r="AB33" s="254">
        <f>'01 - Dados de Entrada'!$C$175+'01 - Dados de Entrada'!$C$176+'01 - Dados de Entrada'!$C$177</f>
        <v>600</v>
      </c>
      <c r="AC33" s="254">
        <f>'01 - Dados de Entrada'!$C$175+'01 - Dados de Entrada'!$C$176+'01 - Dados de Entrada'!$C$177</f>
        <v>600</v>
      </c>
      <c r="AD33" s="254">
        <f>'01 - Dados de Entrada'!$C$175+'01 - Dados de Entrada'!$C$176+'01 - Dados de Entrada'!$C$177</f>
        <v>600</v>
      </c>
      <c r="AE33" s="254">
        <f>'01 - Dados de Entrada'!$C$175+'01 - Dados de Entrada'!$C$176+'01 - Dados de Entrada'!$C$177</f>
        <v>600</v>
      </c>
      <c r="AF33" s="254">
        <f>'01 - Dados de Entrada'!$C$175+'01 - Dados de Entrada'!$C$176+'01 - Dados de Entrada'!$C$177</f>
        <v>600</v>
      </c>
      <c r="AG33" s="254">
        <f>'01 - Dados de Entrada'!$C$175+'01 - Dados de Entrada'!$C$176+'01 - Dados de Entrada'!$C$177</f>
        <v>600</v>
      </c>
      <c r="AH33" s="254">
        <f>'01 - Dados de Entrada'!$C$175+'01 - Dados de Entrada'!$C$176+'01 - Dados de Entrada'!$C$177</f>
        <v>600</v>
      </c>
      <c r="AI33" s="254">
        <f>'01 - Dados de Entrada'!$C$175+'01 - Dados de Entrada'!$C$176+'01 - Dados de Entrada'!$C$177</f>
        <v>600</v>
      </c>
      <c r="AJ33" s="254">
        <f>'01 - Dados de Entrada'!$C$175+'01 - Dados de Entrada'!$C$176+'01 - Dados de Entrada'!$C$177</f>
        <v>600</v>
      </c>
    </row>
    <row r="34" spans="1:36" s="35" customFormat="1" ht="13.15" customHeight="1" x14ac:dyDescent="0.2">
      <c r="A34" s="36" t="s">
        <v>807</v>
      </c>
      <c r="B34" s="254">
        <f>'01 - Dados de Entrada'!$C$178</f>
        <v>140</v>
      </c>
      <c r="C34" s="254">
        <f>'01 - Dados de Entrada'!$C$178</f>
        <v>140</v>
      </c>
      <c r="D34" s="254">
        <f>'01 - Dados de Entrada'!$C$178+'01 - Dados de Entrada'!$C$179</f>
        <v>280</v>
      </c>
      <c r="E34" s="254">
        <f>'01 - Dados de Entrada'!$C$178+'01 - Dados de Entrada'!$C$179</f>
        <v>280</v>
      </c>
      <c r="F34" s="254">
        <f>'01 - Dados de Entrada'!$C$178+'01 - Dados de Entrada'!$C$179+'01 - Dados de Entrada'!$C$180</f>
        <v>400</v>
      </c>
      <c r="G34" s="254">
        <f>'01 - Dados de Entrada'!$C$178+'01 - Dados de Entrada'!$C$179+'01 - Dados de Entrada'!$C$180</f>
        <v>400</v>
      </c>
      <c r="H34" s="254">
        <f>'01 - Dados de Entrada'!$C$178+'01 - Dados de Entrada'!$C$179+'01 - Dados de Entrada'!$C$180</f>
        <v>400</v>
      </c>
      <c r="I34" s="254">
        <f>'01 - Dados de Entrada'!$C$178+'01 - Dados de Entrada'!$C$179+'01 - Dados de Entrada'!$C$180</f>
        <v>400</v>
      </c>
      <c r="J34" s="254">
        <f>'01 - Dados de Entrada'!$C$178+'01 - Dados de Entrada'!$C$179+'01 - Dados de Entrada'!$C$180</f>
        <v>400</v>
      </c>
      <c r="K34" s="254">
        <f>'01 - Dados de Entrada'!$C$178+'01 - Dados de Entrada'!$C$179+'01 - Dados de Entrada'!$C$180</f>
        <v>400</v>
      </c>
      <c r="L34" s="254">
        <f>'01 - Dados de Entrada'!$C$178+'01 - Dados de Entrada'!$C$179+'01 - Dados de Entrada'!$C$180</f>
        <v>400</v>
      </c>
      <c r="M34" s="254">
        <f>'01 - Dados de Entrada'!$C$178+'01 - Dados de Entrada'!$C$179+'01 - Dados de Entrada'!$C$180</f>
        <v>400</v>
      </c>
      <c r="N34" s="254">
        <f>'01 - Dados de Entrada'!$C$178+'01 - Dados de Entrada'!$C$179+'01 - Dados de Entrada'!$C$180</f>
        <v>400</v>
      </c>
      <c r="O34" s="254">
        <f>'01 - Dados de Entrada'!$C$178+'01 - Dados de Entrada'!$C$179+'01 - Dados de Entrada'!$C$180</f>
        <v>400</v>
      </c>
      <c r="P34" s="254">
        <f>'01 - Dados de Entrada'!$C$178+'01 - Dados de Entrada'!$C$179+'01 - Dados de Entrada'!$C$180</f>
        <v>400</v>
      </c>
      <c r="Q34" s="254">
        <f>'01 - Dados de Entrada'!$C$178+'01 - Dados de Entrada'!$C$179+'01 - Dados de Entrada'!$C$180</f>
        <v>400</v>
      </c>
      <c r="R34" s="254">
        <f>'01 - Dados de Entrada'!$C$178+'01 - Dados de Entrada'!$C$179+'01 - Dados de Entrada'!$C$180</f>
        <v>400</v>
      </c>
      <c r="S34" s="254">
        <f>'01 - Dados de Entrada'!$C$178+'01 - Dados de Entrada'!$C$179+'01 - Dados de Entrada'!$C$180</f>
        <v>400</v>
      </c>
      <c r="T34" s="254">
        <f>'01 - Dados de Entrada'!$C$178+'01 - Dados de Entrada'!$C$179+'01 - Dados de Entrada'!$C$180</f>
        <v>400</v>
      </c>
      <c r="U34" s="254">
        <f>'01 - Dados de Entrada'!$C$178+'01 - Dados de Entrada'!$C$179+'01 - Dados de Entrada'!$C$180</f>
        <v>400</v>
      </c>
      <c r="V34" s="254">
        <f>'01 - Dados de Entrada'!$C$178+'01 - Dados de Entrada'!$C$179+'01 - Dados de Entrada'!$C$180</f>
        <v>400</v>
      </c>
      <c r="W34" s="254">
        <f>'01 - Dados de Entrada'!$C$178+'01 - Dados de Entrada'!$C$179+'01 - Dados de Entrada'!$C$180</f>
        <v>400</v>
      </c>
      <c r="X34" s="254">
        <f>'01 - Dados de Entrada'!$C$178+'01 - Dados de Entrada'!$C$179+'01 - Dados de Entrada'!$C$180</f>
        <v>400</v>
      </c>
      <c r="Y34" s="254">
        <f>'01 - Dados de Entrada'!$C$178+'01 - Dados de Entrada'!$C$179+'01 - Dados de Entrada'!$C$180</f>
        <v>400</v>
      </c>
      <c r="Z34" s="254">
        <f>'01 - Dados de Entrada'!$C$178+'01 - Dados de Entrada'!$C$179+'01 - Dados de Entrada'!$C$180</f>
        <v>400</v>
      </c>
      <c r="AA34" s="254">
        <f>'01 - Dados de Entrada'!$C$178+'01 - Dados de Entrada'!$C$179+'01 - Dados de Entrada'!$C$180</f>
        <v>400</v>
      </c>
      <c r="AB34" s="254">
        <f>'01 - Dados de Entrada'!$C$178+'01 - Dados de Entrada'!$C$179+'01 - Dados de Entrada'!$C$180</f>
        <v>400</v>
      </c>
      <c r="AC34" s="254">
        <f>'01 - Dados de Entrada'!$C$178+'01 - Dados de Entrada'!$C$179+'01 - Dados de Entrada'!$C$180</f>
        <v>400</v>
      </c>
      <c r="AD34" s="254">
        <f>'01 - Dados de Entrada'!$C$178+'01 - Dados de Entrada'!$C$179+'01 - Dados de Entrada'!$C$180</f>
        <v>400</v>
      </c>
      <c r="AE34" s="254">
        <f>'01 - Dados de Entrada'!$C$178+'01 - Dados de Entrada'!$C$179+'01 - Dados de Entrada'!$C$180</f>
        <v>400</v>
      </c>
      <c r="AF34" s="254">
        <f>'01 - Dados de Entrada'!$C$178+'01 - Dados de Entrada'!$C$179+'01 - Dados de Entrada'!$C$180</f>
        <v>400</v>
      </c>
      <c r="AG34" s="254">
        <f>'01 - Dados de Entrada'!$C$178+'01 - Dados de Entrada'!$C$179+'01 - Dados de Entrada'!$C$180</f>
        <v>400</v>
      </c>
      <c r="AH34" s="254">
        <f>'01 - Dados de Entrada'!$C$178+'01 - Dados de Entrada'!$C$179+'01 - Dados de Entrada'!$C$180</f>
        <v>400</v>
      </c>
      <c r="AI34" s="254">
        <f>'01 - Dados de Entrada'!$C$178+'01 - Dados de Entrada'!$C$179+'01 - Dados de Entrada'!$C$180</f>
        <v>400</v>
      </c>
      <c r="AJ34" s="254">
        <f>'01 - Dados de Entrada'!$C$178+'01 - Dados de Entrada'!$C$179+'01 - Dados de Entrada'!$C$180</f>
        <v>400</v>
      </c>
    </row>
    <row r="35" spans="1:36" s="152" customFormat="1" ht="13.15" customHeight="1" x14ac:dyDescent="0.2">
      <c r="A35" s="36" t="s">
        <v>808</v>
      </c>
      <c r="B35" s="345">
        <f>'01 - Dados de Entrada'!$C$330*('01 - Dados de Entrada'!$C$332+'01 - Dados de Entrada'!$C$333)</f>
        <v>16</v>
      </c>
      <c r="C35" s="345">
        <f>'01 - Dados de Entrada'!$C$330*('01 - Dados de Entrada'!$C$332+'01 - Dados de Entrada'!$C$333)</f>
        <v>16</v>
      </c>
      <c r="D35" s="345">
        <f>'01 - Dados de Entrada'!$C$330*('01 - Dados de Entrada'!$C$332+'01 - Dados de Entrada'!$C$333)</f>
        <v>16</v>
      </c>
      <c r="E35" s="345">
        <f>'01 - Dados de Entrada'!$C$330*('01 - Dados de Entrada'!$C$332+'01 - Dados de Entrada'!$C$333)</f>
        <v>16</v>
      </c>
      <c r="F35" s="345">
        <f>'01 - Dados de Entrada'!$C$330*('01 - Dados de Entrada'!$C$332+'01 - Dados de Entrada'!$C$333)</f>
        <v>16</v>
      </c>
      <c r="G35" s="345">
        <f>'01 - Dados de Entrada'!$C$330*('01 - Dados de Entrada'!$C$332+'01 - Dados de Entrada'!$C$333)</f>
        <v>16</v>
      </c>
      <c r="H35" s="345">
        <f>'01 - Dados de Entrada'!$C$330*('01 - Dados de Entrada'!$C$332+'01 - Dados de Entrada'!$C$333)</f>
        <v>16</v>
      </c>
      <c r="I35" s="345">
        <f>'01 - Dados de Entrada'!$C$330*('01 - Dados de Entrada'!$C$332+'01 - Dados de Entrada'!$C$333)</f>
        <v>16</v>
      </c>
      <c r="J35" s="345">
        <f>'01 - Dados de Entrada'!$C$330*('01 - Dados de Entrada'!$C$332+'01 - Dados de Entrada'!$C$333)</f>
        <v>16</v>
      </c>
      <c r="K35" s="345">
        <f>'01 - Dados de Entrada'!$C$330*('01 - Dados de Entrada'!$C$332+'01 - Dados de Entrada'!$C$333)</f>
        <v>16</v>
      </c>
      <c r="L35" s="345">
        <f>'01 - Dados de Entrada'!$C$330*('01 - Dados de Entrada'!$C$332+'01 - Dados de Entrada'!$C$333)</f>
        <v>16</v>
      </c>
      <c r="M35" s="345">
        <f>'01 - Dados de Entrada'!$C$330*('01 - Dados de Entrada'!$C$332+'01 - Dados de Entrada'!$C$333)</f>
        <v>16</v>
      </c>
      <c r="N35" s="345">
        <f>'01 - Dados de Entrada'!$C$330*('01 - Dados de Entrada'!$C$332+'01 - Dados de Entrada'!$C$333)</f>
        <v>16</v>
      </c>
      <c r="O35" s="345">
        <f>'01 - Dados de Entrada'!$C$330*('01 - Dados de Entrada'!$C$332+'01 - Dados de Entrada'!$C$333)</f>
        <v>16</v>
      </c>
      <c r="P35" s="345">
        <f>'01 - Dados de Entrada'!$C$330*('01 - Dados de Entrada'!$C$332+'01 - Dados de Entrada'!$C$333)</f>
        <v>16</v>
      </c>
      <c r="Q35" s="345">
        <f>'01 - Dados de Entrada'!$C$330*('01 - Dados de Entrada'!$C$332+'01 - Dados de Entrada'!$C$333)</f>
        <v>16</v>
      </c>
      <c r="R35" s="345">
        <f>'01 - Dados de Entrada'!$C$330*('01 - Dados de Entrada'!$C$332+'01 - Dados de Entrada'!$C$333)</f>
        <v>16</v>
      </c>
      <c r="S35" s="345">
        <f>'01 - Dados de Entrada'!$C$330*('01 - Dados de Entrada'!$C$332+'01 - Dados de Entrada'!$C$333)</f>
        <v>16</v>
      </c>
      <c r="T35" s="345">
        <f>'01 - Dados de Entrada'!$C$330*('01 - Dados de Entrada'!$C$332+'01 - Dados de Entrada'!$C$333)</f>
        <v>16</v>
      </c>
      <c r="U35" s="345">
        <f>'01 - Dados de Entrada'!$C$330*('01 - Dados de Entrada'!$C$332+'01 - Dados de Entrada'!$C$333)</f>
        <v>16</v>
      </c>
      <c r="V35" s="345">
        <f>'01 - Dados de Entrada'!$C$330*('01 - Dados de Entrada'!$C$332+'01 - Dados de Entrada'!$C$333)</f>
        <v>16</v>
      </c>
      <c r="W35" s="345">
        <f>'01 - Dados de Entrada'!$C$330*('01 - Dados de Entrada'!$C$332+'01 - Dados de Entrada'!$C$333)</f>
        <v>16</v>
      </c>
      <c r="X35" s="345">
        <f>'01 - Dados de Entrada'!$C$330*('01 - Dados de Entrada'!$C$332+'01 - Dados de Entrada'!$C$333)</f>
        <v>16</v>
      </c>
      <c r="Y35" s="345">
        <f>'01 - Dados de Entrada'!$C$330*('01 - Dados de Entrada'!$C$332+'01 - Dados de Entrada'!$C$333)</f>
        <v>16</v>
      </c>
      <c r="Z35" s="345">
        <f>'01 - Dados de Entrada'!$C$330*('01 - Dados de Entrada'!$C$332+'01 - Dados de Entrada'!$C$333)</f>
        <v>16</v>
      </c>
      <c r="AA35" s="345">
        <f>'01 - Dados de Entrada'!$C$330*('01 - Dados de Entrada'!$C$332+'01 - Dados de Entrada'!$C$333)</f>
        <v>16</v>
      </c>
      <c r="AB35" s="345">
        <f>'01 - Dados de Entrada'!$C$330*('01 - Dados de Entrada'!$C$332+'01 - Dados de Entrada'!$C$333)</f>
        <v>16</v>
      </c>
      <c r="AC35" s="345">
        <f>'01 - Dados de Entrada'!$C$330*('01 - Dados de Entrada'!$C$332+'01 - Dados de Entrada'!$C$333)</f>
        <v>16</v>
      </c>
      <c r="AD35" s="345">
        <f>'01 - Dados de Entrada'!$C$330*('01 - Dados de Entrada'!$C$332+'01 - Dados de Entrada'!$C$333)</f>
        <v>16</v>
      </c>
      <c r="AE35" s="345">
        <f>'01 - Dados de Entrada'!$C$330*('01 - Dados de Entrada'!$C$332+'01 - Dados de Entrada'!$C$333)</f>
        <v>16</v>
      </c>
      <c r="AF35" s="345">
        <f>'01 - Dados de Entrada'!$C$330*('01 - Dados de Entrada'!$C$332+'01 - Dados de Entrada'!$C$333)</f>
        <v>16</v>
      </c>
      <c r="AG35" s="345">
        <f>'01 - Dados de Entrada'!$C$330*('01 - Dados de Entrada'!$C$332+'01 - Dados de Entrada'!$C$333)</f>
        <v>16</v>
      </c>
      <c r="AH35" s="345">
        <f>'01 - Dados de Entrada'!$C$330*('01 - Dados de Entrada'!$C$332+'01 - Dados de Entrada'!$C$333)</f>
        <v>16</v>
      </c>
      <c r="AI35" s="345">
        <f>'01 - Dados de Entrada'!$C$330*('01 - Dados de Entrada'!$C$332+'01 - Dados de Entrada'!$C$333)</f>
        <v>16</v>
      </c>
      <c r="AJ35" s="345">
        <f>'01 - Dados de Entrada'!$C$330*('01 - Dados de Entrada'!$C$332+'01 - Dados de Entrada'!$C$333)</f>
        <v>16</v>
      </c>
    </row>
    <row r="36" spans="1:36" s="152" customFormat="1" ht="13.15" customHeight="1" x14ac:dyDescent="0.2">
      <c r="A36" s="36" t="s">
        <v>809</v>
      </c>
      <c r="B36" s="345">
        <f>'01 - Dados de Entrada'!$C$331*('01 - Dados de Entrada'!$C$332+'01 - Dados de Entrada'!$C$333)</f>
        <v>16</v>
      </c>
      <c r="C36" s="345">
        <f>'01 - Dados de Entrada'!$C$331*('01 - Dados de Entrada'!$C$332+'01 - Dados de Entrada'!$C$333)</f>
        <v>16</v>
      </c>
      <c r="D36" s="345">
        <f>'01 - Dados de Entrada'!$C$331*('01 - Dados de Entrada'!$C$332+'01 - Dados de Entrada'!$C$333)</f>
        <v>16</v>
      </c>
      <c r="E36" s="345">
        <f>'01 - Dados de Entrada'!$C$331*('01 - Dados de Entrada'!$C$332+'01 - Dados de Entrada'!$C$333)</f>
        <v>16</v>
      </c>
      <c r="F36" s="345">
        <f>'01 - Dados de Entrada'!$C$331*('01 - Dados de Entrada'!$C$332+'01 - Dados de Entrada'!$C$333)</f>
        <v>16</v>
      </c>
      <c r="G36" s="345">
        <f>'01 - Dados de Entrada'!$C$331*('01 - Dados de Entrada'!$C$332+'01 - Dados de Entrada'!$C$333)</f>
        <v>16</v>
      </c>
      <c r="H36" s="345">
        <f>'01 - Dados de Entrada'!$C$331*('01 - Dados de Entrada'!$C$332+'01 - Dados de Entrada'!$C$333)</f>
        <v>16</v>
      </c>
      <c r="I36" s="345">
        <f>'01 - Dados de Entrada'!$C$331*('01 - Dados de Entrada'!$C$332+'01 - Dados de Entrada'!$C$333)</f>
        <v>16</v>
      </c>
      <c r="J36" s="345">
        <f>'01 - Dados de Entrada'!$C$331*('01 - Dados de Entrada'!$C$332+'01 - Dados de Entrada'!$C$333)</f>
        <v>16</v>
      </c>
      <c r="K36" s="345">
        <f>'01 - Dados de Entrada'!$C$331*('01 - Dados de Entrada'!$C$332+'01 - Dados de Entrada'!$C$333)</f>
        <v>16</v>
      </c>
      <c r="L36" s="345">
        <f>'01 - Dados de Entrada'!$C$331*('01 - Dados de Entrada'!$C$332+'01 - Dados de Entrada'!$C$333)</f>
        <v>16</v>
      </c>
      <c r="M36" s="345">
        <f>'01 - Dados de Entrada'!$C$331*('01 - Dados de Entrada'!$C$332+'01 - Dados de Entrada'!$C$333)</f>
        <v>16</v>
      </c>
      <c r="N36" s="345">
        <f>'01 - Dados de Entrada'!$C$331*('01 - Dados de Entrada'!$C$332+'01 - Dados de Entrada'!$C$333)</f>
        <v>16</v>
      </c>
      <c r="O36" s="345">
        <f>'01 - Dados de Entrada'!$C$331*('01 - Dados de Entrada'!$C$332+'01 - Dados de Entrada'!$C$333)</f>
        <v>16</v>
      </c>
      <c r="P36" s="345">
        <f>'01 - Dados de Entrada'!$C$331*('01 - Dados de Entrada'!$C$332+'01 - Dados de Entrada'!$C$333)</f>
        <v>16</v>
      </c>
      <c r="Q36" s="345">
        <f>'01 - Dados de Entrada'!$C$331*('01 - Dados de Entrada'!$C$332+'01 - Dados de Entrada'!$C$333)</f>
        <v>16</v>
      </c>
      <c r="R36" s="345">
        <f>'01 - Dados de Entrada'!$C$331*('01 - Dados de Entrada'!$C$332+'01 - Dados de Entrada'!$C$333)</f>
        <v>16</v>
      </c>
      <c r="S36" s="345">
        <f>'01 - Dados de Entrada'!$C$331*('01 - Dados de Entrada'!$C$332+'01 - Dados de Entrada'!$C$333)</f>
        <v>16</v>
      </c>
      <c r="T36" s="345">
        <f>'01 - Dados de Entrada'!$C$331*('01 - Dados de Entrada'!$C$332+'01 - Dados de Entrada'!$C$333)</f>
        <v>16</v>
      </c>
      <c r="U36" s="345">
        <f>'01 - Dados de Entrada'!$C$331*('01 - Dados de Entrada'!$C$332+'01 - Dados de Entrada'!$C$333)</f>
        <v>16</v>
      </c>
      <c r="V36" s="345">
        <f>'01 - Dados de Entrada'!$C$331*('01 - Dados de Entrada'!$C$332+'01 - Dados de Entrada'!$C$333)</f>
        <v>16</v>
      </c>
      <c r="W36" s="345">
        <f>'01 - Dados de Entrada'!$C$331*('01 - Dados de Entrada'!$C$332+'01 - Dados de Entrada'!$C$333)</f>
        <v>16</v>
      </c>
      <c r="X36" s="345">
        <f>'01 - Dados de Entrada'!$C$331*('01 - Dados de Entrada'!$C$332+'01 - Dados de Entrada'!$C$333)</f>
        <v>16</v>
      </c>
      <c r="Y36" s="345">
        <f>'01 - Dados de Entrada'!$C$331*('01 - Dados de Entrada'!$C$332+'01 - Dados de Entrada'!$C$333)</f>
        <v>16</v>
      </c>
      <c r="Z36" s="345">
        <f>'01 - Dados de Entrada'!$C$331*('01 - Dados de Entrada'!$C$332+'01 - Dados de Entrada'!$C$333)</f>
        <v>16</v>
      </c>
      <c r="AA36" s="345">
        <f>'01 - Dados de Entrada'!$C$331*('01 - Dados de Entrada'!$C$332+'01 - Dados de Entrada'!$C$333)</f>
        <v>16</v>
      </c>
      <c r="AB36" s="345">
        <f>'01 - Dados de Entrada'!$C$331*('01 - Dados de Entrada'!$C$332+'01 - Dados de Entrada'!$C$333)</f>
        <v>16</v>
      </c>
      <c r="AC36" s="345">
        <f>'01 - Dados de Entrada'!$C$331*('01 - Dados de Entrada'!$C$332+'01 - Dados de Entrada'!$C$333)</f>
        <v>16</v>
      </c>
      <c r="AD36" s="345">
        <f>'01 - Dados de Entrada'!$C$331*('01 - Dados de Entrada'!$C$332+'01 - Dados de Entrada'!$C$333)</f>
        <v>16</v>
      </c>
      <c r="AE36" s="345">
        <f>'01 - Dados de Entrada'!$C$331*('01 - Dados de Entrada'!$C$332+'01 - Dados de Entrada'!$C$333)</f>
        <v>16</v>
      </c>
      <c r="AF36" s="345">
        <f>'01 - Dados de Entrada'!$C$331*('01 - Dados de Entrada'!$C$332+'01 - Dados de Entrada'!$C$333)</f>
        <v>16</v>
      </c>
      <c r="AG36" s="345">
        <f>'01 - Dados de Entrada'!$C$331*('01 - Dados de Entrada'!$C$332+'01 - Dados de Entrada'!$C$333)</f>
        <v>16</v>
      </c>
      <c r="AH36" s="345">
        <f>'01 - Dados de Entrada'!$C$331*('01 - Dados de Entrada'!$C$332+'01 - Dados de Entrada'!$C$333)</f>
        <v>16</v>
      </c>
      <c r="AI36" s="345">
        <f>'01 - Dados de Entrada'!$C$331*('01 - Dados de Entrada'!$C$332+'01 - Dados de Entrada'!$C$333)</f>
        <v>16</v>
      </c>
      <c r="AJ36" s="345">
        <f>'01 - Dados de Entrada'!$C$331*('01 - Dados de Entrada'!$C$332+'01 - Dados de Entrada'!$C$333)</f>
        <v>16</v>
      </c>
    </row>
    <row r="37" spans="1:36" s="152" customFormat="1" ht="13.15" customHeight="1" x14ac:dyDescent="0.2">
      <c r="A37" s="36" t="s">
        <v>810</v>
      </c>
      <c r="B37" s="345">
        <f>'01 - Dados de Entrada'!$C$334</f>
        <v>800</v>
      </c>
      <c r="C37" s="345">
        <f>'01 - Dados de Entrada'!$C$334+'01 - Dados de Entrada'!$C$335</f>
        <v>1300</v>
      </c>
      <c r="D37" s="345">
        <f>'01 - Dados de Entrada'!$C$334+'01 - Dados de Entrada'!$C$335+'01 - Dados de Entrada'!$C$336</f>
        <v>1800</v>
      </c>
      <c r="E37" s="345">
        <f>'01 - Dados de Entrada'!$C$334+'01 - Dados de Entrada'!$C$335+'01 - Dados de Entrada'!$C$336</f>
        <v>1800</v>
      </c>
      <c r="F37" s="345">
        <f>'01 - Dados de Entrada'!$C$334+'01 - Dados de Entrada'!$C$335+'01 - Dados de Entrada'!$C$336</f>
        <v>1800</v>
      </c>
      <c r="G37" s="345">
        <f>'01 - Dados de Entrada'!$C$334+'01 - Dados de Entrada'!$C$335+'01 - Dados de Entrada'!$C$336</f>
        <v>1800</v>
      </c>
      <c r="H37" s="345">
        <f>'01 - Dados de Entrada'!$C$334+'01 - Dados de Entrada'!$C$335+'01 - Dados de Entrada'!$C$336</f>
        <v>1800</v>
      </c>
      <c r="I37" s="345">
        <f>'01 - Dados de Entrada'!$C$334+'01 - Dados de Entrada'!$C$335+'01 - Dados de Entrada'!$C$336</f>
        <v>1800</v>
      </c>
      <c r="J37" s="345">
        <f>'01 - Dados de Entrada'!$C$334+'01 - Dados de Entrada'!$C$335+'01 - Dados de Entrada'!$C$336</f>
        <v>1800</v>
      </c>
      <c r="K37" s="345">
        <f>'01 - Dados de Entrada'!$C$334+'01 - Dados de Entrada'!$C$335+'01 - Dados de Entrada'!$C$336</f>
        <v>1800</v>
      </c>
      <c r="L37" s="345">
        <f>'01 - Dados de Entrada'!$C$334+'01 - Dados de Entrada'!$C$335+'01 - Dados de Entrada'!$C$336</f>
        <v>1800</v>
      </c>
      <c r="M37" s="345">
        <f>'01 - Dados de Entrada'!$C$334+'01 - Dados de Entrada'!$C$335+'01 - Dados de Entrada'!$C$336</f>
        <v>1800</v>
      </c>
      <c r="N37" s="345">
        <f>'01 - Dados de Entrada'!$C$334+'01 - Dados de Entrada'!$C$335+'01 - Dados de Entrada'!$C$336</f>
        <v>1800</v>
      </c>
      <c r="O37" s="345">
        <f>'01 - Dados de Entrada'!$C$334+'01 - Dados de Entrada'!$C$335+'01 - Dados de Entrada'!$C$336</f>
        <v>1800</v>
      </c>
      <c r="P37" s="345">
        <f>'01 - Dados de Entrada'!$C$334+'01 - Dados de Entrada'!$C$335+'01 - Dados de Entrada'!$C$336</f>
        <v>1800</v>
      </c>
      <c r="Q37" s="345">
        <f>'01 - Dados de Entrada'!$C$334+'01 - Dados de Entrada'!$C$335+'01 - Dados de Entrada'!$C$336</f>
        <v>1800</v>
      </c>
      <c r="R37" s="345">
        <f>'01 - Dados de Entrada'!$C$334+'01 - Dados de Entrada'!$C$335+'01 - Dados de Entrada'!$C$336</f>
        <v>1800</v>
      </c>
      <c r="S37" s="345">
        <f>'01 - Dados de Entrada'!$C$334+'01 - Dados de Entrada'!$C$335+'01 - Dados de Entrada'!$C$336</f>
        <v>1800</v>
      </c>
      <c r="T37" s="345">
        <f>'01 - Dados de Entrada'!$C$334+'01 - Dados de Entrada'!$C$335+'01 - Dados de Entrada'!$C$336</f>
        <v>1800</v>
      </c>
      <c r="U37" s="345">
        <f>'01 - Dados de Entrada'!$C$334+'01 - Dados de Entrada'!$C$335+'01 - Dados de Entrada'!$C$336</f>
        <v>1800</v>
      </c>
      <c r="V37" s="345">
        <f>'01 - Dados de Entrada'!$C$334+'01 - Dados de Entrada'!$C$335+'01 - Dados de Entrada'!$C$336</f>
        <v>1800</v>
      </c>
      <c r="W37" s="345">
        <f>'01 - Dados de Entrada'!$C$334+'01 - Dados de Entrada'!$C$335+'01 - Dados de Entrada'!$C$336</f>
        <v>1800</v>
      </c>
      <c r="X37" s="345">
        <f>'01 - Dados de Entrada'!$C$334+'01 - Dados de Entrada'!$C$335+'01 - Dados de Entrada'!$C$336</f>
        <v>1800</v>
      </c>
      <c r="Y37" s="345">
        <f>'01 - Dados de Entrada'!$C$334+'01 - Dados de Entrada'!$C$335+'01 - Dados de Entrada'!$C$336</f>
        <v>1800</v>
      </c>
      <c r="Z37" s="345">
        <f>'01 - Dados de Entrada'!$C$334+'01 - Dados de Entrada'!$C$335+'01 - Dados de Entrada'!$C$336</f>
        <v>1800</v>
      </c>
      <c r="AA37" s="345">
        <f>'01 - Dados de Entrada'!$C$334+'01 - Dados de Entrada'!$C$335+'01 - Dados de Entrada'!$C$336</f>
        <v>1800</v>
      </c>
      <c r="AB37" s="345">
        <f>'01 - Dados de Entrada'!$C$334+'01 - Dados de Entrada'!$C$335+'01 - Dados de Entrada'!$C$336</f>
        <v>1800</v>
      </c>
      <c r="AC37" s="345">
        <f>'01 - Dados de Entrada'!$C$334+'01 - Dados de Entrada'!$C$335+'01 - Dados de Entrada'!$C$336</f>
        <v>1800</v>
      </c>
      <c r="AD37" s="345">
        <f>'01 - Dados de Entrada'!$C$334+'01 - Dados de Entrada'!$C$335+'01 - Dados de Entrada'!$C$336</f>
        <v>1800</v>
      </c>
      <c r="AE37" s="345">
        <f>'01 - Dados de Entrada'!$C$334+'01 - Dados de Entrada'!$C$335+'01 - Dados de Entrada'!$C$336</f>
        <v>1800</v>
      </c>
      <c r="AF37" s="345">
        <f>'01 - Dados de Entrada'!$C$334+'01 - Dados de Entrada'!$C$335+'01 - Dados de Entrada'!$C$336</f>
        <v>1800</v>
      </c>
      <c r="AG37" s="345">
        <f>'01 - Dados de Entrada'!$C$334+'01 - Dados de Entrada'!$C$335+'01 - Dados de Entrada'!$C$336</f>
        <v>1800</v>
      </c>
      <c r="AH37" s="345">
        <f>'01 - Dados de Entrada'!$C$334+'01 - Dados de Entrada'!$C$335+'01 - Dados de Entrada'!$C$336</f>
        <v>1800</v>
      </c>
      <c r="AI37" s="345">
        <f>'01 - Dados de Entrada'!$C$334+'01 - Dados de Entrada'!$C$335+'01 - Dados de Entrada'!$C$336</f>
        <v>1800</v>
      </c>
      <c r="AJ37" s="345">
        <f>'01 - Dados de Entrada'!$C$334+'01 - Dados de Entrada'!$C$335+'01 - Dados de Entrada'!$C$336</f>
        <v>1800</v>
      </c>
    </row>
    <row r="38" spans="1:36" s="152" customFormat="1" ht="13.15" customHeight="1" x14ac:dyDescent="0.2">
      <c r="A38" s="36" t="s">
        <v>127</v>
      </c>
      <c r="B38" s="344">
        <v>0</v>
      </c>
      <c r="C38" s="345">
        <f>'01 - Dados de Entrada'!$C$338</f>
        <v>1</v>
      </c>
      <c r="D38" s="345">
        <f>'01 - Dados de Entrada'!$C$338+'01 - Dados de Entrada'!$C$339</f>
        <v>2</v>
      </c>
      <c r="E38" s="345">
        <f>'01 - Dados de Entrada'!$C$338+'01 - Dados de Entrada'!$C$339</f>
        <v>2</v>
      </c>
      <c r="F38" s="345">
        <f>'01 - Dados de Entrada'!$C$338+'01 - Dados de Entrada'!$C$339+'01 - Dados de Entrada'!$C$340</f>
        <v>3</v>
      </c>
      <c r="G38" s="345">
        <f>'01 - Dados de Entrada'!$C$338+'01 - Dados de Entrada'!$C$339+'01 - Dados de Entrada'!$C$340</f>
        <v>3</v>
      </c>
      <c r="H38" s="345">
        <f>'01 - Dados de Entrada'!$C$338+'01 - Dados de Entrada'!$C$339+'01 - Dados de Entrada'!$C$340</f>
        <v>3</v>
      </c>
      <c r="I38" s="345">
        <f>'01 - Dados de Entrada'!$C$338+'01 - Dados de Entrada'!$C$339+'01 - Dados de Entrada'!$C$340</f>
        <v>3</v>
      </c>
      <c r="J38" s="345">
        <f>'01 - Dados de Entrada'!$C$338+'01 - Dados de Entrada'!$C$339+'01 - Dados de Entrada'!$C$340</f>
        <v>3</v>
      </c>
      <c r="K38" s="345">
        <f>'01 - Dados de Entrada'!$C$338+'01 - Dados de Entrada'!$C$339+'01 - Dados de Entrada'!$C$340</f>
        <v>3</v>
      </c>
      <c r="L38" s="345">
        <f>'01 - Dados de Entrada'!$C$338+'01 - Dados de Entrada'!$C$339+'01 - Dados de Entrada'!$C$340</f>
        <v>3</v>
      </c>
      <c r="M38" s="345">
        <f>'01 - Dados de Entrada'!$C$338+'01 - Dados de Entrada'!$C$339+'01 - Dados de Entrada'!$C$340</f>
        <v>3</v>
      </c>
      <c r="N38" s="345">
        <f>'01 - Dados de Entrada'!$C$338+'01 - Dados de Entrada'!$C$339+'01 - Dados de Entrada'!$C$340</f>
        <v>3</v>
      </c>
      <c r="O38" s="345">
        <f>'01 - Dados de Entrada'!$C$338+'01 - Dados de Entrada'!$C$339+'01 - Dados de Entrada'!$C$340</f>
        <v>3</v>
      </c>
      <c r="P38" s="345">
        <f>'01 - Dados de Entrada'!$C$338+'01 - Dados de Entrada'!$C$339+'01 - Dados de Entrada'!$C$340</f>
        <v>3</v>
      </c>
      <c r="Q38" s="345">
        <f>'01 - Dados de Entrada'!$C$338+'01 - Dados de Entrada'!$C$339+'01 - Dados de Entrada'!$C$340</f>
        <v>3</v>
      </c>
      <c r="R38" s="345">
        <f>'01 - Dados de Entrada'!$C$338+'01 - Dados de Entrada'!$C$339+'01 - Dados de Entrada'!$C$340</f>
        <v>3</v>
      </c>
      <c r="S38" s="345">
        <f>'01 - Dados de Entrada'!$C$338+'01 - Dados de Entrada'!$C$339+'01 - Dados de Entrada'!$C$340</f>
        <v>3</v>
      </c>
      <c r="T38" s="345">
        <f>'01 - Dados de Entrada'!$C$338+'01 - Dados de Entrada'!$C$339+'01 - Dados de Entrada'!$C$340</f>
        <v>3</v>
      </c>
      <c r="U38" s="345">
        <f>'01 - Dados de Entrada'!$C$338+'01 - Dados de Entrada'!$C$339+'01 - Dados de Entrada'!$C$340</f>
        <v>3</v>
      </c>
      <c r="V38" s="345">
        <f>'01 - Dados de Entrada'!$C$338+'01 - Dados de Entrada'!$C$339+'01 - Dados de Entrada'!$C$340</f>
        <v>3</v>
      </c>
      <c r="W38" s="345">
        <f>'01 - Dados de Entrada'!$C$338+'01 - Dados de Entrada'!$C$339+'01 - Dados de Entrada'!$C$340</f>
        <v>3</v>
      </c>
      <c r="X38" s="345">
        <f>'01 - Dados de Entrada'!$C$338+'01 - Dados de Entrada'!$C$339+'01 - Dados de Entrada'!$C$340</f>
        <v>3</v>
      </c>
      <c r="Y38" s="345">
        <f>'01 - Dados de Entrada'!$C$338+'01 - Dados de Entrada'!$C$339+'01 - Dados de Entrada'!$C$340</f>
        <v>3</v>
      </c>
      <c r="Z38" s="345">
        <f>'01 - Dados de Entrada'!$C$338+'01 - Dados de Entrada'!$C$339+'01 - Dados de Entrada'!$C$340</f>
        <v>3</v>
      </c>
      <c r="AA38" s="345">
        <f>'01 - Dados de Entrada'!$C$338+'01 - Dados de Entrada'!$C$339+'01 - Dados de Entrada'!$C$340</f>
        <v>3</v>
      </c>
      <c r="AB38" s="345">
        <f>'01 - Dados de Entrada'!$C$338+'01 - Dados de Entrada'!$C$339+'01 - Dados de Entrada'!$C$340</f>
        <v>3</v>
      </c>
      <c r="AC38" s="345">
        <f>'01 - Dados de Entrada'!$C$338+'01 - Dados de Entrada'!$C$339+'01 - Dados de Entrada'!$C$340</f>
        <v>3</v>
      </c>
      <c r="AD38" s="345">
        <f>'01 - Dados de Entrada'!$C$338+'01 - Dados de Entrada'!$C$339+'01 - Dados de Entrada'!$C$340</f>
        <v>3</v>
      </c>
      <c r="AE38" s="345">
        <f>'01 - Dados de Entrada'!$C$338+'01 - Dados de Entrada'!$C$339+'01 - Dados de Entrada'!$C$340</f>
        <v>3</v>
      </c>
      <c r="AF38" s="345">
        <f>'01 - Dados de Entrada'!$C$338+'01 - Dados de Entrada'!$C$339+'01 - Dados de Entrada'!$C$340</f>
        <v>3</v>
      </c>
      <c r="AG38" s="345">
        <f>'01 - Dados de Entrada'!$C$338+'01 - Dados de Entrada'!$C$339+'01 - Dados de Entrada'!$C$340</f>
        <v>3</v>
      </c>
      <c r="AH38" s="345">
        <f>'01 - Dados de Entrada'!$C$338+'01 - Dados de Entrada'!$C$339+'01 - Dados de Entrada'!$C$340</f>
        <v>3</v>
      </c>
      <c r="AI38" s="345">
        <f>'01 - Dados de Entrada'!$C$338+'01 - Dados de Entrada'!$C$339+'01 - Dados de Entrada'!$C$340</f>
        <v>3</v>
      </c>
      <c r="AJ38" s="345">
        <f>'01 - Dados de Entrada'!$C$338+'01 - Dados de Entrada'!$C$339+'01 - Dados de Entrada'!$C$340</f>
        <v>3</v>
      </c>
    </row>
    <row r="39" spans="1:36" s="152" customFormat="1" ht="13.15" customHeight="1" x14ac:dyDescent="0.2">
      <c r="A39" s="36" t="s">
        <v>811</v>
      </c>
      <c r="B39" s="344">
        <f>'01 - Dados de Entrada'!$C$341*'04 - Veículos e Equipamentos'!B38</f>
        <v>0</v>
      </c>
      <c r="C39" s="344">
        <f>'01 - Dados de Entrada'!$C$341*'04 - Veículos e Equipamentos'!C38</f>
        <v>5</v>
      </c>
      <c r="D39" s="344">
        <f>'01 - Dados de Entrada'!$C$341*'04 - Veículos e Equipamentos'!D38</f>
        <v>10</v>
      </c>
      <c r="E39" s="344">
        <f>'01 - Dados de Entrada'!$C$341*'04 - Veículos e Equipamentos'!E38</f>
        <v>10</v>
      </c>
      <c r="F39" s="344">
        <f>'01 - Dados de Entrada'!$C$341*'04 - Veículos e Equipamentos'!F38</f>
        <v>15</v>
      </c>
      <c r="G39" s="344">
        <f>'01 - Dados de Entrada'!$C$341*'04 - Veículos e Equipamentos'!G38</f>
        <v>15</v>
      </c>
      <c r="H39" s="344">
        <f>'01 - Dados de Entrada'!$C$341*'04 - Veículos e Equipamentos'!H38</f>
        <v>15</v>
      </c>
      <c r="I39" s="344">
        <f>'01 - Dados de Entrada'!$C$341*'04 - Veículos e Equipamentos'!I38</f>
        <v>15</v>
      </c>
      <c r="J39" s="344">
        <f>'01 - Dados de Entrada'!$C$341*'04 - Veículos e Equipamentos'!J38</f>
        <v>15</v>
      </c>
      <c r="K39" s="344">
        <f>'01 - Dados de Entrada'!$C$341*'04 - Veículos e Equipamentos'!K38</f>
        <v>15</v>
      </c>
      <c r="L39" s="344">
        <f>'01 - Dados de Entrada'!$C$341*'04 - Veículos e Equipamentos'!L38</f>
        <v>15</v>
      </c>
      <c r="M39" s="344">
        <f>'01 - Dados de Entrada'!$C$341*'04 - Veículos e Equipamentos'!M38</f>
        <v>15</v>
      </c>
      <c r="N39" s="344">
        <f>'01 - Dados de Entrada'!$C$341*'04 - Veículos e Equipamentos'!N38</f>
        <v>15</v>
      </c>
      <c r="O39" s="344">
        <f>'01 - Dados de Entrada'!$C$341*'04 - Veículos e Equipamentos'!O38</f>
        <v>15</v>
      </c>
      <c r="P39" s="344">
        <f>'01 - Dados de Entrada'!$C$341*'04 - Veículos e Equipamentos'!P38</f>
        <v>15</v>
      </c>
      <c r="Q39" s="344">
        <f>'01 - Dados de Entrada'!$C$341*'04 - Veículos e Equipamentos'!Q38</f>
        <v>15</v>
      </c>
      <c r="R39" s="344">
        <f>'01 - Dados de Entrada'!$C$341*'04 - Veículos e Equipamentos'!R38</f>
        <v>15</v>
      </c>
      <c r="S39" s="344">
        <f>'01 - Dados de Entrada'!$C$341*'04 - Veículos e Equipamentos'!S38</f>
        <v>15</v>
      </c>
      <c r="T39" s="344">
        <f>'01 - Dados de Entrada'!$C$341*'04 - Veículos e Equipamentos'!T38</f>
        <v>15</v>
      </c>
      <c r="U39" s="344">
        <f>'01 - Dados de Entrada'!$C$341*'04 - Veículos e Equipamentos'!U38</f>
        <v>15</v>
      </c>
      <c r="V39" s="344">
        <f>'01 - Dados de Entrada'!$C$341*'04 - Veículos e Equipamentos'!V38</f>
        <v>15</v>
      </c>
      <c r="W39" s="344">
        <f>'01 - Dados de Entrada'!$C$341*'04 - Veículos e Equipamentos'!W38</f>
        <v>15</v>
      </c>
      <c r="X39" s="344">
        <f>'01 - Dados de Entrada'!$C$341*'04 - Veículos e Equipamentos'!X38</f>
        <v>15</v>
      </c>
      <c r="Y39" s="344">
        <f>'01 - Dados de Entrada'!$C$341*'04 - Veículos e Equipamentos'!Y38</f>
        <v>15</v>
      </c>
      <c r="Z39" s="344">
        <f>'01 - Dados de Entrada'!$C$341*'04 - Veículos e Equipamentos'!Z38</f>
        <v>15</v>
      </c>
      <c r="AA39" s="344">
        <f>'01 - Dados de Entrada'!$C$341*'04 - Veículos e Equipamentos'!AA38</f>
        <v>15</v>
      </c>
      <c r="AB39" s="344">
        <f>'01 - Dados de Entrada'!$C$341*'04 - Veículos e Equipamentos'!AB38</f>
        <v>15</v>
      </c>
      <c r="AC39" s="344">
        <f>'01 - Dados de Entrada'!$C$341*'04 - Veículos e Equipamentos'!AC38</f>
        <v>15</v>
      </c>
      <c r="AD39" s="344">
        <f>'01 - Dados de Entrada'!$C$341*'04 - Veículos e Equipamentos'!AD38</f>
        <v>15</v>
      </c>
      <c r="AE39" s="344">
        <f>'01 - Dados de Entrada'!$C$341*'04 - Veículos e Equipamentos'!AE38</f>
        <v>15</v>
      </c>
      <c r="AF39" s="344">
        <f>'01 - Dados de Entrada'!$C$341*'04 - Veículos e Equipamentos'!AF38</f>
        <v>15</v>
      </c>
      <c r="AG39" s="344">
        <f>'01 - Dados de Entrada'!$C$341*'04 - Veículos e Equipamentos'!AG38</f>
        <v>15</v>
      </c>
      <c r="AH39" s="344">
        <f>'01 - Dados de Entrada'!$C$341*'04 - Veículos e Equipamentos'!AH38</f>
        <v>15</v>
      </c>
      <c r="AI39" s="344">
        <f>'01 - Dados de Entrada'!$C$341*'04 - Veículos e Equipamentos'!AI38</f>
        <v>15</v>
      </c>
      <c r="AJ39" s="344">
        <f>'01 - Dados de Entrada'!$C$341*'04 - Veículos e Equipamentos'!AJ38</f>
        <v>15</v>
      </c>
    </row>
    <row r="40" spans="1:36" s="38" customFormat="1" ht="13.15" customHeight="1" x14ac:dyDescent="0.2">
      <c r="A40" s="54" t="s">
        <v>812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</row>
    <row r="41" spans="1:36" s="152" customFormat="1" ht="13.15" customHeight="1" x14ac:dyDescent="0.2">
      <c r="A41" s="36" t="s">
        <v>813</v>
      </c>
      <c r="B41" s="345">
        <f>'01 - Dados de Entrada'!$C$344</f>
        <v>1</v>
      </c>
      <c r="C41" s="345">
        <f>'01 - Dados de Entrada'!$C$344</f>
        <v>1</v>
      </c>
      <c r="D41" s="345">
        <f>'01 - Dados de Entrada'!$C$344</f>
        <v>1</v>
      </c>
      <c r="E41" s="345">
        <f>'01 - Dados de Entrada'!$C$344</f>
        <v>1</v>
      </c>
      <c r="F41" s="345">
        <f>'01 - Dados de Entrada'!$C$344</f>
        <v>1</v>
      </c>
      <c r="G41" s="345">
        <f>'01 - Dados de Entrada'!$C$344</f>
        <v>1</v>
      </c>
      <c r="H41" s="345">
        <f>'01 - Dados de Entrada'!$C$344</f>
        <v>1</v>
      </c>
      <c r="I41" s="345">
        <f>'01 - Dados de Entrada'!$C$344</f>
        <v>1</v>
      </c>
      <c r="J41" s="345">
        <f>'01 - Dados de Entrada'!$C$344</f>
        <v>1</v>
      </c>
      <c r="K41" s="345">
        <f>'01 - Dados de Entrada'!$C$344</f>
        <v>1</v>
      </c>
      <c r="L41" s="345">
        <f>'01 - Dados de Entrada'!$C$344</f>
        <v>1</v>
      </c>
      <c r="M41" s="345">
        <f>'01 - Dados de Entrada'!$C$344</f>
        <v>1</v>
      </c>
      <c r="N41" s="345">
        <f>'01 - Dados de Entrada'!$C$344</f>
        <v>1</v>
      </c>
      <c r="O41" s="345">
        <f>'01 - Dados de Entrada'!$C$344</f>
        <v>1</v>
      </c>
      <c r="P41" s="345">
        <f>'01 - Dados de Entrada'!$C$344</f>
        <v>1</v>
      </c>
      <c r="Q41" s="345">
        <f>'01 - Dados de Entrada'!$C$344</f>
        <v>1</v>
      </c>
      <c r="R41" s="345">
        <f>'01 - Dados de Entrada'!$C$344</f>
        <v>1</v>
      </c>
      <c r="S41" s="345">
        <f>'01 - Dados de Entrada'!$C$344</f>
        <v>1</v>
      </c>
      <c r="T41" s="345">
        <f>'01 - Dados de Entrada'!$C$344</f>
        <v>1</v>
      </c>
      <c r="U41" s="345">
        <f>'01 - Dados de Entrada'!$C$344</f>
        <v>1</v>
      </c>
      <c r="V41" s="345">
        <f>'01 - Dados de Entrada'!$C$344</f>
        <v>1</v>
      </c>
      <c r="W41" s="345">
        <f>'01 - Dados de Entrada'!$C$344</f>
        <v>1</v>
      </c>
      <c r="X41" s="345">
        <f>'01 - Dados de Entrada'!$C$344</f>
        <v>1</v>
      </c>
      <c r="Y41" s="345">
        <f>'01 - Dados de Entrada'!$C$344</f>
        <v>1</v>
      </c>
      <c r="Z41" s="345">
        <f>'01 - Dados de Entrada'!$C$344</f>
        <v>1</v>
      </c>
      <c r="AA41" s="345">
        <f>'01 - Dados de Entrada'!$C$344</f>
        <v>1</v>
      </c>
      <c r="AB41" s="345">
        <f>'01 - Dados de Entrada'!$C$344</f>
        <v>1</v>
      </c>
      <c r="AC41" s="345">
        <f>'01 - Dados de Entrada'!$C$344</f>
        <v>1</v>
      </c>
      <c r="AD41" s="345">
        <f>'01 - Dados de Entrada'!$C$344</f>
        <v>1</v>
      </c>
      <c r="AE41" s="345">
        <f>'01 - Dados de Entrada'!$C$344</f>
        <v>1</v>
      </c>
      <c r="AF41" s="345">
        <f>'01 - Dados de Entrada'!$C$344</f>
        <v>1</v>
      </c>
      <c r="AG41" s="345">
        <f>'01 - Dados de Entrada'!$C$344</f>
        <v>1</v>
      </c>
      <c r="AH41" s="345">
        <f>'01 - Dados de Entrada'!$C$344</f>
        <v>1</v>
      </c>
      <c r="AI41" s="345">
        <f>'01 - Dados de Entrada'!$C$344</f>
        <v>1</v>
      </c>
      <c r="AJ41" s="345">
        <f>'01 - Dados de Entrada'!$C$344</f>
        <v>1</v>
      </c>
    </row>
    <row r="42" spans="1:36" s="152" customFormat="1" ht="13.15" customHeight="1" x14ac:dyDescent="0.2">
      <c r="A42" s="36" t="s">
        <v>814</v>
      </c>
      <c r="B42" s="344">
        <f>ROUNDUP(B41*'01 - Dados de Entrada'!$C$181,0)</f>
        <v>1</v>
      </c>
      <c r="C42" s="344">
        <f>ROUNDUP(C41*'01 - Dados de Entrada'!$C$181,0)</f>
        <v>1</v>
      </c>
      <c r="D42" s="344">
        <f>ROUNDUP(D41*'01 - Dados de Entrada'!$C$181,0)</f>
        <v>1</v>
      </c>
      <c r="E42" s="344">
        <f>ROUNDUP(E41*'01 - Dados de Entrada'!$C$181,0)</f>
        <v>1</v>
      </c>
      <c r="F42" s="344">
        <f>ROUNDUP(F41*'01 - Dados de Entrada'!$C$181,0)</f>
        <v>1</v>
      </c>
      <c r="G42" s="344">
        <f>ROUNDUP(G41*'01 - Dados de Entrada'!$C$181,0)</f>
        <v>1</v>
      </c>
      <c r="H42" s="344">
        <f>ROUNDUP(H41*'01 - Dados de Entrada'!$C$181,0)</f>
        <v>1</v>
      </c>
      <c r="I42" s="344">
        <f>ROUNDUP(I41*'01 - Dados de Entrada'!$C$181,0)</f>
        <v>1</v>
      </c>
      <c r="J42" s="344">
        <f>ROUNDUP(J41*'01 - Dados de Entrada'!$C$181,0)</f>
        <v>1</v>
      </c>
      <c r="K42" s="344">
        <f>ROUNDUP(K41*'01 - Dados de Entrada'!$C$181,0)</f>
        <v>1</v>
      </c>
      <c r="L42" s="344">
        <f>ROUNDUP(L41*'01 - Dados de Entrada'!$C$181,0)</f>
        <v>1</v>
      </c>
      <c r="M42" s="344">
        <f>ROUNDUP(M41*'01 - Dados de Entrada'!$C$181,0)</f>
        <v>1</v>
      </c>
      <c r="N42" s="344">
        <f>ROUNDUP(N41*'01 - Dados de Entrada'!$C$181,0)</f>
        <v>1</v>
      </c>
      <c r="O42" s="344">
        <f>ROUNDUP(O41*'01 - Dados de Entrada'!$C$181,0)</f>
        <v>1</v>
      </c>
      <c r="P42" s="344">
        <f>ROUNDUP(P41*'01 - Dados de Entrada'!$C$181,0)</f>
        <v>1</v>
      </c>
      <c r="Q42" s="344">
        <f>ROUNDUP(Q41*'01 - Dados de Entrada'!$C$181,0)</f>
        <v>1</v>
      </c>
      <c r="R42" s="344">
        <f>ROUNDUP(R41*'01 - Dados de Entrada'!$C$181,0)</f>
        <v>1</v>
      </c>
      <c r="S42" s="344">
        <f>ROUNDUP(S41*'01 - Dados de Entrada'!$C$181,0)</f>
        <v>1</v>
      </c>
      <c r="T42" s="344">
        <f>ROUNDUP(T41*'01 - Dados de Entrada'!$C$181,0)</f>
        <v>1</v>
      </c>
      <c r="U42" s="344">
        <f>ROUNDUP(U41*'01 - Dados de Entrada'!$C$181,0)</f>
        <v>1</v>
      </c>
      <c r="V42" s="344">
        <f>ROUNDUP(V41*'01 - Dados de Entrada'!$C$181,0)</f>
        <v>1</v>
      </c>
      <c r="W42" s="344">
        <f>ROUNDUP(W41*'01 - Dados de Entrada'!$C$181,0)</f>
        <v>1</v>
      </c>
      <c r="X42" s="344">
        <f>ROUNDUP(X41*'01 - Dados de Entrada'!$C$181,0)</f>
        <v>1</v>
      </c>
      <c r="Y42" s="344">
        <f>ROUNDUP(Y41*'01 - Dados de Entrada'!$C$181,0)</f>
        <v>1</v>
      </c>
      <c r="Z42" s="344">
        <f>ROUNDUP(Z41*'01 - Dados de Entrada'!$C$181,0)</f>
        <v>1</v>
      </c>
      <c r="AA42" s="344">
        <f>ROUNDUP(AA41*'01 - Dados de Entrada'!$C$181,0)</f>
        <v>1</v>
      </c>
      <c r="AB42" s="344">
        <f>ROUNDUP(AB41*'01 - Dados de Entrada'!$C$181,0)</f>
        <v>1</v>
      </c>
      <c r="AC42" s="344">
        <f>ROUNDUP(AC41*'01 - Dados de Entrada'!$C$181,0)</f>
        <v>1</v>
      </c>
      <c r="AD42" s="344">
        <f>ROUNDUP(AD41*'01 - Dados de Entrada'!$C$181,0)</f>
        <v>1</v>
      </c>
      <c r="AE42" s="344">
        <f>ROUNDUP(AE41*'01 - Dados de Entrada'!$C$181,0)</f>
        <v>1</v>
      </c>
      <c r="AF42" s="344">
        <f>ROUNDUP(AF41*'01 - Dados de Entrada'!$C$181,0)</f>
        <v>1</v>
      </c>
      <c r="AG42" s="344">
        <f>ROUNDUP(AG41*'01 - Dados de Entrada'!$C$181,0)</f>
        <v>1</v>
      </c>
      <c r="AH42" s="344">
        <f>ROUNDUP(AH41*'01 - Dados de Entrada'!$C$181,0)</f>
        <v>1</v>
      </c>
      <c r="AI42" s="344">
        <f>ROUNDUP(AI41*'01 - Dados de Entrada'!$C$181,0)</f>
        <v>1</v>
      </c>
      <c r="AJ42" s="344">
        <f>ROUNDUP(AJ41*'01 - Dados de Entrada'!$C$181,0)</f>
        <v>1</v>
      </c>
    </row>
    <row r="43" spans="1:36" s="38" customFormat="1" ht="13.15" customHeight="1" x14ac:dyDescent="0.2">
      <c r="A43" s="54" t="s">
        <v>815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</row>
    <row r="44" spans="1:36" s="35" customFormat="1" ht="13.15" customHeight="1" x14ac:dyDescent="0.2">
      <c r="A44" s="34" t="s">
        <v>816</v>
      </c>
      <c r="B44" s="254">
        <f>'01 - Dados de Entrada'!$C$298</f>
        <v>1</v>
      </c>
      <c r="C44" s="254">
        <f>'01 - Dados de Entrada'!$C$298</f>
        <v>1</v>
      </c>
      <c r="D44" s="254">
        <f>'01 - Dados de Entrada'!$C$298</f>
        <v>1</v>
      </c>
      <c r="E44" s="254">
        <f>'01 - Dados de Entrada'!$C$298</f>
        <v>1</v>
      </c>
      <c r="F44" s="254">
        <f>'01 - Dados de Entrada'!$C$298</f>
        <v>1</v>
      </c>
      <c r="G44" s="254">
        <f>'01 - Dados de Entrada'!$C$298</f>
        <v>1</v>
      </c>
      <c r="H44" s="254">
        <f>'01 - Dados de Entrada'!$C$298</f>
        <v>1</v>
      </c>
      <c r="I44" s="254">
        <f>'01 - Dados de Entrada'!$C$298</f>
        <v>1</v>
      </c>
      <c r="J44" s="254">
        <f>'01 - Dados de Entrada'!$C$298</f>
        <v>1</v>
      </c>
      <c r="K44" s="254">
        <f>'01 - Dados de Entrada'!$C$298</f>
        <v>1</v>
      </c>
      <c r="L44" s="254">
        <f>'01 - Dados de Entrada'!$C$298</f>
        <v>1</v>
      </c>
      <c r="M44" s="254">
        <f>'01 - Dados de Entrada'!$C$298</f>
        <v>1</v>
      </c>
      <c r="N44" s="254">
        <f>'01 - Dados de Entrada'!$C$298</f>
        <v>1</v>
      </c>
      <c r="O44" s="254">
        <f>'01 - Dados de Entrada'!$C$298</f>
        <v>1</v>
      </c>
      <c r="P44" s="254">
        <f>'01 - Dados de Entrada'!$C$298</f>
        <v>1</v>
      </c>
      <c r="Q44" s="254">
        <f>'01 - Dados de Entrada'!$C$298</f>
        <v>1</v>
      </c>
      <c r="R44" s="254">
        <f>'01 - Dados de Entrada'!$C$298</f>
        <v>1</v>
      </c>
      <c r="S44" s="254">
        <f>'01 - Dados de Entrada'!$C$298</f>
        <v>1</v>
      </c>
      <c r="T44" s="254">
        <f>'01 - Dados de Entrada'!$C$298</f>
        <v>1</v>
      </c>
      <c r="U44" s="254">
        <f>'01 - Dados de Entrada'!$C$298</f>
        <v>1</v>
      </c>
      <c r="V44" s="254">
        <f>'01 - Dados de Entrada'!$C$298</f>
        <v>1</v>
      </c>
      <c r="W44" s="254">
        <f>'01 - Dados de Entrada'!$C$298</f>
        <v>1</v>
      </c>
      <c r="X44" s="254">
        <f>'01 - Dados de Entrada'!$C$298</f>
        <v>1</v>
      </c>
      <c r="Y44" s="254">
        <f>'01 - Dados de Entrada'!$C$298</f>
        <v>1</v>
      </c>
      <c r="Z44" s="254">
        <f>'01 - Dados de Entrada'!$C$298</f>
        <v>1</v>
      </c>
      <c r="AA44" s="254">
        <f>'01 - Dados de Entrada'!$C$298</f>
        <v>1</v>
      </c>
      <c r="AB44" s="254">
        <f>'01 - Dados de Entrada'!$C$298</f>
        <v>1</v>
      </c>
      <c r="AC44" s="254">
        <f>'01 - Dados de Entrada'!$C$298</f>
        <v>1</v>
      </c>
      <c r="AD44" s="254">
        <f>'01 - Dados de Entrada'!$C$298</f>
        <v>1</v>
      </c>
      <c r="AE44" s="254">
        <f>'01 - Dados de Entrada'!$C$298</f>
        <v>1</v>
      </c>
      <c r="AF44" s="254">
        <f>'01 - Dados de Entrada'!$C$298</f>
        <v>1</v>
      </c>
      <c r="AG44" s="254">
        <f>'01 - Dados de Entrada'!$C$298</f>
        <v>1</v>
      </c>
      <c r="AH44" s="254">
        <f>'01 - Dados de Entrada'!$C$298</f>
        <v>1</v>
      </c>
      <c r="AI44" s="254">
        <f>'01 - Dados de Entrada'!$C$298</f>
        <v>1</v>
      </c>
      <c r="AJ44" s="254">
        <f>'01 - Dados de Entrada'!$C$298</f>
        <v>1</v>
      </c>
    </row>
    <row r="45" spans="1:36" s="35" customFormat="1" ht="13.15" customHeight="1" x14ac:dyDescent="0.2">
      <c r="A45" s="34" t="s">
        <v>145</v>
      </c>
      <c r="B45" s="254">
        <f>'01 - Dados de Entrada'!$C$299</f>
        <v>1</v>
      </c>
      <c r="C45" s="254">
        <f>'01 - Dados de Entrada'!$C$299</f>
        <v>1</v>
      </c>
      <c r="D45" s="254">
        <f>'01 - Dados de Entrada'!$C$299</f>
        <v>1</v>
      </c>
      <c r="E45" s="254">
        <f>'01 - Dados de Entrada'!$C$299</f>
        <v>1</v>
      </c>
      <c r="F45" s="254">
        <f>'01 - Dados de Entrada'!$C$299</f>
        <v>1</v>
      </c>
      <c r="G45" s="254">
        <f>'01 - Dados de Entrada'!$C$299</f>
        <v>1</v>
      </c>
      <c r="H45" s="254">
        <f>'01 - Dados de Entrada'!$C$299</f>
        <v>1</v>
      </c>
      <c r="I45" s="254">
        <f>'01 - Dados de Entrada'!$C$299</f>
        <v>1</v>
      </c>
      <c r="J45" s="254">
        <f>'01 - Dados de Entrada'!$C$299</f>
        <v>1</v>
      </c>
      <c r="K45" s="254">
        <f>'01 - Dados de Entrada'!$C$299</f>
        <v>1</v>
      </c>
      <c r="L45" s="254">
        <f>'01 - Dados de Entrada'!$C$299</f>
        <v>1</v>
      </c>
      <c r="M45" s="254">
        <f>'01 - Dados de Entrada'!$C$299</f>
        <v>1</v>
      </c>
      <c r="N45" s="254">
        <f>'01 - Dados de Entrada'!$C$299</f>
        <v>1</v>
      </c>
      <c r="O45" s="254">
        <f>'01 - Dados de Entrada'!$C$299</f>
        <v>1</v>
      </c>
      <c r="P45" s="254">
        <f>'01 - Dados de Entrada'!$C$299</f>
        <v>1</v>
      </c>
      <c r="Q45" s="254">
        <f>'01 - Dados de Entrada'!$C$299</f>
        <v>1</v>
      </c>
      <c r="R45" s="254">
        <f>'01 - Dados de Entrada'!$C$299</f>
        <v>1</v>
      </c>
      <c r="S45" s="254">
        <f>'01 - Dados de Entrada'!$C$299</f>
        <v>1</v>
      </c>
      <c r="T45" s="254">
        <f>'01 - Dados de Entrada'!$C$299</f>
        <v>1</v>
      </c>
      <c r="U45" s="254">
        <f>'01 - Dados de Entrada'!$C$299</f>
        <v>1</v>
      </c>
      <c r="V45" s="254">
        <f>'01 - Dados de Entrada'!$C$299</f>
        <v>1</v>
      </c>
      <c r="W45" s="254">
        <f>'01 - Dados de Entrada'!$C$299</f>
        <v>1</v>
      </c>
      <c r="X45" s="254">
        <f>'01 - Dados de Entrada'!$C$299</f>
        <v>1</v>
      </c>
      <c r="Y45" s="254">
        <f>'01 - Dados de Entrada'!$C$299</f>
        <v>1</v>
      </c>
      <c r="Z45" s="254">
        <f>'01 - Dados de Entrada'!$C$299</f>
        <v>1</v>
      </c>
      <c r="AA45" s="254">
        <f>'01 - Dados de Entrada'!$C$299</f>
        <v>1</v>
      </c>
      <c r="AB45" s="254">
        <f>'01 - Dados de Entrada'!$C$299</f>
        <v>1</v>
      </c>
      <c r="AC45" s="254">
        <f>'01 - Dados de Entrada'!$C$299</f>
        <v>1</v>
      </c>
      <c r="AD45" s="254">
        <f>'01 - Dados de Entrada'!$C$299</f>
        <v>1</v>
      </c>
      <c r="AE45" s="254">
        <f>'01 - Dados de Entrada'!$C$299</f>
        <v>1</v>
      </c>
      <c r="AF45" s="254">
        <f>'01 - Dados de Entrada'!$C$299</f>
        <v>1</v>
      </c>
      <c r="AG45" s="254">
        <f>'01 - Dados de Entrada'!$C$299</f>
        <v>1</v>
      </c>
      <c r="AH45" s="254">
        <f>'01 - Dados de Entrada'!$C$299</f>
        <v>1</v>
      </c>
      <c r="AI45" s="254">
        <f>'01 - Dados de Entrada'!$C$299</f>
        <v>1</v>
      </c>
      <c r="AJ45" s="254">
        <f>'01 - Dados de Entrada'!$C$299</f>
        <v>1</v>
      </c>
    </row>
    <row r="46" spans="1:36" s="35" customFormat="1" ht="13.15" customHeight="1" x14ac:dyDescent="0.2">
      <c r="A46" s="34" t="s">
        <v>560</v>
      </c>
      <c r="B46" s="254">
        <f>'01 - Dados de Entrada'!$C$300</f>
        <v>1</v>
      </c>
      <c r="C46" s="254">
        <f>'01 - Dados de Entrada'!$C$300</f>
        <v>1</v>
      </c>
      <c r="D46" s="254">
        <f>'01 - Dados de Entrada'!$C$300</f>
        <v>1</v>
      </c>
      <c r="E46" s="254">
        <f>'01 - Dados de Entrada'!$C$300</f>
        <v>1</v>
      </c>
      <c r="F46" s="254">
        <f>'01 - Dados de Entrada'!$C$300</f>
        <v>1</v>
      </c>
      <c r="G46" s="254">
        <f>'01 - Dados de Entrada'!$C$300</f>
        <v>1</v>
      </c>
      <c r="H46" s="254">
        <f>'01 - Dados de Entrada'!$C$300</f>
        <v>1</v>
      </c>
      <c r="I46" s="254">
        <f>'01 - Dados de Entrada'!$C$300</f>
        <v>1</v>
      </c>
      <c r="J46" s="254">
        <f>'01 - Dados de Entrada'!$C$300</f>
        <v>1</v>
      </c>
      <c r="K46" s="254">
        <f>'01 - Dados de Entrada'!$C$300</f>
        <v>1</v>
      </c>
      <c r="L46" s="254">
        <f>'01 - Dados de Entrada'!$C$300</f>
        <v>1</v>
      </c>
      <c r="M46" s="254">
        <f>'01 - Dados de Entrada'!$C$300</f>
        <v>1</v>
      </c>
      <c r="N46" s="254">
        <f>'01 - Dados de Entrada'!$C$300</f>
        <v>1</v>
      </c>
      <c r="O46" s="254">
        <f>'01 - Dados de Entrada'!$C$300</f>
        <v>1</v>
      </c>
      <c r="P46" s="254">
        <f>'01 - Dados de Entrada'!$C$300</f>
        <v>1</v>
      </c>
      <c r="Q46" s="254">
        <f>'01 - Dados de Entrada'!$C$300</f>
        <v>1</v>
      </c>
      <c r="R46" s="254">
        <f>'01 - Dados de Entrada'!$C$300</f>
        <v>1</v>
      </c>
      <c r="S46" s="254">
        <f>'01 - Dados de Entrada'!$C$300</f>
        <v>1</v>
      </c>
      <c r="T46" s="254">
        <f>'01 - Dados de Entrada'!$C$300</f>
        <v>1</v>
      </c>
      <c r="U46" s="254">
        <f>'01 - Dados de Entrada'!$C$300</f>
        <v>1</v>
      </c>
      <c r="V46" s="254">
        <f>'01 - Dados de Entrada'!$C$300</f>
        <v>1</v>
      </c>
      <c r="W46" s="254">
        <f>'01 - Dados de Entrada'!$C$300</f>
        <v>1</v>
      </c>
      <c r="X46" s="254">
        <f>'01 - Dados de Entrada'!$C$300</f>
        <v>1</v>
      </c>
      <c r="Y46" s="254">
        <f>'01 - Dados de Entrada'!$C$300</f>
        <v>1</v>
      </c>
      <c r="Z46" s="254">
        <f>'01 - Dados de Entrada'!$C$300</f>
        <v>1</v>
      </c>
      <c r="AA46" s="254">
        <f>'01 - Dados de Entrada'!$C$300</f>
        <v>1</v>
      </c>
      <c r="AB46" s="254">
        <f>'01 - Dados de Entrada'!$C$300</f>
        <v>1</v>
      </c>
      <c r="AC46" s="254">
        <f>'01 - Dados de Entrada'!$C$300</f>
        <v>1</v>
      </c>
      <c r="AD46" s="254">
        <f>'01 - Dados de Entrada'!$C$300</f>
        <v>1</v>
      </c>
      <c r="AE46" s="254">
        <f>'01 - Dados de Entrada'!$C$300</f>
        <v>1</v>
      </c>
      <c r="AF46" s="254">
        <f>'01 - Dados de Entrada'!$C$300</f>
        <v>1</v>
      </c>
      <c r="AG46" s="254">
        <f>'01 - Dados de Entrada'!$C$300</f>
        <v>1</v>
      </c>
      <c r="AH46" s="254">
        <f>'01 - Dados de Entrada'!$C$300</f>
        <v>1</v>
      </c>
      <c r="AI46" s="254">
        <f>'01 - Dados de Entrada'!$C$300</f>
        <v>1</v>
      </c>
      <c r="AJ46" s="254">
        <f>'01 - Dados de Entrada'!$C$300</f>
        <v>1</v>
      </c>
    </row>
    <row r="47" spans="1:36" s="35" customFormat="1" ht="13.15" customHeight="1" x14ac:dyDescent="0.2">
      <c r="A47" s="34" t="s">
        <v>149</v>
      </c>
      <c r="B47" s="254">
        <f>'01 - Dados de Entrada'!$C$301</f>
        <v>8</v>
      </c>
      <c r="C47" s="254">
        <f>'01 - Dados de Entrada'!$C$301</f>
        <v>8</v>
      </c>
      <c r="D47" s="254">
        <f>'01 - Dados de Entrada'!$C$301</f>
        <v>8</v>
      </c>
      <c r="E47" s="254">
        <f>'01 - Dados de Entrada'!$C$301</f>
        <v>8</v>
      </c>
      <c r="F47" s="254">
        <f>'01 - Dados de Entrada'!$C$301</f>
        <v>8</v>
      </c>
      <c r="G47" s="254">
        <f>'01 - Dados de Entrada'!$C$301</f>
        <v>8</v>
      </c>
      <c r="H47" s="254">
        <f>'01 - Dados de Entrada'!$C$301</f>
        <v>8</v>
      </c>
      <c r="I47" s="254">
        <f>'01 - Dados de Entrada'!$C$301</f>
        <v>8</v>
      </c>
      <c r="J47" s="254">
        <f>'01 - Dados de Entrada'!$C$301</f>
        <v>8</v>
      </c>
      <c r="K47" s="254">
        <f>'01 - Dados de Entrada'!$C$301</f>
        <v>8</v>
      </c>
      <c r="L47" s="254">
        <f>'01 - Dados de Entrada'!$C$301</f>
        <v>8</v>
      </c>
      <c r="M47" s="254">
        <f>'01 - Dados de Entrada'!$C$301</f>
        <v>8</v>
      </c>
      <c r="N47" s="254">
        <f>'01 - Dados de Entrada'!$C$301</f>
        <v>8</v>
      </c>
      <c r="O47" s="254">
        <f>'01 - Dados de Entrada'!$C$301</f>
        <v>8</v>
      </c>
      <c r="P47" s="254">
        <f>'01 - Dados de Entrada'!$C$301</f>
        <v>8</v>
      </c>
      <c r="Q47" s="254">
        <f>'01 - Dados de Entrada'!$C$301</f>
        <v>8</v>
      </c>
      <c r="R47" s="254">
        <f>'01 - Dados de Entrada'!$C$301</f>
        <v>8</v>
      </c>
      <c r="S47" s="254">
        <f>'01 - Dados de Entrada'!$C$301</f>
        <v>8</v>
      </c>
      <c r="T47" s="254">
        <f>'01 - Dados de Entrada'!$C$301</f>
        <v>8</v>
      </c>
      <c r="U47" s="254">
        <f>'01 - Dados de Entrada'!$C$301</f>
        <v>8</v>
      </c>
      <c r="V47" s="254">
        <f>'01 - Dados de Entrada'!$C$301</f>
        <v>8</v>
      </c>
      <c r="W47" s="254">
        <f>'01 - Dados de Entrada'!$C$301</f>
        <v>8</v>
      </c>
      <c r="X47" s="254">
        <f>'01 - Dados de Entrada'!$C$301</f>
        <v>8</v>
      </c>
      <c r="Y47" s="254">
        <f>'01 - Dados de Entrada'!$C$301</f>
        <v>8</v>
      </c>
      <c r="Z47" s="254">
        <f>'01 - Dados de Entrada'!$C$301</f>
        <v>8</v>
      </c>
      <c r="AA47" s="254">
        <f>'01 - Dados de Entrada'!$C$301</f>
        <v>8</v>
      </c>
      <c r="AB47" s="254">
        <f>'01 - Dados de Entrada'!$C$301</f>
        <v>8</v>
      </c>
      <c r="AC47" s="254">
        <f>'01 - Dados de Entrada'!$C$301</f>
        <v>8</v>
      </c>
      <c r="AD47" s="254">
        <f>'01 - Dados de Entrada'!$C$301</f>
        <v>8</v>
      </c>
      <c r="AE47" s="254">
        <f>'01 - Dados de Entrada'!$C$301</f>
        <v>8</v>
      </c>
      <c r="AF47" s="254">
        <f>'01 - Dados de Entrada'!$C$301</f>
        <v>8</v>
      </c>
      <c r="AG47" s="254">
        <f>'01 - Dados de Entrada'!$C$301</f>
        <v>8</v>
      </c>
      <c r="AH47" s="254">
        <f>'01 - Dados de Entrada'!$C$301</f>
        <v>8</v>
      </c>
      <c r="AI47" s="254">
        <f>'01 - Dados de Entrada'!$C$301</f>
        <v>8</v>
      </c>
      <c r="AJ47" s="254">
        <f>'01 - Dados de Entrada'!$C$301</f>
        <v>8</v>
      </c>
    </row>
    <row r="48" spans="1:36" s="158" customFormat="1" ht="13.15" customHeight="1" x14ac:dyDescent="0.2">
      <c r="A48" s="34" t="s">
        <v>817</v>
      </c>
      <c r="B48" s="434">
        <f>ROUNDUP(B47*'01 - Dados de Entrada'!$C$181,0)</f>
        <v>2</v>
      </c>
      <c r="C48" s="434">
        <f>ROUNDUP(C47*'01 - Dados de Entrada'!$C$181,0)</f>
        <v>2</v>
      </c>
      <c r="D48" s="434">
        <f>ROUNDUP(D47*'01 - Dados de Entrada'!$C$181,0)</f>
        <v>2</v>
      </c>
      <c r="E48" s="434">
        <f>ROUNDUP(E47*'01 - Dados de Entrada'!$C$181,0)</f>
        <v>2</v>
      </c>
      <c r="F48" s="434">
        <f>ROUNDUP(F47*'01 - Dados de Entrada'!$C$181,0)</f>
        <v>2</v>
      </c>
      <c r="G48" s="434">
        <f>ROUNDUP(G47*'01 - Dados de Entrada'!$C$181,0)</f>
        <v>2</v>
      </c>
      <c r="H48" s="434">
        <f>ROUNDUP(H47*'01 - Dados de Entrada'!$C$181,0)</f>
        <v>2</v>
      </c>
      <c r="I48" s="434">
        <f>ROUNDUP(I47*'01 - Dados de Entrada'!$C$181,0)</f>
        <v>2</v>
      </c>
      <c r="J48" s="434">
        <f>ROUNDUP(J47*'01 - Dados de Entrada'!$C$181,0)</f>
        <v>2</v>
      </c>
      <c r="K48" s="434">
        <f>ROUNDUP(K47*'01 - Dados de Entrada'!$C$181,0)</f>
        <v>2</v>
      </c>
      <c r="L48" s="434">
        <f>ROUNDUP(L47*'01 - Dados de Entrada'!$C$181,0)</f>
        <v>2</v>
      </c>
      <c r="M48" s="434">
        <f>ROUNDUP(M47*'01 - Dados de Entrada'!$C$181,0)</f>
        <v>2</v>
      </c>
      <c r="N48" s="434">
        <f>ROUNDUP(N47*'01 - Dados de Entrada'!$C$181,0)</f>
        <v>2</v>
      </c>
      <c r="O48" s="434">
        <f>ROUNDUP(O47*'01 - Dados de Entrada'!$C$181,0)</f>
        <v>2</v>
      </c>
      <c r="P48" s="434">
        <f>ROUNDUP(P47*'01 - Dados de Entrada'!$C$181,0)</f>
        <v>2</v>
      </c>
      <c r="Q48" s="434">
        <f>ROUNDUP(Q47*'01 - Dados de Entrada'!$C$181,0)</f>
        <v>2</v>
      </c>
      <c r="R48" s="434">
        <f>ROUNDUP(R47*'01 - Dados de Entrada'!$C$181,0)</f>
        <v>2</v>
      </c>
      <c r="S48" s="434">
        <f>ROUNDUP(S47*'01 - Dados de Entrada'!$C$181,0)</f>
        <v>2</v>
      </c>
      <c r="T48" s="434">
        <f>ROUNDUP(T47*'01 - Dados de Entrada'!$C$181,0)</f>
        <v>2</v>
      </c>
      <c r="U48" s="434">
        <f>ROUNDUP(U47*'01 - Dados de Entrada'!$C$181,0)</f>
        <v>2</v>
      </c>
      <c r="V48" s="434">
        <f>ROUNDUP(V47*'01 - Dados de Entrada'!$C$181,0)</f>
        <v>2</v>
      </c>
      <c r="W48" s="434">
        <f>ROUNDUP(W47*'01 - Dados de Entrada'!$C$181,0)</f>
        <v>2</v>
      </c>
      <c r="X48" s="434">
        <f>ROUNDUP(X47*'01 - Dados de Entrada'!$C$181,0)</f>
        <v>2</v>
      </c>
      <c r="Y48" s="434">
        <f>ROUNDUP(Y47*'01 - Dados de Entrada'!$C$181,0)</f>
        <v>2</v>
      </c>
      <c r="Z48" s="434">
        <f>ROUNDUP(Z47*'01 - Dados de Entrada'!$C$181,0)</f>
        <v>2</v>
      </c>
      <c r="AA48" s="434">
        <f>ROUNDUP(AA47*'01 - Dados de Entrada'!$C$181,0)</f>
        <v>2</v>
      </c>
      <c r="AB48" s="434">
        <f>ROUNDUP(AB47*'01 - Dados de Entrada'!$C$181,0)</f>
        <v>2</v>
      </c>
      <c r="AC48" s="434">
        <f>ROUNDUP(AC47*'01 - Dados de Entrada'!$C$181,0)</f>
        <v>2</v>
      </c>
      <c r="AD48" s="434">
        <f>ROUNDUP(AD47*'01 - Dados de Entrada'!$C$181,0)</f>
        <v>2</v>
      </c>
      <c r="AE48" s="434">
        <f>ROUNDUP(AE47*'01 - Dados de Entrada'!$C$181,0)</f>
        <v>2</v>
      </c>
      <c r="AF48" s="434">
        <f>ROUNDUP(AF47*'01 - Dados de Entrada'!$C$181,0)</f>
        <v>2</v>
      </c>
      <c r="AG48" s="434">
        <f>ROUNDUP(AG47*'01 - Dados de Entrada'!$C$181,0)</f>
        <v>2</v>
      </c>
      <c r="AH48" s="434">
        <f>ROUNDUP(AH47*'01 - Dados de Entrada'!$C$181,0)</f>
        <v>2</v>
      </c>
      <c r="AI48" s="434">
        <f>ROUNDUP(AI47*'01 - Dados de Entrada'!$C$181,0)</f>
        <v>2</v>
      </c>
      <c r="AJ48" s="434">
        <f>ROUNDUP(AJ47*'01 - Dados de Entrada'!$C$181,0)</f>
        <v>2</v>
      </c>
    </row>
    <row r="49" spans="1:36" s="35" customFormat="1" ht="13.15" customHeight="1" x14ac:dyDescent="0.2">
      <c r="A49" s="34" t="s">
        <v>151</v>
      </c>
      <c r="B49" s="254">
        <f>'01 - Dados de Entrada'!$C$302</f>
        <v>2</v>
      </c>
      <c r="C49" s="254">
        <f>'01 - Dados de Entrada'!$C$302</f>
        <v>2</v>
      </c>
      <c r="D49" s="254">
        <f>'01 - Dados de Entrada'!$C$302</f>
        <v>2</v>
      </c>
      <c r="E49" s="254">
        <f>'01 - Dados de Entrada'!$C$302</f>
        <v>2</v>
      </c>
      <c r="F49" s="254">
        <f>'01 - Dados de Entrada'!$C$302</f>
        <v>2</v>
      </c>
      <c r="G49" s="254">
        <f>'01 - Dados de Entrada'!$C$302</f>
        <v>2</v>
      </c>
      <c r="H49" s="254">
        <f>'01 - Dados de Entrada'!$C$302</f>
        <v>2</v>
      </c>
      <c r="I49" s="254">
        <f>'01 - Dados de Entrada'!$C$302</f>
        <v>2</v>
      </c>
      <c r="J49" s="254">
        <f>'01 - Dados de Entrada'!$C$302</f>
        <v>2</v>
      </c>
      <c r="K49" s="254">
        <f>'01 - Dados de Entrada'!$C$302</f>
        <v>2</v>
      </c>
      <c r="L49" s="254">
        <f>'01 - Dados de Entrada'!$C$302</f>
        <v>2</v>
      </c>
      <c r="M49" s="254">
        <f>'01 - Dados de Entrada'!$C$302</f>
        <v>2</v>
      </c>
      <c r="N49" s="254">
        <f>'01 - Dados de Entrada'!$C$302</f>
        <v>2</v>
      </c>
      <c r="O49" s="254">
        <f>'01 - Dados de Entrada'!$C$302</f>
        <v>2</v>
      </c>
      <c r="P49" s="254">
        <f>'01 - Dados de Entrada'!$C$302</f>
        <v>2</v>
      </c>
      <c r="Q49" s="254">
        <f>'01 - Dados de Entrada'!$C$302</f>
        <v>2</v>
      </c>
      <c r="R49" s="254">
        <f>'01 - Dados de Entrada'!$C$302</f>
        <v>2</v>
      </c>
      <c r="S49" s="254">
        <f>'01 - Dados de Entrada'!$C$302</f>
        <v>2</v>
      </c>
      <c r="T49" s="254">
        <f>'01 - Dados de Entrada'!$C$302</f>
        <v>2</v>
      </c>
      <c r="U49" s="254">
        <f>'01 - Dados de Entrada'!$C$302</f>
        <v>2</v>
      </c>
      <c r="V49" s="254">
        <f>'01 - Dados de Entrada'!$C$302</f>
        <v>2</v>
      </c>
      <c r="W49" s="254">
        <f>'01 - Dados de Entrada'!$C$302</f>
        <v>2</v>
      </c>
      <c r="X49" s="254">
        <f>'01 - Dados de Entrada'!$C$302</f>
        <v>2</v>
      </c>
      <c r="Y49" s="254">
        <f>'01 - Dados de Entrada'!$C$302</f>
        <v>2</v>
      </c>
      <c r="Z49" s="254">
        <f>'01 - Dados de Entrada'!$C$302</f>
        <v>2</v>
      </c>
      <c r="AA49" s="254">
        <f>'01 - Dados de Entrada'!$C$302</f>
        <v>2</v>
      </c>
      <c r="AB49" s="254">
        <f>'01 - Dados de Entrada'!$C$302</f>
        <v>2</v>
      </c>
      <c r="AC49" s="254">
        <f>'01 - Dados de Entrada'!$C$302</f>
        <v>2</v>
      </c>
      <c r="AD49" s="254">
        <f>'01 - Dados de Entrada'!$C$302</f>
        <v>2</v>
      </c>
      <c r="AE49" s="254">
        <f>'01 - Dados de Entrada'!$C$302</f>
        <v>2</v>
      </c>
      <c r="AF49" s="254">
        <f>'01 - Dados de Entrada'!$C$302</f>
        <v>2</v>
      </c>
      <c r="AG49" s="254">
        <f>'01 - Dados de Entrada'!$C$302</f>
        <v>2</v>
      </c>
      <c r="AH49" s="254">
        <f>'01 - Dados de Entrada'!$C$302</f>
        <v>2</v>
      </c>
      <c r="AI49" s="254">
        <f>'01 - Dados de Entrada'!$C$302</f>
        <v>2</v>
      </c>
      <c r="AJ49" s="254">
        <f>'01 - Dados de Entrada'!$C$302</f>
        <v>2</v>
      </c>
    </row>
    <row r="50" spans="1:36" s="158" customFormat="1" ht="13.15" customHeight="1" x14ac:dyDescent="0.2">
      <c r="A50" s="34" t="s">
        <v>818</v>
      </c>
      <c r="B50" s="434">
        <f>ROUNDUP(B48*'01 - Dados de Entrada'!$C$181,0)</f>
        <v>1</v>
      </c>
      <c r="C50" s="434">
        <f>ROUNDUP(C48*'01 - Dados de Entrada'!$C$181,0)</f>
        <v>1</v>
      </c>
      <c r="D50" s="434">
        <f>ROUNDUP(D48*'01 - Dados de Entrada'!$C$181,0)</f>
        <v>1</v>
      </c>
      <c r="E50" s="434">
        <f>ROUNDUP(E48*'01 - Dados de Entrada'!$C$181,0)</f>
        <v>1</v>
      </c>
      <c r="F50" s="434">
        <f>ROUNDUP(F48*'01 - Dados de Entrada'!$C$181,0)</f>
        <v>1</v>
      </c>
      <c r="G50" s="434">
        <f>ROUNDUP(G48*'01 - Dados de Entrada'!$C$181,0)</f>
        <v>1</v>
      </c>
      <c r="H50" s="434">
        <f>ROUNDUP(H48*'01 - Dados de Entrada'!$C$181,0)</f>
        <v>1</v>
      </c>
      <c r="I50" s="434">
        <f>ROUNDUP(I48*'01 - Dados de Entrada'!$C$181,0)</f>
        <v>1</v>
      </c>
      <c r="J50" s="434">
        <f>ROUNDUP(J48*'01 - Dados de Entrada'!$C$181,0)</f>
        <v>1</v>
      </c>
      <c r="K50" s="434">
        <f>ROUNDUP(K48*'01 - Dados de Entrada'!$C$181,0)</f>
        <v>1</v>
      </c>
      <c r="L50" s="434">
        <f>ROUNDUP(L48*'01 - Dados de Entrada'!$C$181,0)</f>
        <v>1</v>
      </c>
      <c r="M50" s="434">
        <f>ROUNDUP(M48*'01 - Dados de Entrada'!$C$181,0)</f>
        <v>1</v>
      </c>
      <c r="N50" s="434">
        <f>ROUNDUP(N48*'01 - Dados de Entrada'!$C$181,0)</f>
        <v>1</v>
      </c>
      <c r="O50" s="434">
        <f>ROUNDUP(O48*'01 - Dados de Entrada'!$C$181,0)</f>
        <v>1</v>
      </c>
      <c r="P50" s="434">
        <f>ROUNDUP(P48*'01 - Dados de Entrada'!$C$181,0)</f>
        <v>1</v>
      </c>
      <c r="Q50" s="434">
        <f>ROUNDUP(Q48*'01 - Dados de Entrada'!$C$181,0)</f>
        <v>1</v>
      </c>
      <c r="R50" s="434">
        <f>ROUNDUP(R48*'01 - Dados de Entrada'!$C$181,0)</f>
        <v>1</v>
      </c>
      <c r="S50" s="434">
        <f>ROUNDUP(S48*'01 - Dados de Entrada'!$C$181,0)</f>
        <v>1</v>
      </c>
      <c r="T50" s="434">
        <f>ROUNDUP(T48*'01 - Dados de Entrada'!$C$181,0)</f>
        <v>1</v>
      </c>
      <c r="U50" s="434">
        <f>ROUNDUP(U48*'01 - Dados de Entrada'!$C$181,0)</f>
        <v>1</v>
      </c>
      <c r="V50" s="434">
        <f>ROUNDUP(V48*'01 - Dados de Entrada'!$C$181,0)</f>
        <v>1</v>
      </c>
      <c r="W50" s="434">
        <f>ROUNDUP(W48*'01 - Dados de Entrada'!$C$181,0)</f>
        <v>1</v>
      </c>
      <c r="X50" s="434">
        <f>ROUNDUP(X48*'01 - Dados de Entrada'!$C$181,0)</f>
        <v>1</v>
      </c>
      <c r="Y50" s="434">
        <f>ROUNDUP(Y48*'01 - Dados de Entrada'!$C$181,0)</f>
        <v>1</v>
      </c>
      <c r="Z50" s="434">
        <f>ROUNDUP(Z48*'01 - Dados de Entrada'!$C$181,0)</f>
        <v>1</v>
      </c>
      <c r="AA50" s="434">
        <f>ROUNDUP(AA48*'01 - Dados de Entrada'!$C$181,0)</f>
        <v>1</v>
      </c>
      <c r="AB50" s="434">
        <f>ROUNDUP(AB48*'01 - Dados de Entrada'!$C$181,0)</f>
        <v>1</v>
      </c>
      <c r="AC50" s="434">
        <f>ROUNDUP(AC48*'01 - Dados de Entrada'!$C$181,0)</f>
        <v>1</v>
      </c>
      <c r="AD50" s="434">
        <f>ROUNDUP(AD48*'01 - Dados de Entrada'!$C$181,0)</f>
        <v>1</v>
      </c>
      <c r="AE50" s="434">
        <f>ROUNDUP(AE48*'01 - Dados de Entrada'!$C$181,0)</f>
        <v>1</v>
      </c>
      <c r="AF50" s="434">
        <f>ROUNDUP(AF48*'01 - Dados de Entrada'!$C$181,0)</f>
        <v>1</v>
      </c>
      <c r="AG50" s="434">
        <f>ROUNDUP(AG48*'01 - Dados de Entrada'!$C$181,0)</f>
        <v>1</v>
      </c>
      <c r="AH50" s="434">
        <f>ROUNDUP(AH48*'01 - Dados de Entrada'!$C$181,0)</f>
        <v>1</v>
      </c>
      <c r="AI50" s="434">
        <f>ROUNDUP(AI48*'01 - Dados de Entrada'!$C$181,0)</f>
        <v>1</v>
      </c>
      <c r="AJ50" s="434">
        <f>ROUNDUP(AJ48*'01 - Dados de Entrada'!$C$181,0)</f>
        <v>1</v>
      </c>
    </row>
    <row r="51" spans="1:36" s="35" customFormat="1" ht="13.15" customHeight="1" x14ac:dyDescent="0.2">
      <c r="A51" s="34" t="s">
        <v>565</v>
      </c>
      <c r="B51" s="254">
        <f>'01 - Dados de Entrada'!$C$303</f>
        <v>1</v>
      </c>
      <c r="C51" s="254">
        <f>'01 - Dados de Entrada'!$C$303</f>
        <v>1</v>
      </c>
      <c r="D51" s="254">
        <f>'01 - Dados de Entrada'!$C$303</f>
        <v>1</v>
      </c>
      <c r="E51" s="254">
        <f>'01 - Dados de Entrada'!$C$303</f>
        <v>1</v>
      </c>
      <c r="F51" s="254">
        <f>'01 - Dados de Entrada'!$C$303</f>
        <v>1</v>
      </c>
      <c r="G51" s="254">
        <f>'01 - Dados de Entrada'!$C$303</f>
        <v>1</v>
      </c>
      <c r="H51" s="254">
        <f>'01 - Dados de Entrada'!$C$303</f>
        <v>1</v>
      </c>
      <c r="I51" s="254">
        <f>'01 - Dados de Entrada'!$C$303</f>
        <v>1</v>
      </c>
      <c r="J51" s="254">
        <f>'01 - Dados de Entrada'!$C$303</f>
        <v>1</v>
      </c>
      <c r="K51" s="254">
        <f>'01 - Dados de Entrada'!$C$303</f>
        <v>1</v>
      </c>
      <c r="L51" s="254">
        <f>'01 - Dados de Entrada'!$C$303</f>
        <v>1</v>
      </c>
      <c r="M51" s="254">
        <f>'01 - Dados de Entrada'!$C$303</f>
        <v>1</v>
      </c>
      <c r="N51" s="254">
        <f>'01 - Dados de Entrada'!$C$303</f>
        <v>1</v>
      </c>
      <c r="O51" s="254">
        <f>'01 - Dados de Entrada'!$C$303</f>
        <v>1</v>
      </c>
      <c r="P51" s="254">
        <f>'01 - Dados de Entrada'!$C$303</f>
        <v>1</v>
      </c>
      <c r="Q51" s="254">
        <f>'01 - Dados de Entrada'!$C$303</f>
        <v>1</v>
      </c>
      <c r="R51" s="254">
        <f>'01 - Dados de Entrada'!$C$303</f>
        <v>1</v>
      </c>
      <c r="S51" s="254">
        <f>'01 - Dados de Entrada'!$C$303</f>
        <v>1</v>
      </c>
      <c r="T51" s="254">
        <f>'01 - Dados de Entrada'!$C$303</f>
        <v>1</v>
      </c>
      <c r="U51" s="254">
        <f>'01 - Dados de Entrada'!$C$303</f>
        <v>1</v>
      </c>
      <c r="V51" s="254">
        <f>'01 - Dados de Entrada'!$C$303</f>
        <v>1</v>
      </c>
      <c r="W51" s="254">
        <f>'01 - Dados de Entrada'!$C$303</f>
        <v>1</v>
      </c>
      <c r="X51" s="254">
        <f>'01 - Dados de Entrada'!$C$303</f>
        <v>1</v>
      </c>
      <c r="Y51" s="254">
        <f>'01 - Dados de Entrada'!$C$303</f>
        <v>1</v>
      </c>
      <c r="Z51" s="254">
        <f>'01 - Dados de Entrada'!$C$303</f>
        <v>1</v>
      </c>
      <c r="AA51" s="254">
        <f>'01 - Dados de Entrada'!$C$303</f>
        <v>1</v>
      </c>
      <c r="AB51" s="254">
        <f>'01 - Dados de Entrada'!$C$303</f>
        <v>1</v>
      </c>
      <c r="AC51" s="254">
        <f>'01 - Dados de Entrada'!$C$303</f>
        <v>1</v>
      </c>
      <c r="AD51" s="254">
        <f>'01 - Dados de Entrada'!$C$303</f>
        <v>1</v>
      </c>
      <c r="AE51" s="254">
        <f>'01 - Dados de Entrada'!$C$303</f>
        <v>1</v>
      </c>
      <c r="AF51" s="254">
        <f>'01 - Dados de Entrada'!$C$303</f>
        <v>1</v>
      </c>
      <c r="AG51" s="254">
        <f>'01 - Dados de Entrada'!$C$303</f>
        <v>1</v>
      </c>
      <c r="AH51" s="254">
        <f>'01 - Dados de Entrada'!$C$303</f>
        <v>1</v>
      </c>
      <c r="AI51" s="254">
        <f>'01 - Dados de Entrada'!$C$303</f>
        <v>1</v>
      </c>
      <c r="AJ51" s="254">
        <f>'01 - Dados de Entrada'!$C$303</f>
        <v>1</v>
      </c>
    </row>
    <row r="52" spans="1:36" s="158" customFormat="1" ht="13.15" customHeight="1" x14ac:dyDescent="0.2">
      <c r="A52" s="34" t="s">
        <v>582</v>
      </c>
      <c r="B52" s="474">
        <f>'01 - Dados de Entrada'!$C$304</f>
        <v>2</v>
      </c>
      <c r="C52" s="474">
        <f>'01 - Dados de Entrada'!$C$304</f>
        <v>2</v>
      </c>
      <c r="D52" s="474">
        <f>'01 - Dados de Entrada'!$C$304</f>
        <v>2</v>
      </c>
      <c r="E52" s="474">
        <f>'01 - Dados de Entrada'!$C$304</f>
        <v>2</v>
      </c>
      <c r="F52" s="474">
        <f>'01 - Dados de Entrada'!$C$304</f>
        <v>2</v>
      </c>
      <c r="G52" s="474">
        <f>'01 - Dados de Entrada'!$C$304</f>
        <v>2</v>
      </c>
      <c r="H52" s="474">
        <f>'01 - Dados de Entrada'!$C$304</f>
        <v>2</v>
      </c>
      <c r="I52" s="474">
        <f>'01 - Dados de Entrada'!$C$304</f>
        <v>2</v>
      </c>
      <c r="J52" s="474">
        <f>'01 - Dados de Entrada'!$C$304</f>
        <v>2</v>
      </c>
      <c r="K52" s="474">
        <f>'01 - Dados de Entrada'!$C$304</f>
        <v>2</v>
      </c>
      <c r="L52" s="474">
        <f>'01 - Dados de Entrada'!$C$304</f>
        <v>2</v>
      </c>
      <c r="M52" s="474">
        <f>'01 - Dados de Entrada'!$C$304</f>
        <v>2</v>
      </c>
      <c r="N52" s="474">
        <f>'01 - Dados de Entrada'!$C$304</f>
        <v>2</v>
      </c>
      <c r="O52" s="474">
        <f>'01 - Dados de Entrada'!$C$304</f>
        <v>2</v>
      </c>
      <c r="P52" s="474">
        <f>'01 - Dados de Entrada'!$C$304</f>
        <v>2</v>
      </c>
      <c r="Q52" s="474">
        <f>'01 - Dados de Entrada'!$C$304</f>
        <v>2</v>
      </c>
      <c r="R52" s="474">
        <f>'01 - Dados de Entrada'!$C$304</f>
        <v>2</v>
      </c>
      <c r="S52" s="474">
        <f>'01 - Dados de Entrada'!$C$304</f>
        <v>2</v>
      </c>
      <c r="T52" s="474">
        <f>'01 - Dados de Entrada'!$C$304</f>
        <v>2</v>
      </c>
      <c r="U52" s="474">
        <f>'01 - Dados de Entrada'!$C$304</f>
        <v>2</v>
      </c>
      <c r="V52" s="474">
        <f>'01 - Dados de Entrada'!$C$304</f>
        <v>2</v>
      </c>
      <c r="W52" s="474">
        <f>'01 - Dados de Entrada'!$C$304</f>
        <v>2</v>
      </c>
      <c r="X52" s="474">
        <f>'01 - Dados de Entrada'!$C$304</f>
        <v>2</v>
      </c>
      <c r="Y52" s="474">
        <f>'01 - Dados de Entrada'!$C$304</f>
        <v>2</v>
      </c>
      <c r="Z52" s="474">
        <f>'01 - Dados de Entrada'!$C$304</f>
        <v>2</v>
      </c>
      <c r="AA52" s="474">
        <f>'01 - Dados de Entrada'!$C$304</f>
        <v>2</v>
      </c>
      <c r="AB52" s="474">
        <f>'01 - Dados de Entrada'!$C$304</f>
        <v>2</v>
      </c>
      <c r="AC52" s="474">
        <f>'01 - Dados de Entrada'!$C$304</f>
        <v>2</v>
      </c>
      <c r="AD52" s="474">
        <f>'01 - Dados de Entrada'!$C$304</f>
        <v>2</v>
      </c>
      <c r="AE52" s="474">
        <f>'01 - Dados de Entrada'!$C$304</f>
        <v>2</v>
      </c>
      <c r="AF52" s="474">
        <f>'01 - Dados de Entrada'!$C$304</f>
        <v>2</v>
      </c>
      <c r="AG52" s="474">
        <f>'01 - Dados de Entrada'!$C$304</f>
        <v>2</v>
      </c>
      <c r="AH52" s="474">
        <f>'01 - Dados de Entrada'!$C$304</f>
        <v>2</v>
      </c>
      <c r="AI52" s="474">
        <f>'01 - Dados de Entrada'!$C$304</f>
        <v>2</v>
      </c>
      <c r="AJ52" s="474">
        <f>'01 - Dados de Entrada'!$C$304</f>
        <v>2</v>
      </c>
    </row>
    <row r="53" spans="1:36" s="35" customFormat="1" ht="13.15" customHeight="1" x14ac:dyDescent="0.2">
      <c r="A53" s="36" t="s">
        <v>819</v>
      </c>
      <c r="B53" s="254">
        <f>1</f>
        <v>1</v>
      </c>
      <c r="C53" s="254">
        <f>1</f>
        <v>1</v>
      </c>
      <c r="D53" s="254">
        <f>1</f>
        <v>1</v>
      </c>
      <c r="E53" s="254">
        <f>1</f>
        <v>1</v>
      </c>
      <c r="F53" s="254">
        <f>1</f>
        <v>1</v>
      </c>
      <c r="G53" s="254">
        <f>1</f>
        <v>1</v>
      </c>
      <c r="H53" s="254">
        <f>1</f>
        <v>1</v>
      </c>
      <c r="I53" s="254">
        <f>1</f>
        <v>1</v>
      </c>
      <c r="J53" s="254">
        <f>1</f>
        <v>1</v>
      </c>
      <c r="K53" s="254">
        <f>1</f>
        <v>1</v>
      </c>
      <c r="L53" s="254">
        <f>1</f>
        <v>1</v>
      </c>
      <c r="M53" s="254">
        <f>1</f>
        <v>1</v>
      </c>
      <c r="N53" s="254">
        <f>1</f>
        <v>1</v>
      </c>
      <c r="O53" s="254">
        <f>1</f>
        <v>1</v>
      </c>
      <c r="P53" s="254">
        <f>1</f>
        <v>1</v>
      </c>
      <c r="Q53" s="254">
        <f>1</f>
        <v>1</v>
      </c>
      <c r="R53" s="254">
        <f>1</f>
        <v>1</v>
      </c>
      <c r="S53" s="254">
        <f>1</f>
        <v>1</v>
      </c>
      <c r="T53" s="254">
        <f>1</f>
        <v>1</v>
      </c>
      <c r="U53" s="254">
        <f>1</f>
        <v>1</v>
      </c>
      <c r="V53" s="254">
        <f>1</f>
        <v>1</v>
      </c>
      <c r="W53" s="254">
        <f>1</f>
        <v>1</v>
      </c>
      <c r="X53" s="254">
        <f>1</f>
        <v>1</v>
      </c>
      <c r="Y53" s="254">
        <f>1</f>
        <v>1</v>
      </c>
      <c r="Z53" s="254">
        <f>1</f>
        <v>1</v>
      </c>
      <c r="AA53" s="254">
        <f>1</f>
        <v>1</v>
      </c>
      <c r="AB53" s="254">
        <f>1</f>
        <v>1</v>
      </c>
      <c r="AC53" s="254">
        <f>1</f>
        <v>1</v>
      </c>
      <c r="AD53" s="254">
        <f>1</f>
        <v>1</v>
      </c>
      <c r="AE53" s="254">
        <f>1</f>
        <v>1</v>
      </c>
      <c r="AF53" s="254">
        <f>1</f>
        <v>1</v>
      </c>
      <c r="AG53" s="254">
        <f>1</f>
        <v>1</v>
      </c>
      <c r="AH53" s="254">
        <f>1</f>
        <v>1</v>
      </c>
      <c r="AI53" s="254">
        <f>1</f>
        <v>1</v>
      </c>
      <c r="AJ53" s="254">
        <f>1</f>
        <v>1</v>
      </c>
    </row>
    <row r="54" spans="1:36" s="38" customFormat="1" ht="13.15" customHeight="1" x14ac:dyDescent="0.2">
      <c r="A54" s="54" t="s">
        <v>820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</row>
    <row r="55" spans="1:36" s="158" customFormat="1" ht="13.15" customHeight="1" x14ac:dyDescent="0.2">
      <c r="A55" s="34" t="s">
        <v>580</v>
      </c>
      <c r="B55" s="474">
        <f>'01 - Dados de Entrada'!$C$309</f>
        <v>1</v>
      </c>
      <c r="C55" s="474">
        <f>'01 - Dados de Entrada'!$C$309</f>
        <v>1</v>
      </c>
      <c r="D55" s="474">
        <f>'01 - Dados de Entrada'!$C$309</f>
        <v>1</v>
      </c>
      <c r="E55" s="474">
        <f>'01 - Dados de Entrada'!$C$309</f>
        <v>1</v>
      </c>
      <c r="F55" s="474">
        <f>'01 - Dados de Entrada'!$C$309</f>
        <v>1</v>
      </c>
      <c r="G55" s="474">
        <f>'01 - Dados de Entrada'!$C$309</f>
        <v>1</v>
      </c>
      <c r="H55" s="474">
        <f>'01 - Dados de Entrada'!$C$309</f>
        <v>1</v>
      </c>
      <c r="I55" s="474">
        <f>'01 - Dados de Entrada'!$C$309</f>
        <v>1</v>
      </c>
      <c r="J55" s="474">
        <f>'01 - Dados de Entrada'!$C$309</f>
        <v>1</v>
      </c>
      <c r="K55" s="474">
        <f>'01 - Dados de Entrada'!$C$309</f>
        <v>1</v>
      </c>
      <c r="L55" s="474">
        <f>'01 - Dados de Entrada'!$C$309</f>
        <v>1</v>
      </c>
      <c r="M55" s="474">
        <f>'01 - Dados de Entrada'!$C$309</f>
        <v>1</v>
      </c>
      <c r="N55" s="474">
        <f>'01 - Dados de Entrada'!$C$309</f>
        <v>1</v>
      </c>
      <c r="O55" s="474">
        <f>'01 - Dados de Entrada'!$C$309</f>
        <v>1</v>
      </c>
      <c r="P55" s="474">
        <f>'01 - Dados de Entrada'!$C$309</f>
        <v>1</v>
      </c>
      <c r="Q55" s="474">
        <f>'01 - Dados de Entrada'!$C$309</f>
        <v>1</v>
      </c>
      <c r="R55" s="474">
        <f>'01 - Dados de Entrada'!$C$309</f>
        <v>1</v>
      </c>
      <c r="S55" s="474">
        <f>'01 - Dados de Entrada'!$C$309</f>
        <v>1</v>
      </c>
      <c r="T55" s="474">
        <f>'01 - Dados de Entrada'!$C$309</f>
        <v>1</v>
      </c>
      <c r="U55" s="474">
        <f>'01 - Dados de Entrada'!$C$309</f>
        <v>1</v>
      </c>
      <c r="V55" s="474">
        <f>'01 - Dados de Entrada'!$C$309</f>
        <v>1</v>
      </c>
      <c r="W55" s="474">
        <f>'01 - Dados de Entrada'!$C$309</f>
        <v>1</v>
      </c>
      <c r="X55" s="474">
        <f>'01 - Dados de Entrada'!$C$309</f>
        <v>1</v>
      </c>
      <c r="Y55" s="474">
        <f>'01 - Dados de Entrada'!$C$309</f>
        <v>1</v>
      </c>
      <c r="Z55" s="474">
        <f>'01 - Dados de Entrada'!$C$309</f>
        <v>1</v>
      </c>
      <c r="AA55" s="474">
        <f>'01 - Dados de Entrada'!$C$309</f>
        <v>1</v>
      </c>
      <c r="AB55" s="474">
        <f>'01 - Dados de Entrada'!$C$309</f>
        <v>1</v>
      </c>
      <c r="AC55" s="474">
        <f>'01 - Dados de Entrada'!$C$309</f>
        <v>1</v>
      </c>
      <c r="AD55" s="474">
        <f>'01 - Dados de Entrada'!$C$309</f>
        <v>1</v>
      </c>
      <c r="AE55" s="474">
        <f>'01 - Dados de Entrada'!$C$309</f>
        <v>1</v>
      </c>
      <c r="AF55" s="474">
        <f>'01 - Dados de Entrada'!$C$309</f>
        <v>1</v>
      </c>
      <c r="AG55" s="474">
        <f>'01 - Dados de Entrada'!$C$309</f>
        <v>1</v>
      </c>
      <c r="AH55" s="474">
        <f>'01 - Dados de Entrada'!$C$309</f>
        <v>1</v>
      </c>
      <c r="AI55" s="474">
        <f>'01 - Dados de Entrada'!$C$309</f>
        <v>1</v>
      </c>
      <c r="AJ55" s="474">
        <f>'01 - Dados de Entrada'!$C$309</f>
        <v>1</v>
      </c>
    </row>
    <row r="56" spans="1:36" s="158" customFormat="1" ht="13.15" customHeight="1" x14ac:dyDescent="0.2">
      <c r="A56" s="34" t="s">
        <v>582</v>
      </c>
      <c r="B56" s="474">
        <f>'01 - Dados de Entrada'!$C$310</f>
        <v>1</v>
      </c>
      <c r="C56" s="474">
        <f>'01 - Dados de Entrada'!$C$310</f>
        <v>1</v>
      </c>
      <c r="D56" s="474">
        <f>'01 - Dados de Entrada'!$C$310</f>
        <v>1</v>
      </c>
      <c r="E56" s="474">
        <f>'01 - Dados de Entrada'!$C$310</f>
        <v>1</v>
      </c>
      <c r="F56" s="474">
        <f>'01 - Dados de Entrada'!$C$310</f>
        <v>1</v>
      </c>
      <c r="G56" s="474">
        <f>'01 - Dados de Entrada'!$C$310</f>
        <v>1</v>
      </c>
      <c r="H56" s="474">
        <f>'01 - Dados de Entrada'!$C$310</f>
        <v>1</v>
      </c>
      <c r="I56" s="474">
        <f>'01 - Dados de Entrada'!$C$310</f>
        <v>1</v>
      </c>
      <c r="J56" s="474">
        <f>'01 - Dados de Entrada'!$C$310</f>
        <v>1</v>
      </c>
      <c r="K56" s="474">
        <f>'01 - Dados de Entrada'!$C$310</f>
        <v>1</v>
      </c>
      <c r="L56" s="474">
        <f>'01 - Dados de Entrada'!$C$310</f>
        <v>1</v>
      </c>
      <c r="M56" s="474">
        <f>'01 - Dados de Entrada'!$C$310</f>
        <v>1</v>
      </c>
      <c r="N56" s="474">
        <f>'01 - Dados de Entrada'!$C$310</f>
        <v>1</v>
      </c>
      <c r="O56" s="474">
        <f>'01 - Dados de Entrada'!$C$310</f>
        <v>1</v>
      </c>
      <c r="P56" s="474">
        <f>'01 - Dados de Entrada'!$C$310</f>
        <v>1</v>
      </c>
      <c r="Q56" s="474">
        <f>'01 - Dados de Entrada'!$C$310</f>
        <v>1</v>
      </c>
      <c r="R56" s="474">
        <f>'01 - Dados de Entrada'!$C$310</f>
        <v>1</v>
      </c>
      <c r="S56" s="474">
        <f>'01 - Dados de Entrada'!$C$310</f>
        <v>1</v>
      </c>
      <c r="T56" s="474">
        <f>'01 - Dados de Entrada'!$C$310</f>
        <v>1</v>
      </c>
      <c r="U56" s="474">
        <f>'01 - Dados de Entrada'!$C$310</f>
        <v>1</v>
      </c>
      <c r="V56" s="474">
        <f>'01 - Dados de Entrada'!$C$310</f>
        <v>1</v>
      </c>
      <c r="W56" s="474">
        <f>'01 - Dados de Entrada'!$C$310</f>
        <v>1</v>
      </c>
      <c r="X56" s="474">
        <f>'01 - Dados de Entrada'!$C$310</f>
        <v>1</v>
      </c>
      <c r="Y56" s="474">
        <f>'01 - Dados de Entrada'!$C$310</f>
        <v>1</v>
      </c>
      <c r="Z56" s="474">
        <f>'01 - Dados de Entrada'!$C$310</f>
        <v>1</v>
      </c>
      <c r="AA56" s="474">
        <f>'01 - Dados de Entrada'!$C$310</f>
        <v>1</v>
      </c>
      <c r="AB56" s="474">
        <f>'01 - Dados de Entrada'!$C$310</f>
        <v>1</v>
      </c>
      <c r="AC56" s="474">
        <f>'01 - Dados de Entrada'!$C$310</f>
        <v>1</v>
      </c>
      <c r="AD56" s="474">
        <f>'01 - Dados de Entrada'!$C$310</f>
        <v>1</v>
      </c>
      <c r="AE56" s="474">
        <f>'01 - Dados de Entrada'!$C$310</f>
        <v>1</v>
      </c>
      <c r="AF56" s="474">
        <f>'01 - Dados de Entrada'!$C$310</f>
        <v>1</v>
      </c>
      <c r="AG56" s="474">
        <f>'01 - Dados de Entrada'!$C$310</f>
        <v>1</v>
      </c>
      <c r="AH56" s="474">
        <f>'01 - Dados de Entrada'!$C$310</f>
        <v>1</v>
      </c>
      <c r="AI56" s="474">
        <f>'01 - Dados de Entrada'!$C$310</f>
        <v>1</v>
      </c>
      <c r="AJ56" s="474">
        <f>'01 - Dados de Entrada'!$C$310</f>
        <v>1</v>
      </c>
    </row>
    <row r="57" spans="1:36" s="158" customFormat="1" ht="13.15" customHeight="1" x14ac:dyDescent="0.2">
      <c r="A57" s="36" t="s">
        <v>819</v>
      </c>
      <c r="B57" s="474">
        <f>'01 - Dados de Entrada'!$C$311</f>
        <v>1</v>
      </c>
      <c r="C57" s="474">
        <f>'01 - Dados de Entrada'!$C$311</f>
        <v>1</v>
      </c>
      <c r="D57" s="474">
        <f>'01 - Dados de Entrada'!$C$311</f>
        <v>1</v>
      </c>
      <c r="E57" s="474">
        <f>'01 - Dados de Entrada'!$C$311</f>
        <v>1</v>
      </c>
      <c r="F57" s="474">
        <f>'01 - Dados de Entrada'!$C$311</f>
        <v>1</v>
      </c>
      <c r="G57" s="474">
        <f>'01 - Dados de Entrada'!$C$311</f>
        <v>1</v>
      </c>
      <c r="H57" s="474">
        <f>'01 - Dados de Entrada'!$C$311</f>
        <v>1</v>
      </c>
      <c r="I57" s="474">
        <f>'01 - Dados de Entrada'!$C$311</f>
        <v>1</v>
      </c>
      <c r="J57" s="474">
        <f>'01 - Dados de Entrada'!$C$311</f>
        <v>1</v>
      </c>
      <c r="K57" s="474">
        <f>'01 - Dados de Entrada'!$C$311</f>
        <v>1</v>
      </c>
      <c r="L57" s="474">
        <f>'01 - Dados de Entrada'!$C$311</f>
        <v>1</v>
      </c>
      <c r="M57" s="474">
        <f>'01 - Dados de Entrada'!$C$311</f>
        <v>1</v>
      </c>
      <c r="N57" s="474">
        <f>'01 - Dados de Entrada'!$C$311</f>
        <v>1</v>
      </c>
      <c r="O57" s="474">
        <f>'01 - Dados de Entrada'!$C$311</f>
        <v>1</v>
      </c>
      <c r="P57" s="474">
        <f>'01 - Dados de Entrada'!$C$311</f>
        <v>1</v>
      </c>
      <c r="Q57" s="474">
        <f>'01 - Dados de Entrada'!$C$311</f>
        <v>1</v>
      </c>
      <c r="R57" s="474">
        <f>'01 - Dados de Entrada'!$C$311</f>
        <v>1</v>
      </c>
      <c r="S57" s="474">
        <f>'01 - Dados de Entrada'!$C$311</f>
        <v>1</v>
      </c>
      <c r="T57" s="474">
        <f>'01 - Dados de Entrada'!$C$311</f>
        <v>1</v>
      </c>
      <c r="U57" s="474">
        <f>'01 - Dados de Entrada'!$C$311</f>
        <v>1</v>
      </c>
      <c r="V57" s="474">
        <f>'01 - Dados de Entrada'!$C$311</f>
        <v>1</v>
      </c>
      <c r="W57" s="474">
        <f>'01 - Dados de Entrada'!$C$311</f>
        <v>1</v>
      </c>
      <c r="X57" s="474">
        <f>'01 - Dados de Entrada'!$C$311</f>
        <v>1</v>
      </c>
      <c r="Y57" s="474">
        <f>'01 - Dados de Entrada'!$C$311</f>
        <v>1</v>
      </c>
      <c r="Z57" s="474">
        <f>'01 - Dados de Entrada'!$C$311</f>
        <v>1</v>
      </c>
      <c r="AA57" s="474">
        <f>'01 - Dados de Entrada'!$C$311</f>
        <v>1</v>
      </c>
      <c r="AB57" s="474">
        <f>'01 - Dados de Entrada'!$C$311</f>
        <v>1</v>
      </c>
      <c r="AC57" s="474">
        <f>'01 - Dados de Entrada'!$C$311</f>
        <v>1</v>
      </c>
      <c r="AD57" s="474">
        <f>'01 - Dados de Entrada'!$C$311</f>
        <v>1</v>
      </c>
      <c r="AE57" s="474">
        <f>'01 - Dados de Entrada'!$C$311</f>
        <v>1</v>
      </c>
      <c r="AF57" s="474">
        <f>'01 - Dados de Entrada'!$C$311</f>
        <v>1</v>
      </c>
      <c r="AG57" s="474">
        <f>'01 - Dados de Entrada'!$C$311</f>
        <v>1</v>
      </c>
      <c r="AH57" s="474">
        <f>'01 - Dados de Entrada'!$C$311</f>
        <v>1</v>
      </c>
      <c r="AI57" s="474">
        <f>'01 - Dados de Entrada'!$C$311</f>
        <v>1</v>
      </c>
      <c r="AJ57" s="474">
        <f>'01 - Dados de Entrada'!$C$311</f>
        <v>1</v>
      </c>
    </row>
    <row r="58" spans="1:36" s="158" customFormat="1" ht="13.15" customHeight="1" x14ac:dyDescent="0.2">
      <c r="A58" s="34" t="s">
        <v>141</v>
      </c>
      <c r="B58" s="474">
        <f>'01 - Dados de Entrada'!$C$312</f>
        <v>1</v>
      </c>
      <c r="C58" s="474">
        <f>'01 - Dados de Entrada'!$C$312</f>
        <v>1</v>
      </c>
      <c r="D58" s="474">
        <f>'01 - Dados de Entrada'!$C$312</f>
        <v>1</v>
      </c>
      <c r="E58" s="474">
        <f>'01 - Dados de Entrada'!$C$312</f>
        <v>1</v>
      </c>
      <c r="F58" s="474">
        <f>'01 - Dados de Entrada'!$C$312</f>
        <v>1</v>
      </c>
      <c r="G58" s="474">
        <f>'01 - Dados de Entrada'!$C$312</f>
        <v>1</v>
      </c>
      <c r="H58" s="474">
        <f>'01 - Dados de Entrada'!$C$312</f>
        <v>1</v>
      </c>
      <c r="I58" s="474">
        <f>'01 - Dados de Entrada'!$C$312</f>
        <v>1</v>
      </c>
      <c r="J58" s="474">
        <f>'01 - Dados de Entrada'!$C$312</f>
        <v>1</v>
      </c>
      <c r="K58" s="474">
        <f>'01 - Dados de Entrada'!$C$312</f>
        <v>1</v>
      </c>
      <c r="L58" s="474">
        <f>'01 - Dados de Entrada'!$C$312</f>
        <v>1</v>
      </c>
      <c r="M58" s="474">
        <f>'01 - Dados de Entrada'!$C$312</f>
        <v>1</v>
      </c>
      <c r="N58" s="474">
        <f>'01 - Dados de Entrada'!$C$312</f>
        <v>1</v>
      </c>
      <c r="O58" s="474">
        <f>'01 - Dados de Entrada'!$C$312</f>
        <v>1</v>
      </c>
      <c r="P58" s="474">
        <f>'01 - Dados de Entrada'!$C$312</f>
        <v>1</v>
      </c>
      <c r="Q58" s="474">
        <f>'01 - Dados de Entrada'!$C$312</f>
        <v>1</v>
      </c>
      <c r="R58" s="474">
        <f>'01 - Dados de Entrada'!$C$312</f>
        <v>1</v>
      </c>
      <c r="S58" s="474">
        <f>'01 - Dados de Entrada'!$C$312</f>
        <v>1</v>
      </c>
      <c r="T58" s="474">
        <f>'01 - Dados de Entrada'!$C$312</f>
        <v>1</v>
      </c>
      <c r="U58" s="474">
        <f>'01 - Dados de Entrada'!$C$312</f>
        <v>1</v>
      </c>
      <c r="V58" s="474">
        <f>'01 - Dados de Entrada'!$C$312</f>
        <v>1</v>
      </c>
      <c r="W58" s="474">
        <f>'01 - Dados de Entrada'!$C$312</f>
        <v>1</v>
      </c>
      <c r="X58" s="474">
        <f>'01 - Dados de Entrada'!$C$312</f>
        <v>1</v>
      </c>
      <c r="Y58" s="474">
        <f>'01 - Dados de Entrada'!$C$312</f>
        <v>1</v>
      </c>
      <c r="Z58" s="474">
        <f>'01 - Dados de Entrada'!$C$312</f>
        <v>1</v>
      </c>
      <c r="AA58" s="474">
        <f>'01 - Dados de Entrada'!$C$312</f>
        <v>1</v>
      </c>
      <c r="AB58" s="474">
        <f>'01 - Dados de Entrada'!$C$312</f>
        <v>1</v>
      </c>
      <c r="AC58" s="474">
        <f>'01 - Dados de Entrada'!$C$312</f>
        <v>1</v>
      </c>
      <c r="AD58" s="474">
        <f>'01 - Dados de Entrada'!$C$312</f>
        <v>1</v>
      </c>
      <c r="AE58" s="474">
        <f>'01 - Dados de Entrada'!$C$312</f>
        <v>1</v>
      </c>
      <c r="AF58" s="474">
        <f>'01 - Dados de Entrada'!$C$312</f>
        <v>1</v>
      </c>
      <c r="AG58" s="474">
        <f>'01 - Dados de Entrada'!$C$312</f>
        <v>1</v>
      </c>
      <c r="AH58" s="474">
        <f>'01 - Dados de Entrada'!$C$312</f>
        <v>1</v>
      </c>
      <c r="AI58" s="474">
        <f>'01 - Dados de Entrada'!$C$312</f>
        <v>1</v>
      </c>
      <c r="AJ58" s="474">
        <f>'01 - Dados de Entrada'!$C$312</f>
        <v>1</v>
      </c>
    </row>
    <row r="59" spans="1:36" s="158" customFormat="1" ht="13.15" customHeight="1" x14ac:dyDescent="0.2">
      <c r="A59" s="34" t="s">
        <v>821</v>
      </c>
      <c r="B59" s="474">
        <f>ROUNDUP(B58*'01 - Dados de Entrada'!$C$181,0)</f>
        <v>1</v>
      </c>
      <c r="C59" s="474">
        <f>ROUNDUP(C58*'01 - Dados de Entrada'!$C$181,0)</f>
        <v>1</v>
      </c>
      <c r="D59" s="474">
        <f>ROUNDUP(D58*'01 - Dados de Entrada'!$C$181,0)</f>
        <v>1</v>
      </c>
      <c r="E59" s="474">
        <f>ROUNDUP(E58*'01 - Dados de Entrada'!$C$181,0)</f>
        <v>1</v>
      </c>
      <c r="F59" s="474">
        <f>ROUNDUP(F58*'01 - Dados de Entrada'!$C$181,0)</f>
        <v>1</v>
      </c>
      <c r="G59" s="474">
        <f>ROUNDUP(G58*'01 - Dados de Entrada'!$C$181,0)</f>
        <v>1</v>
      </c>
      <c r="H59" s="474">
        <f>ROUNDUP(H58*'01 - Dados de Entrada'!$C$181,0)</f>
        <v>1</v>
      </c>
      <c r="I59" s="474">
        <f>ROUNDUP(I58*'01 - Dados de Entrada'!$C$181,0)</f>
        <v>1</v>
      </c>
      <c r="J59" s="474">
        <f>ROUNDUP(J58*'01 - Dados de Entrada'!$C$181,0)</f>
        <v>1</v>
      </c>
      <c r="K59" s="474">
        <f>ROUNDUP(K58*'01 - Dados de Entrada'!$C$181,0)</f>
        <v>1</v>
      </c>
      <c r="L59" s="474">
        <f>ROUNDUP(L58*'01 - Dados de Entrada'!$C$181,0)</f>
        <v>1</v>
      </c>
      <c r="M59" s="474">
        <f>ROUNDUP(M58*'01 - Dados de Entrada'!$C$181,0)</f>
        <v>1</v>
      </c>
      <c r="N59" s="474">
        <f>ROUNDUP(N58*'01 - Dados de Entrada'!$C$181,0)</f>
        <v>1</v>
      </c>
      <c r="O59" s="474">
        <f>ROUNDUP(O58*'01 - Dados de Entrada'!$C$181,0)</f>
        <v>1</v>
      </c>
      <c r="P59" s="474">
        <f>ROUNDUP(P58*'01 - Dados de Entrada'!$C$181,0)</f>
        <v>1</v>
      </c>
      <c r="Q59" s="474">
        <f>ROUNDUP(Q58*'01 - Dados de Entrada'!$C$181,0)</f>
        <v>1</v>
      </c>
      <c r="R59" s="474">
        <f>ROUNDUP(R58*'01 - Dados de Entrada'!$C$181,0)</f>
        <v>1</v>
      </c>
      <c r="S59" s="474">
        <f>ROUNDUP(S58*'01 - Dados de Entrada'!$C$181,0)</f>
        <v>1</v>
      </c>
      <c r="T59" s="474">
        <f>ROUNDUP(T58*'01 - Dados de Entrada'!$C$181,0)</f>
        <v>1</v>
      </c>
      <c r="U59" s="474">
        <f>ROUNDUP(U58*'01 - Dados de Entrada'!$C$181,0)</f>
        <v>1</v>
      </c>
      <c r="V59" s="474">
        <f>ROUNDUP(V58*'01 - Dados de Entrada'!$C$181,0)</f>
        <v>1</v>
      </c>
      <c r="W59" s="474">
        <f>ROUNDUP(W58*'01 - Dados de Entrada'!$C$181,0)</f>
        <v>1</v>
      </c>
      <c r="X59" s="474">
        <f>ROUNDUP(X58*'01 - Dados de Entrada'!$C$181,0)</f>
        <v>1</v>
      </c>
      <c r="Y59" s="474">
        <f>ROUNDUP(Y58*'01 - Dados de Entrada'!$C$181,0)</f>
        <v>1</v>
      </c>
      <c r="Z59" s="474">
        <f>ROUNDUP(Z58*'01 - Dados de Entrada'!$C$181,0)</f>
        <v>1</v>
      </c>
      <c r="AA59" s="474">
        <f>ROUNDUP(AA58*'01 - Dados de Entrada'!$C$181,0)</f>
        <v>1</v>
      </c>
      <c r="AB59" s="474">
        <f>ROUNDUP(AB58*'01 - Dados de Entrada'!$C$181,0)</f>
        <v>1</v>
      </c>
      <c r="AC59" s="474">
        <f>ROUNDUP(AC58*'01 - Dados de Entrada'!$C$181,0)</f>
        <v>1</v>
      </c>
      <c r="AD59" s="474">
        <f>ROUNDUP(AD58*'01 - Dados de Entrada'!$C$181,0)</f>
        <v>1</v>
      </c>
      <c r="AE59" s="474">
        <f>ROUNDUP(AE58*'01 - Dados de Entrada'!$C$181,0)</f>
        <v>1</v>
      </c>
      <c r="AF59" s="474">
        <f>ROUNDUP(AF58*'01 - Dados de Entrada'!$C$181,0)</f>
        <v>1</v>
      </c>
      <c r="AG59" s="474">
        <f>ROUNDUP(AG58*'01 - Dados de Entrada'!$C$181,0)</f>
        <v>1</v>
      </c>
      <c r="AH59" s="474">
        <f>ROUNDUP(AH58*'01 - Dados de Entrada'!$C$181,0)</f>
        <v>1</v>
      </c>
      <c r="AI59" s="474">
        <f>ROUNDUP(AI58*'01 - Dados de Entrada'!$C$181,0)</f>
        <v>1</v>
      </c>
      <c r="AJ59" s="474">
        <f>ROUNDUP(AJ58*'01 - Dados de Entrada'!$C$181,0)</f>
        <v>1</v>
      </c>
    </row>
    <row r="60" spans="1:36" s="158" customFormat="1" ht="13.15" customHeight="1" x14ac:dyDescent="0.2">
      <c r="A60" s="34" t="s">
        <v>149</v>
      </c>
      <c r="B60" s="474">
        <f>'01 - Dados de Entrada'!$C$313</f>
        <v>15</v>
      </c>
      <c r="C60" s="474">
        <f>'01 - Dados de Entrada'!$C$313</f>
        <v>15</v>
      </c>
      <c r="D60" s="474">
        <f>'01 - Dados de Entrada'!$C$313</f>
        <v>15</v>
      </c>
      <c r="E60" s="474">
        <f>'01 - Dados de Entrada'!$C$313</f>
        <v>15</v>
      </c>
      <c r="F60" s="474">
        <f>'01 - Dados de Entrada'!$C$313</f>
        <v>15</v>
      </c>
      <c r="G60" s="474">
        <f>'01 - Dados de Entrada'!$C$313</f>
        <v>15</v>
      </c>
      <c r="H60" s="474">
        <f>'01 - Dados de Entrada'!$C$313</f>
        <v>15</v>
      </c>
      <c r="I60" s="474">
        <f>'01 - Dados de Entrada'!$C$313</f>
        <v>15</v>
      </c>
      <c r="J60" s="474">
        <f>'01 - Dados de Entrada'!$C$313</f>
        <v>15</v>
      </c>
      <c r="K60" s="474">
        <f>'01 - Dados de Entrada'!$C$313</f>
        <v>15</v>
      </c>
      <c r="L60" s="474">
        <f>'01 - Dados de Entrada'!$C$313</f>
        <v>15</v>
      </c>
      <c r="M60" s="474">
        <f>'01 - Dados de Entrada'!$C$313</f>
        <v>15</v>
      </c>
      <c r="N60" s="474">
        <f>'01 - Dados de Entrada'!$C$313</f>
        <v>15</v>
      </c>
      <c r="O60" s="474">
        <f>'01 - Dados de Entrada'!$C$313</f>
        <v>15</v>
      </c>
      <c r="P60" s="474">
        <f>'01 - Dados de Entrada'!$C$313</f>
        <v>15</v>
      </c>
      <c r="Q60" s="474">
        <f>'01 - Dados de Entrada'!$C$313</f>
        <v>15</v>
      </c>
      <c r="R60" s="474">
        <f>'01 - Dados de Entrada'!$C$313</f>
        <v>15</v>
      </c>
      <c r="S60" s="474">
        <f>'01 - Dados de Entrada'!$C$313</f>
        <v>15</v>
      </c>
      <c r="T60" s="474">
        <f>'01 - Dados de Entrada'!$C$313</f>
        <v>15</v>
      </c>
      <c r="U60" s="474">
        <f>'01 - Dados de Entrada'!$C$313</f>
        <v>15</v>
      </c>
      <c r="V60" s="474">
        <f>'01 - Dados de Entrada'!$C$313</f>
        <v>15</v>
      </c>
      <c r="W60" s="474">
        <f>'01 - Dados de Entrada'!$C$313</f>
        <v>15</v>
      </c>
      <c r="X60" s="474">
        <f>'01 - Dados de Entrada'!$C$313</f>
        <v>15</v>
      </c>
      <c r="Y60" s="474">
        <f>'01 - Dados de Entrada'!$C$313</f>
        <v>15</v>
      </c>
      <c r="Z60" s="474">
        <f>'01 - Dados de Entrada'!$C$313</f>
        <v>15</v>
      </c>
      <c r="AA60" s="474">
        <f>'01 - Dados de Entrada'!$C$313</f>
        <v>15</v>
      </c>
      <c r="AB60" s="474">
        <f>'01 - Dados de Entrada'!$C$313</f>
        <v>15</v>
      </c>
      <c r="AC60" s="474">
        <f>'01 - Dados de Entrada'!$C$313</f>
        <v>15</v>
      </c>
      <c r="AD60" s="474">
        <f>'01 - Dados de Entrada'!$C$313</f>
        <v>15</v>
      </c>
      <c r="AE60" s="474">
        <f>'01 - Dados de Entrada'!$C$313</f>
        <v>15</v>
      </c>
      <c r="AF60" s="474">
        <f>'01 - Dados de Entrada'!$C$313</f>
        <v>15</v>
      </c>
      <c r="AG60" s="474">
        <f>'01 - Dados de Entrada'!$C$313</f>
        <v>15</v>
      </c>
      <c r="AH60" s="474">
        <f>'01 - Dados de Entrada'!$C$313</f>
        <v>15</v>
      </c>
      <c r="AI60" s="474">
        <f>'01 - Dados de Entrada'!$C$313</f>
        <v>15</v>
      </c>
      <c r="AJ60" s="474">
        <f>'01 - Dados de Entrada'!$C$313</f>
        <v>15</v>
      </c>
    </row>
    <row r="61" spans="1:36" s="158" customFormat="1" ht="13.15" customHeight="1" x14ac:dyDescent="0.2">
      <c r="A61" s="34" t="s">
        <v>822</v>
      </c>
      <c r="B61" s="474">
        <f>ROUNDUP(B60*'01 - Dados de Entrada'!$C$181,0)</f>
        <v>3</v>
      </c>
      <c r="C61" s="474">
        <f>ROUNDUP(C60*'01 - Dados de Entrada'!$C$181,0)</f>
        <v>3</v>
      </c>
      <c r="D61" s="474">
        <f>ROUNDUP(D60*'01 - Dados de Entrada'!$C$181,0)</f>
        <v>3</v>
      </c>
      <c r="E61" s="474">
        <f>ROUNDUP(E60*'01 - Dados de Entrada'!$C$181,0)</f>
        <v>3</v>
      </c>
      <c r="F61" s="474">
        <f>ROUNDUP(F60*'01 - Dados de Entrada'!$C$181,0)</f>
        <v>3</v>
      </c>
      <c r="G61" s="474">
        <f>ROUNDUP(G60*'01 - Dados de Entrada'!$C$181,0)</f>
        <v>3</v>
      </c>
      <c r="H61" s="474">
        <f>ROUNDUP(H60*'01 - Dados de Entrada'!$C$181,0)</f>
        <v>3</v>
      </c>
      <c r="I61" s="474">
        <f>ROUNDUP(I60*'01 - Dados de Entrada'!$C$181,0)</f>
        <v>3</v>
      </c>
      <c r="J61" s="474">
        <f>ROUNDUP(J60*'01 - Dados de Entrada'!$C$181,0)</f>
        <v>3</v>
      </c>
      <c r="K61" s="474">
        <f>ROUNDUP(K60*'01 - Dados de Entrada'!$C$181,0)</f>
        <v>3</v>
      </c>
      <c r="L61" s="474">
        <f>ROUNDUP(L60*'01 - Dados de Entrada'!$C$181,0)</f>
        <v>3</v>
      </c>
      <c r="M61" s="474">
        <f>ROUNDUP(M60*'01 - Dados de Entrada'!$C$181,0)</f>
        <v>3</v>
      </c>
      <c r="N61" s="474">
        <f>ROUNDUP(N60*'01 - Dados de Entrada'!$C$181,0)</f>
        <v>3</v>
      </c>
      <c r="O61" s="474">
        <f>ROUNDUP(O60*'01 - Dados de Entrada'!$C$181,0)</f>
        <v>3</v>
      </c>
      <c r="P61" s="474">
        <f>ROUNDUP(P60*'01 - Dados de Entrada'!$C$181,0)</f>
        <v>3</v>
      </c>
      <c r="Q61" s="474">
        <f>ROUNDUP(Q60*'01 - Dados de Entrada'!$C$181,0)</f>
        <v>3</v>
      </c>
      <c r="R61" s="474">
        <f>ROUNDUP(R60*'01 - Dados de Entrada'!$C$181,0)</f>
        <v>3</v>
      </c>
      <c r="S61" s="474">
        <f>ROUNDUP(S60*'01 - Dados de Entrada'!$C$181,0)</f>
        <v>3</v>
      </c>
      <c r="T61" s="474">
        <f>ROUNDUP(T60*'01 - Dados de Entrada'!$C$181,0)</f>
        <v>3</v>
      </c>
      <c r="U61" s="474">
        <f>ROUNDUP(U60*'01 - Dados de Entrada'!$C$181,0)</f>
        <v>3</v>
      </c>
      <c r="V61" s="474">
        <f>ROUNDUP(V60*'01 - Dados de Entrada'!$C$181,0)</f>
        <v>3</v>
      </c>
      <c r="W61" s="474">
        <f>ROUNDUP(W60*'01 - Dados de Entrada'!$C$181,0)</f>
        <v>3</v>
      </c>
      <c r="X61" s="474">
        <f>ROUNDUP(X60*'01 - Dados de Entrada'!$C$181,0)</f>
        <v>3</v>
      </c>
      <c r="Y61" s="474">
        <f>ROUNDUP(Y60*'01 - Dados de Entrada'!$C$181,0)</f>
        <v>3</v>
      </c>
      <c r="Z61" s="474">
        <f>ROUNDUP(Z60*'01 - Dados de Entrada'!$C$181,0)</f>
        <v>3</v>
      </c>
      <c r="AA61" s="474">
        <f>ROUNDUP(AA60*'01 - Dados de Entrada'!$C$181,0)</f>
        <v>3</v>
      </c>
      <c r="AB61" s="474">
        <f>ROUNDUP(AB60*'01 - Dados de Entrada'!$C$181,0)</f>
        <v>3</v>
      </c>
      <c r="AC61" s="474">
        <f>ROUNDUP(AC60*'01 - Dados de Entrada'!$C$181,0)</f>
        <v>3</v>
      </c>
      <c r="AD61" s="474">
        <f>ROUNDUP(AD60*'01 - Dados de Entrada'!$C$181,0)</f>
        <v>3</v>
      </c>
      <c r="AE61" s="474">
        <f>ROUNDUP(AE60*'01 - Dados de Entrada'!$C$181,0)</f>
        <v>3</v>
      </c>
      <c r="AF61" s="474">
        <f>ROUNDUP(AF60*'01 - Dados de Entrada'!$C$181,0)</f>
        <v>3</v>
      </c>
      <c r="AG61" s="474">
        <f>ROUNDUP(AG60*'01 - Dados de Entrada'!$C$181,0)</f>
        <v>3</v>
      </c>
      <c r="AH61" s="474">
        <f>ROUNDUP(AH60*'01 - Dados de Entrada'!$C$181,0)</f>
        <v>3</v>
      </c>
      <c r="AI61" s="474">
        <f>ROUNDUP(AI60*'01 - Dados de Entrada'!$C$181,0)</f>
        <v>3</v>
      </c>
      <c r="AJ61" s="474">
        <f>ROUNDUP(AJ60*'01 - Dados de Entrada'!$C$181,0)</f>
        <v>3</v>
      </c>
    </row>
    <row r="62" spans="1:36" s="158" customFormat="1" ht="13.15" customHeight="1" x14ac:dyDescent="0.2">
      <c r="A62" s="34" t="s">
        <v>151</v>
      </c>
      <c r="B62" s="474">
        <f>'01 - Dados de Entrada'!$C$314</f>
        <v>2</v>
      </c>
      <c r="C62" s="474">
        <f>'01 - Dados de Entrada'!$C$314</f>
        <v>2</v>
      </c>
      <c r="D62" s="474">
        <f>'01 - Dados de Entrada'!$C$314</f>
        <v>2</v>
      </c>
      <c r="E62" s="474">
        <f>'01 - Dados de Entrada'!$C$314</f>
        <v>2</v>
      </c>
      <c r="F62" s="474">
        <f>'01 - Dados de Entrada'!$C$314</f>
        <v>2</v>
      </c>
      <c r="G62" s="474">
        <f>'01 - Dados de Entrada'!$C$314</f>
        <v>2</v>
      </c>
      <c r="H62" s="474">
        <f>'01 - Dados de Entrada'!$C$314</f>
        <v>2</v>
      </c>
      <c r="I62" s="474">
        <f>'01 - Dados de Entrada'!$C$314</f>
        <v>2</v>
      </c>
      <c r="J62" s="474">
        <f>'01 - Dados de Entrada'!$C$314</f>
        <v>2</v>
      </c>
      <c r="K62" s="474">
        <f>'01 - Dados de Entrada'!$C$314</f>
        <v>2</v>
      </c>
      <c r="L62" s="474">
        <f>'01 - Dados de Entrada'!$C$314</f>
        <v>2</v>
      </c>
      <c r="M62" s="474">
        <f>'01 - Dados de Entrada'!$C$314</f>
        <v>2</v>
      </c>
      <c r="N62" s="474">
        <f>'01 - Dados de Entrada'!$C$314</f>
        <v>2</v>
      </c>
      <c r="O62" s="474">
        <f>'01 - Dados de Entrada'!$C$314</f>
        <v>2</v>
      </c>
      <c r="P62" s="474">
        <f>'01 - Dados de Entrada'!$C$314</f>
        <v>2</v>
      </c>
      <c r="Q62" s="474">
        <f>'01 - Dados de Entrada'!$C$314</f>
        <v>2</v>
      </c>
      <c r="R62" s="474">
        <f>'01 - Dados de Entrada'!$C$314</f>
        <v>2</v>
      </c>
      <c r="S62" s="474">
        <f>'01 - Dados de Entrada'!$C$314</f>
        <v>2</v>
      </c>
      <c r="T62" s="474">
        <f>'01 - Dados de Entrada'!$C$314</f>
        <v>2</v>
      </c>
      <c r="U62" s="474">
        <f>'01 - Dados de Entrada'!$C$314</f>
        <v>2</v>
      </c>
      <c r="V62" s="474">
        <f>'01 - Dados de Entrada'!$C$314</f>
        <v>2</v>
      </c>
      <c r="W62" s="474">
        <f>'01 - Dados de Entrada'!$C$314</f>
        <v>2</v>
      </c>
      <c r="X62" s="474">
        <f>'01 - Dados de Entrada'!$C$314</f>
        <v>2</v>
      </c>
      <c r="Y62" s="474">
        <f>'01 - Dados de Entrada'!$C$314</f>
        <v>2</v>
      </c>
      <c r="Z62" s="474">
        <f>'01 - Dados de Entrada'!$C$314</f>
        <v>2</v>
      </c>
      <c r="AA62" s="474">
        <f>'01 - Dados de Entrada'!$C$314</f>
        <v>2</v>
      </c>
      <c r="AB62" s="474">
        <f>'01 - Dados de Entrada'!$C$314</f>
        <v>2</v>
      </c>
      <c r="AC62" s="474">
        <f>'01 - Dados de Entrada'!$C$314</f>
        <v>2</v>
      </c>
      <c r="AD62" s="474">
        <f>'01 - Dados de Entrada'!$C$314</f>
        <v>2</v>
      </c>
      <c r="AE62" s="474">
        <f>'01 - Dados de Entrada'!$C$314</f>
        <v>2</v>
      </c>
      <c r="AF62" s="474">
        <f>'01 - Dados de Entrada'!$C$314</f>
        <v>2</v>
      </c>
      <c r="AG62" s="474">
        <f>'01 - Dados de Entrada'!$C$314</f>
        <v>2</v>
      </c>
      <c r="AH62" s="474">
        <f>'01 - Dados de Entrada'!$C$314</f>
        <v>2</v>
      </c>
      <c r="AI62" s="474">
        <f>'01 - Dados de Entrada'!$C$314</f>
        <v>2</v>
      </c>
      <c r="AJ62" s="474">
        <f>'01 - Dados de Entrada'!$C$314</f>
        <v>2</v>
      </c>
    </row>
    <row r="63" spans="1:36" s="158" customFormat="1" ht="13.15" customHeight="1" x14ac:dyDescent="0.2">
      <c r="A63" s="34" t="s">
        <v>823</v>
      </c>
      <c r="B63" s="474">
        <f>ROUNDUP(B62*'01 - Dados de Entrada'!$C$181,0)</f>
        <v>1</v>
      </c>
      <c r="C63" s="474">
        <f>ROUNDUP(C62*'01 - Dados de Entrada'!$C$181,0)</f>
        <v>1</v>
      </c>
      <c r="D63" s="474">
        <f>ROUNDUP(D62*'01 - Dados de Entrada'!$C$181,0)</f>
        <v>1</v>
      </c>
      <c r="E63" s="474">
        <f>ROUNDUP(E62*'01 - Dados de Entrada'!$C$181,0)</f>
        <v>1</v>
      </c>
      <c r="F63" s="474">
        <f>ROUNDUP(F62*'01 - Dados de Entrada'!$C$181,0)</f>
        <v>1</v>
      </c>
      <c r="G63" s="474">
        <f>ROUNDUP(G62*'01 - Dados de Entrada'!$C$181,0)</f>
        <v>1</v>
      </c>
      <c r="H63" s="474">
        <f>ROUNDUP(H62*'01 - Dados de Entrada'!$C$181,0)</f>
        <v>1</v>
      </c>
      <c r="I63" s="474">
        <f>ROUNDUP(I62*'01 - Dados de Entrada'!$C$181,0)</f>
        <v>1</v>
      </c>
      <c r="J63" s="474">
        <f>ROUNDUP(J62*'01 - Dados de Entrada'!$C$181,0)</f>
        <v>1</v>
      </c>
      <c r="K63" s="474">
        <f>ROUNDUP(K62*'01 - Dados de Entrada'!$C$181,0)</f>
        <v>1</v>
      </c>
      <c r="L63" s="474">
        <f>ROUNDUP(L62*'01 - Dados de Entrada'!$C$181,0)</f>
        <v>1</v>
      </c>
      <c r="M63" s="474">
        <f>ROUNDUP(M62*'01 - Dados de Entrada'!$C$181,0)</f>
        <v>1</v>
      </c>
      <c r="N63" s="474">
        <f>ROUNDUP(N62*'01 - Dados de Entrada'!$C$181,0)</f>
        <v>1</v>
      </c>
      <c r="O63" s="474">
        <f>ROUNDUP(O62*'01 - Dados de Entrada'!$C$181,0)</f>
        <v>1</v>
      </c>
      <c r="P63" s="474">
        <f>ROUNDUP(P62*'01 - Dados de Entrada'!$C$181,0)</f>
        <v>1</v>
      </c>
      <c r="Q63" s="474">
        <f>ROUNDUP(Q62*'01 - Dados de Entrada'!$C$181,0)</f>
        <v>1</v>
      </c>
      <c r="R63" s="474">
        <f>ROUNDUP(R62*'01 - Dados de Entrada'!$C$181,0)</f>
        <v>1</v>
      </c>
      <c r="S63" s="474">
        <f>ROUNDUP(S62*'01 - Dados de Entrada'!$C$181,0)</f>
        <v>1</v>
      </c>
      <c r="T63" s="474">
        <f>ROUNDUP(T62*'01 - Dados de Entrada'!$C$181,0)</f>
        <v>1</v>
      </c>
      <c r="U63" s="474">
        <f>ROUNDUP(U62*'01 - Dados de Entrada'!$C$181,0)</f>
        <v>1</v>
      </c>
      <c r="V63" s="474">
        <f>ROUNDUP(V62*'01 - Dados de Entrada'!$C$181,0)</f>
        <v>1</v>
      </c>
      <c r="W63" s="474">
        <f>ROUNDUP(W62*'01 - Dados de Entrada'!$C$181,0)</f>
        <v>1</v>
      </c>
      <c r="X63" s="474">
        <f>ROUNDUP(X62*'01 - Dados de Entrada'!$C$181,0)</f>
        <v>1</v>
      </c>
      <c r="Y63" s="474">
        <f>ROUNDUP(Y62*'01 - Dados de Entrada'!$C$181,0)</f>
        <v>1</v>
      </c>
      <c r="Z63" s="474">
        <f>ROUNDUP(Z62*'01 - Dados de Entrada'!$C$181,0)</f>
        <v>1</v>
      </c>
      <c r="AA63" s="474">
        <f>ROUNDUP(AA62*'01 - Dados de Entrada'!$C$181,0)</f>
        <v>1</v>
      </c>
      <c r="AB63" s="474">
        <f>ROUNDUP(AB62*'01 - Dados de Entrada'!$C$181,0)</f>
        <v>1</v>
      </c>
      <c r="AC63" s="474">
        <f>ROUNDUP(AC62*'01 - Dados de Entrada'!$C$181,0)</f>
        <v>1</v>
      </c>
      <c r="AD63" s="474">
        <f>ROUNDUP(AD62*'01 - Dados de Entrada'!$C$181,0)</f>
        <v>1</v>
      </c>
      <c r="AE63" s="474">
        <f>ROUNDUP(AE62*'01 - Dados de Entrada'!$C$181,0)</f>
        <v>1</v>
      </c>
      <c r="AF63" s="474">
        <f>ROUNDUP(AF62*'01 - Dados de Entrada'!$C$181,0)</f>
        <v>1</v>
      </c>
      <c r="AG63" s="474">
        <f>ROUNDUP(AG62*'01 - Dados de Entrada'!$C$181,0)</f>
        <v>1</v>
      </c>
      <c r="AH63" s="474">
        <f>ROUNDUP(AH62*'01 - Dados de Entrada'!$C$181,0)</f>
        <v>1</v>
      </c>
      <c r="AI63" s="474">
        <f>ROUNDUP(AI62*'01 - Dados de Entrada'!$C$181,0)</f>
        <v>1</v>
      </c>
      <c r="AJ63" s="474">
        <f>ROUNDUP(AJ62*'01 - Dados de Entrada'!$C$181,0)</f>
        <v>1</v>
      </c>
    </row>
    <row r="64" spans="1:36" ht="13.15" customHeight="1" x14ac:dyDescent="0.2">
      <c r="A64" s="198" t="s">
        <v>824</v>
      </c>
      <c r="B64" s="497"/>
      <c r="C64" s="497"/>
      <c r="D64" s="497"/>
      <c r="E64" s="497"/>
      <c r="F64" s="497"/>
      <c r="G64" s="497"/>
      <c r="H64" s="497"/>
      <c r="I64" s="497"/>
      <c r="J64" s="497"/>
      <c r="K64" s="497"/>
      <c r="L64" s="497"/>
      <c r="M64" s="497"/>
      <c r="N64" s="497"/>
      <c r="O64" s="497"/>
      <c r="P64" s="497"/>
      <c r="Q64" s="497"/>
      <c r="R64" s="497"/>
      <c r="S64" s="497"/>
      <c r="T64" s="497"/>
      <c r="U64" s="497"/>
      <c r="V64" s="497"/>
      <c r="W64" s="497"/>
      <c r="X64" s="497"/>
      <c r="Y64" s="497"/>
      <c r="Z64" s="497"/>
      <c r="AA64" s="497"/>
      <c r="AB64" s="497"/>
      <c r="AC64" s="497"/>
      <c r="AD64" s="497"/>
      <c r="AE64" s="497"/>
      <c r="AF64" s="497"/>
      <c r="AG64" s="497"/>
      <c r="AH64" s="497"/>
      <c r="AI64" s="497"/>
      <c r="AJ64" s="497"/>
    </row>
    <row r="65" spans="1:36" s="158" customFormat="1" ht="13.15" customHeight="1" x14ac:dyDescent="0.2">
      <c r="A65" s="34" t="s">
        <v>816</v>
      </c>
      <c r="B65" s="474">
        <f>'01 - Dados de Entrada'!$C$320</f>
        <v>1</v>
      </c>
      <c r="C65" s="474">
        <f>'01 - Dados de Entrada'!$C$320</f>
        <v>1</v>
      </c>
      <c r="D65" s="474">
        <f>'01 - Dados de Entrada'!$C$320</f>
        <v>1</v>
      </c>
      <c r="E65" s="474">
        <f>'01 - Dados de Entrada'!$C$320</f>
        <v>1</v>
      </c>
      <c r="F65" s="474">
        <f>'01 - Dados de Entrada'!$C$320</f>
        <v>1</v>
      </c>
      <c r="G65" s="474">
        <f>'01 - Dados de Entrada'!$C$320</f>
        <v>1</v>
      </c>
      <c r="H65" s="474">
        <f>'01 - Dados de Entrada'!$C$320</f>
        <v>1</v>
      </c>
      <c r="I65" s="474">
        <f>'01 - Dados de Entrada'!$C$320</f>
        <v>1</v>
      </c>
      <c r="J65" s="474">
        <f>'01 - Dados de Entrada'!$C$320</f>
        <v>1</v>
      </c>
      <c r="K65" s="474">
        <f>'01 - Dados de Entrada'!$C$320</f>
        <v>1</v>
      </c>
      <c r="L65" s="474">
        <f>'01 - Dados de Entrada'!$C$320</f>
        <v>1</v>
      </c>
      <c r="M65" s="474">
        <f>'01 - Dados de Entrada'!$C$320</f>
        <v>1</v>
      </c>
      <c r="N65" s="474">
        <f>'01 - Dados de Entrada'!$C$320</f>
        <v>1</v>
      </c>
      <c r="O65" s="474">
        <f>'01 - Dados de Entrada'!$C$320</f>
        <v>1</v>
      </c>
      <c r="P65" s="474">
        <f>'01 - Dados de Entrada'!$C$320</f>
        <v>1</v>
      </c>
      <c r="Q65" s="474">
        <f>'01 - Dados de Entrada'!$C$320</f>
        <v>1</v>
      </c>
      <c r="R65" s="474">
        <f>'01 - Dados de Entrada'!$C$320</f>
        <v>1</v>
      </c>
      <c r="S65" s="474">
        <f>'01 - Dados de Entrada'!$C$320</f>
        <v>1</v>
      </c>
      <c r="T65" s="474">
        <f>'01 - Dados de Entrada'!$C$320</f>
        <v>1</v>
      </c>
      <c r="U65" s="474">
        <f>'01 - Dados de Entrada'!$C$320</f>
        <v>1</v>
      </c>
      <c r="V65" s="474">
        <f>'01 - Dados de Entrada'!$C$320</f>
        <v>1</v>
      </c>
      <c r="W65" s="474">
        <f>'01 - Dados de Entrada'!$C$320</f>
        <v>1</v>
      </c>
      <c r="X65" s="474">
        <f>'01 - Dados de Entrada'!$C$320</f>
        <v>1</v>
      </c>
      <c r="Y65" s="474">
        <f>'01 - Dados de Entrada'!$C$320</f>
        <v>1</v>
      </c>
      <c r="Z65" s="474">
        <f>'01 - Dados de Entrada'!$C$320</f>
        <v>1</v>
      </c>
      <c r="AA65" s="474">
        <f>'01 - Dados de Entrada'!$C$320</f>
        <v>1</v>
      </c>
      <c r="AB65" s="474">
        <f>'01 - Dados de Entrada'!$C$320</f>
        <v>1</v>
      </c>
      <c r="AC65" s="474">
        <f>'01 - Dados de Entrada'!$C$320</f>
        <v>1</v>
      </c>
      <c r="AD65" s="474">
        <f>'01 - Dados de Entrada'!$C$320</f>
        <v>1</v>
      </c>
      <c r="AE65" s="474">
        <f>'01 - Dados de Entrada'!$C$320</f>
        <v>1</v>
      </c>
      <c r="AF65" s="474">
        <f>'01 - Dados de Entrada'!$C$320</f>
        <v>1</v>
      </c>
      <c r="AG65" s="474">
        <f>'01 - Dados de Entrada'!$C$320</f>
        <v>1</v>
      </c>
      <c r="AH65" s="474">
        <f>'01 - Dados de Entrada'!$C$320</f>
        <v>1</v>
      </c>
      <c r="AI65" s="474">
        <f>'01 - Dados de Entrada'!$C$320</f>
        <v>1</v>
      </c>
      <c r="AJ65" s="474">
        <f>'01 - Dados de Entrada'!$C$320</f>
        <v>1</v>
      </c>
    </row>
    <row r="66" spans="1:36" s="158" customFormat="1" ht="13.15" customHeight="1" x14ac:dyDescent="0.2">
      <c r="A66" s="36" t="s">
        <v>819</v>
      </c>
      <c r="B66" s="474">
        <f>'01 - Dados de Entrada'!$C$321</f>
        <v>1</v>
      </c>
      <c r="C66" s="474">
        <f>'01 - Dados de Entrada'!$C$321</f>
        <v>1</v>
      </c>
      <c r="D66" s="474">
        <f>'01 - Dados de Entrada'!$C$321</f>
        <v>1</v>
      </c>
      <c r="E66" s="474">
        <f>'01 - Dados de Entrada'!$C$321</f>
        <v>1</v>
      </c>
      <c r="F66" s="474">
        <f>'01 - Dados de Entrada'!$C$321</f>
        <v>1</v>
      </c>
      <c r="G66" s="474">
        <f>'01 - Dados de Entrada'!$C$321</f>
        <v>1</v>
      </c>
      <c r="H66" s="474">
        <f>'01 - Dados de Entrada'!$C$321</f>
        <v>1</v>
      </c>
      <c r="I66" s="474">
        <f>'01 - Dados de Entrada'!$C$321</f>
        <v>1</v>
      </c>
      <c r="J66" s="474">
        <f>'01 - Dados de Entrada'!$C$321</f>
        <v>1</v>
      </c>
      <c r="K66" s="474">
        <f>'01 - Dados de Entrada'!$C$321</f>
        <v>1</v>
      </c>
      <c r="L66" s="474">
        <f>'01 - Dados de Entrada'!$C$321</f>
        <v>1</v>
      </c>
      <c r="M66" s="474">
        <f>'01 - Dados de Entrada'!$C$321</f>
        <v>1</v>
      </c>
      <c r="N66" s="474">
        <f>'01 - Dados de Entrada'!$C$321</f>
        <v>1</v>
      </c>
      <c r="O66" s="474">
        <f>'01 - Dados de Entrada'!$C$321</f>
        <v>1</v>
      </c>
      <c r="P66" s="474">
        <f>'01 - Dados de Entrada'!$C$321</f>
        <v>1</v>
      </c>
      <c r="Q66" s="474">
        <f>'01 - Dados de Entrada'!$C$321</f>
        <v>1</v>
      </c>
      <c r="R66" s="474">
        <f>'01 - Dados de Entrada'!$C$321</f>
        <v>1</v>
      </c>
      <c r="S66" s="474">
        <f>'01 - Dados de Entrada'!$C$321</f>
        <v>1</v>
      </c>
      <c r="T66" s="474">
        <f>'01 - Dados de Entrada'!$C$321</f>
        <v>1</v>
      </c>
      <c r="U66" s="474">
        <f>'01 - Dados de Entrada'!$C$321</f>
        <v>1</v>
      </c>
      <c r="V66" s="474">
        <f>'01 - Dados de Entrada'!$C$321</f>
        <v>1</v>
      </c>
      <c r="W66" s="474">
        <f>'01 - Dados de Entrada'!$C$321</f>
        <v>1</v>
      </c>
      <c r="X66" s="474">
        <f>'01 - Dados de Entrada'!$C$321</f>
        <v>1</v>
      </c>
      <c r="Y66" s="474">
        <f>'01 - Dados de Entrada'!$C$321</f>
        <v>1</v>
      </c>
      <c r="Z66" s="474">
        <f>'01 - Dados de Entrada'!$C$321</f>
        <v>1</v>
      </c>
      <c r="AA66" s="474">
        <f>'01 - Dados de Entrada'!$C$321</f>
        <v>1</v>
      </c>
      <c r="AB66" s="474">
        <f>'01 - Dados de Entrada'!$C$321</f>
        <v>1</v>
      </c>
      <c r="AC66" s="474">
        <f>'01 - Dados de Entrada'!$C$321</f>
        <v>1</v>
      </c>
      <c r="AD66" s="474">
        <f>'01 - Dados de Entrada'!$C$321</f>
        <v>1</v>
      </c>
      <c r="AE66" s="474">
        <f>'01 - Dados de Entrada'!$C$321</f>
        <v>1</v>
      </c>
      <c r="AF66" s="474">
        <f>'01 - Dados de Entrada'!$C$321</f>
        <v>1</v>
      </c>
      <c r="AG66" s="474">
        <f>'01 - Dados de Entrada'!$C$321</f>
        <v>1</v>
      </c>
      <c r="AH66" s="474">
        <f>'01 - Dados de Entrada'!$C$321</f>
        <v>1</v>
      </c>
      <c r="AI66" s="474">
        <f>'01 - Dados de Entrada'!$C$321</f>
        <v>1</v>
      </c>
      <c r="AJ66" s="474">
        <f>'01 - Dados de Entrada'!$C$321</f>
        <v>1</v>
      </c>
    </row>
    <row r="67" spans="1:36" s="158" customFormat="1" ht="13.15" customHeight="1" x14ac:dyDescent="0.2">
      <c r="A67" s="36" t="s">
        <v>439</v>
      </c>
      <c r="B67" s="474">
        <f>'01 - Dados de Entrada'!$C$322</f>
        <v>1</v>
      </c>
      <c r="C67" s="474">
        <f>'01 - Dados de Entrada'!$C$322</f>
        <v>1</v>
      </c>
      <c r="D67" s="474">
        <f>'01 - Dados de Entrada'!$C$322</f>
        <v>1</v>
      </c>
      <c r="E67" s="474">
        <f>'01 - Dados de Entrada'!$C$322</f>
        <v>1</v>
      </c>
      <c r="F67" s="474">
        <f>'01 - Dados de Entrada'!$C$322</f>
        <v>1</v>
      </c>
      <c r="G67" s="474">
        <f>'01 - Dados de Entrada'!$C$322</f>
        <v>1</v>
      </c>
      <c r="H67" s="474">
        <f>'01 - Dados de Entrada'!$C$322</f>
        <v>1</v>
      </c>
      <c r="I67" s="474">
        <f>'01 - Dados de Entrada'!$C$322</f>
        <v>1</v>
      </c>
      <c r="J67" s="474">
        <f>'01 - Dados de Entrada'!$C$322</f>
        <v>1</v>
      </c>
      <c r="K67" s="474">
        <f>'01 - Dados de Entrada'!$C$322</f>
        <v>1</v>
      </c>
      <c r="L67" s="474">
        <f>'01 - Dados de Entrada'!$C$322</f>
        <v>1</v>
      </c>
      <c r="M67" s="474">
        <f>'01 - Dados de Entrada'!$C$322</f>
        <v>1</v>
      </c>
      <c r="N67" s="474">
        <f>'01 - Dados de Entrada'!$C$322</f>
        <v>1</v>
      </c>
      <c r="O67" s="474">
        <f>'01 - Dados de Entrada'!$C$322</f>
        <v>1</v>
      </c>
      <c r="P67" s="474">
        <f>'01 - Dados de Entrada'!$C$322</f>
        <v>1</v>
      </c>
      <c r="Q67" s="474">
        <f>'01 - Dados de Entrada'!$C$322</f>
        <v>1</v>
      </c>
      <c r="R67" s="474">
        <f>'01 - Dados de Entrada'!$C$322</f>
        <v>1</v>
      </c>
      <c r="S67" s="474">
        <f>'01 - Dados de Entrada'!$C$322</f>
        <v>1</v>
      </c>
      <c r="T67" s="474">
        <f>'01 - Dados de Entrada'!$C$322</f>
        <v>1</v>
      </c>
      <c r="U67" s="474">
        <f>'01 - Dados de Entrada'!$C$322</f>
        <v>1</v>
      </c>
      <c r="V67" s="474">
        <f>'01 - Dados de Entrada'!$C$322</f>
        <v>1</v>
      </c>
      <c r="W67" s="474">
        <f>'01 - Dados de Entrada'!$C$322</f>
        <v>1</v>
      </c>
      <c r="X67" s="474">
        <f>'01 - Dados de Entrada'!$C$322</f>
        <v>1</v>
      </c>
      <c r="Y67" s="474">
        <f>'01 - Dados de Entrada'!$C$322</f>
        <v>1</v>
      </c>
      <c r="Z67" s="474">
        <f>'01 - Dados de Entrada'!$C$322</f>
        <v>1</v>
      </c>
      <c r="AA67" s="474">
        <f>'01 - Dados de Entrada'!$C$322</f>
        <v>1</v>
      </c>
      <c r="AB67" s="474">
        <f>'01 - Dados de Entrada'!$C$322</f>
        <v>1</v>
      </c>
      <c r="AC67" s="474">
        <f>'01 - Dados de Entrada'!$C$322</f>
        <v>1</v>
      </c>
      <c r="AD67" s="474">
        <f>'01 - Dados de Entrada'!$C$322</f>
        <v>1</v>
      </c>
      <c r="AE67" s="474">
        <f>'01 - Dados de Entrada'!$C$322</f>
        <v>1</v>
      </c>
      <c r="AF67" s="474">
        <f>'01 - Dados de Entrada'!$C$322</f>
        <v>1</v>
      </c>
      <c r="AG67" s="474">
        <f>'01 - Dados de Entrada'!$C$322</f>
        <v>1</v>
      </c>
      <c r="AH67" s="474">
        <f>'01 - Dados de Entrada'!$C$322</f>
        <v>1</v>
      </c>
      <c r="AI67" s="474">
        <f>'01 - Dados de Entrada'!$C$322</f>
        <v>1</v>
      </c>
      <c r="AJ67" s="474">
        <f>'01 - Dados de Entrada'!$C$322</f>
        <v>1</v>
      </c>
    </row>
    <row r="68" spans="1:36" s="158" customFormat="1" ht="13.15" customHeight="1" x14ac:dyDescent="0.2">
      <c r="A68" s="36" t="s">
        <v>825</v>
      </c>
      <c r="B68" s="434">
        <f>ROUNDUP(B67*'01 - Dados de Entrada'!$C$181,0)</f>
        <v>1</v>
      </c>
      <c r="C68" s="434">
        <f>ROUNDUP(C67*'01 - Dados de Entrada'!$C$181,0)</f>
        <v>1</v>
      </c>
      <c r="D68" s="434">
        <f>ROUNDUP(D67*'01 - Dados de Entrada'!$C$181,0)</f>
        <v>1</v>
      </c>
      <c r="E68" s="434">
        <f>ROUNDUP(E67*'01 - Dados de Entrada'!$C$181,0)</f>
        <v>1</v>
      </c>
      <c r="F68" s="434">
        <f>ROUNDUP(F67*'01 - Dados de Entrada'!$C$181,0)</f>
        <v>1</v>
      </c>
      <c r="G68" s="434">
        <f>ROUNDUP(G67*'01 - Dados de Entrada'!$C$181,0)</f>
        <v>1</v>
      </c>
      <c r="H68" s="434">
        <f>ROUNDUP(H67*'01 - Dados de Entrada'!$C$181,0)</f>
        <v>1</v>
      </c>
      <c r="I68" s="434">
        <f>ROUNDUP(I67*'01 - Dados de Entrada'!$C$181,0)</f>
        <v>1</v>
      </c>
      <c r="J68" s="434">
        <f>ROUNDUP(J67*'01 - Dados de Entrada'!$C$181,0)</f>
        <v>1</v>
      </c>
      <c r="K68" s="434">
        <f>ROUNDUP(K67*'01 - Dados de Entrada'!$C$181,0)</f>
        <v>1</v>
      </c>
      <c r="L68" s="434">
        <f>ROUNDUP(L67*'01 - Dados de Entrada'!$C$181,0)</f>
        <v>1</v>
      </c>
      <c r="M68" s="434">
        <f>ROUNDUP(M67*'01 - Dados de Entrada'!$C$181,0)</f>
        <v>1</v>
      </c>
      <c r="N68" s="434">
        <f>ROUNDUP(N67*'01 - Dados de Entrada'!$C$181,0)</f>
        <v>1</v>
      </c>
      <c r="O68" s="434">
        <f>ROUNDUP(O67*'01 - Dados de Entrada'!$C$181,0)</f>
        <v>1</v>
      </c>
      <c r="P68" s="434">
        <f>ROUNDUP(P67*'01 - Dados de Entrada'!$C$181,0)</f>
        <v>1</v>
      </c>
      <c r="Q68" s="434">
        <f>ROUNDUP(Q67*'01 - Dados de Entrada'!$C$181,0)</f>
        <v>1</v>
      </c>
      <c r="R68" s="434">
        <f>ROUNDUP(R67*'01 - Dados de Entrada'!$C$181,0)</f>
        <v>1</v>
      </c>
      <c r="S68" s="434">
        <f>ROUNDUP(S67*'01 - Dados de Entrada'!$C$181,0)</f>
        <v>1</v>
      </c>
      <c r="T68" s="434">
        <f>ROUNDUP(T67*'01 - Dados de Entrada'!$C$181,0)</f>
        <v>1</v>
      </c>
      <c r="U68" s="434">
        <f>ROUNDUP(U67*'01 - Dados de Entrada'!$C$181,0)</f>
        <v>1</v>
      </c>
      <c r="V68" s="434">
        <f>ROUNDUP(V67*'01 - Dados de Entrada'!$C$181,0)</f>
        <v>1</v>
      </c>
      <c r="W68" s="434">
        <f>ROUNDUP(W67*'01 - Dados de Entrada'!$C$181,0)</f>
        <v>1</v>
      </c>
      <c r="X68" s="434">
        <f>ROUNDUP(X67*'01 - Dados de Entrada'!$C$181,0)</f>
        <v>1</v>
      </c>
      <c r="Y68" s="434">
        <f>ROUNDUP(Y67*'01 - Dados de Entrada'!$C$181,0)</f>
        <v>1</v>
      </c>
      <c r="Z68" s="434">
        <f>ROUNDUP(Z67*'01 - Dados de Entrada'!$C$181,0)</f>
        <v>1</v>
      </c>
      <c r="AA68" s="434">
        <f>ROUNDUP(AA67*'01 - Dados de Entrada'!$C$181,0)</f>
        <v>1</v>
      </c>
      <c r="AB68" s="434">
        <f>ROUNDUP(AB67*'01 - Dados de Entrada'!$C$181,0)</f>
        <v>1</v>
      </c>
      <c r="AC68" s="434">
        <f>ROUNDUP(AC67*'01 - Dados de Entrada'!$C$181,0)</f>
        <v>1</v>
      </c>
      <c r="AD68" s="434">
        <f>ROUNDUP(AD67*'01 - Dados de Entrada'!$C$181,0)</f>
        <v>1</v>
      </c>
      <c r="AE68" s="434">
        <f>ROUNDUP(AE67*'01 - Dados de Entrada'!$C$181,0)</f>
        <v>1</v>
      </c>
      <c r="AF68" s="434">
        <f>ROUNDUP(AF67*'01 - Dados de Entrada'!$C$181,0)</f>
        <v>1</v>
      </c>
      <c r="AG68" s="434">
        <f>ROUNDUP(AG67*'01 - Dados de Entrada'!$C$181,0)</f>
        <v>1</v>
      </c>
      <c r="AH68" s="434">
        <f>ROUNDUP(AH67*'01 - Dados de Entrada'!$C$181,0)</f>
        <v>1</v>
      </c>
      <c r="AI68" s="434">
        <f>ROUNDUP(AI67*'01 - Dados de Entrada'!$C$181,0)</f>
        <v>1</v>
      </c>
      <c r="AJ68" s="434">
        <f>ROUNDUP(AJ67*'01 - Dados de Entrada'!$C$181,0)</f>
        <v>1</v>
      </c>
    </row>
    <row r="69" spans="1:36" s="35" customFormat="1" ht="13.15" customHeight="1" x14ac:dyDescent="0.2">
      <c r="A69" s="36" t="s">
        <v>826</v>
      </c>
      <c r="B69" s="254">
        <f>'01 - Dados de Entrada'!$C$323</f>
        <v>2</v>
      </c>
      <c r="C69" s="254">
        <f>'01 - Dados de Entrada'!$C$323</f>
        <v>2</v>
      </c>
      <c r="D69" s="254">
        <f>'01 - Dados de Entrada'!$C$323</f>
        <v>2</v>
      </c>
      <c r="E69" s="254">
        <f>'01 - Dados de Entrada'!$C$323</f>
        <v>2</v>
      </c>
      <c r="F69" s="254">
        <f>'01 - Dados de Entrada'!$C$323</f>
        <v>2</v>
      </c>
      <c r="G69" s="254">
        <f>'01 - Dados de Entrada'!$C$323</f>
        <v>2</v>
      </c>
      <c r="H69" s="254">
        <f>'01 - Dados de Entrada'!$C$323</f>
        <v>2</v>
      </c>
      <c r="I69" s="254">
        <f>'01 - Dados de Entrada'!$C$323</f>
        <v>2</v>
      </c>
      <c r="J69" s="254">
        <f>'01 - Dados de Entrada'!$C$323</f>
        <v>2</v>
      </c>
      <c r="K69" s="254">
        <f>'01 - Dados de Entrada'!$C$323</f>
        <v>2</v>
      </c>
      <c r="L69" s="254">
        <f>'01 - Dados de Entrada'!$C$323</f>
        <v>2</v>
      </c>
      <c r="M69" s="254">
        <f>'01 - Dados de Entrada'!$C$323</f>
        <v>2</v>
      </c>
      <c r="N69" s="254">
        <f>'01 - Dados de Entrada'!$C$323</f>
        <v>2</v>
      </c>
      <c r="O69" s="254">
        <f>'01 - Dados de Entrada'!$C$323</f>
        <v>2</v>
      </c>
      <c r="P69" s="254">
        <f>'01 - Dados de Entrada'!$C$323</f>
        <v>2</v>
      </c>
      <c r="Q69" s="254">
        <f>'01 - Dados de Entrada'!$C$323</f>
        <v>2</v>
      </c>
      <c r="R69" s="254">
        <f>'01 - Dados de Entrada'!$C$323</f>
        <v>2</v>
      </c>
      <c r="S69" s="254">
        <f>'01 - Dados de Entrada'!$C$323</f>
        <v>2</v>
      </c>
      <c r="T69" s="254">
        <f>'01 - Dados de Entrada'!$C$323</f>
        <v>2</v>
      </c>
      <c r="U69" s="254">
        <f>'01 - Dados de Entrada'!$C$323</f>
        <v>2</v>
      </c>
      <c r="V69" s="254">
        <f>'01 - Dados de Entrada'!$C$323</f>
        <v>2</v>
      </c>
      <c r="W69" s="254">
        <f>'01 - Dados de Entrada'!$C$323</f>
        <v>2</v>
      </c>
      <c r="X69" s="254">
        <f>'01 - Dados de Entrada'!$C$323</f>
        <v>2</v>
      </c>
      <c r="Y69" s="254">
        <f>'01 - Dados de Entrada'!$C$323</f>
        <v>2</v>
      </c>
      <c r="Z69" s="254">
        <f>'01 - Dados de Entrada'!$C$323</f>
        <v>2</v>
      </c>
      <c r="AA69" s="254">
        <f>'01 - Dados de Entrada'!$C$323</f>
        <v>2</v>
      </c>
      <c r="AB69" s="254">
        <f>'01 - Dados de Entrada'!$C$323</f>
        <v>2</v>
      </c>
      <c r="AC69" s="254">
        <f>'01 - Dados de Entrada'!$C$323</f>
        <v>2</v>
      </c>
      <c r="AD69" s="254">
        <f>'01 - Dados de Entrada'!$C$323</f>
        <v>2</v>
      </c>
      <c r="AE69" s="254">
        <f>'01 - Dados de Entrada'!$C$323</f>
        <v>2</v>
      </c>
      <c r="AF69" s="254">
        <f>'01 - Dados de Entrada'!$C$323</f>
        <v>2</v>
      </c>
      <c r="AG69" s="254">
        <f>'01 - Dados de Entrada'!$C$323</f>
        <v>2</v>
      </c>
      <c r="AH69" s="254">
        <f>'01 - Dados de Entrada'!$C$323</f>
        <v>2</v>
      </c>
      <c r="AI69" s="254">
        <f>'01 - Dados de Entrada'!$C$323</f>
        <v>2</v>
      </c>
      <c r="AJ69" s="254">
        <f>'01 - Dados de Entrada'!$C$323</f>
        <v>2</v>
      </c>
    </row>
    <row r="70" spans="1:36" s="158" customFormat="1" ht="13.15" customHeight="1" x14ac:dyDescent="0.2">
      <c r="A70" s="36" t="s">
        <v>827</v>
      </c>
      <c r="B70" s="434">
        <f>ROUNDUP(B69*'01 - Dados de Entrada'!$C$181,0)</f>
        <v>1</v>
      </c>
      <c r="C70" s="434">
        <f>ROUNDUP(C69*'01 - Dados de Entrada'!$C$181,0)</f>
        <v>1</v>
      </c>
      <c r="D70" s="434">
        <f>ROUNDUP(D69*'01 - Dados de Entrada'!$C$181,0)</f>
        <v>1</v>
      </c>
      <c r="E70" s="434">
        <f>ROUNDUP(E69*'01 - Dados de Entrada'!$C$181,0)</f>
        <v>1</v>
      </c>
      <c r="F70" s="434">
        <f>ROUNDUP(F69*'01 - Dados de Entrada'!$C$181,0)</f>
        <v>1</v>
      </c>
      <c r="G70" s="434">
        <f>ROUNDUP(G69*'01 - Dados de Entrada'!$C$181,0)</f>
        <v>1</v>
      </c>
      <c r="H70" s="434">
        <f>ROUNDUP(H69*'01 - Dados de Entrada'!$C$181,0)</f>
        <v>1</v>
      </c>
      <c r="I70" s="434">
        <f>ROUNDUP(I69*'01 - Dados de Entrada'!$C$181,0)</f>
        <v>1</v>
      </c>
      <c r="J70" s="434">
        <f>ROUNDUP(J69*'01 - Dados de Entrada'!$C$181,0)</f>
        <v>1</v>
      </c>
      <c r="K70" s="434">
        <f>ROUNDUP(K69*'01 - Dados de Entrada'!$C$181,0)</f>
        <v>1</v>
      </c>
      <c r="L70" s="434">
        <f>ROUNDUP(L69*'01 - Dados de Entrada'!$C$181,0)</f>
        <v>1</v>
      </c>
      <c r="M70" s="434">
        <f>ROUNDUP(M69*'01 - Dados de Entrada'!$C$181,0)</f>
        <v>1</v>
      </c>
      <c r="N70" s="434">
        <f>ROUNDUP(N69*'01 - Dados de Entrada'!$C$181,0)</f>
        <v>1</v>
      </c>
      <c r="O70" s="434">
        <f>ROUNDUP(O69*'01 - Dados de Entrada'!$C$181,0)</f>
        <v>1</v>
      </c>
      <c r="P70" s="434">
        <f>ROUNDUP(P69*'01 - Dados de Entrada'!$C$181,0)</f>
        <v>1</v>
      </c>
      <c r="Q70" s="434">
        <f>ROUNDUP(Q69*'01 - Dados de Entrada'!$C$181,0)</f>
        <v>1</v>
      </c>
      <c r="R70" s="434">
        <f>ROUNDUP(R69*'01 - Dados de Entrada'!$C$181,0)</f>
        <v>1</v>
      </c>
      <c r="S70" s="434">
        <f>ROUNDUP(S69*'01 - Dados de Entrada'!$C$181,0)</f>
        <v>1</v>
      </c>
      <c r="T70" s="434">
        <f>ROUNDUP(T69*'01 - Dados de Entrada'!$C$181,0)</f>
        <v>1</v>
      </c>
      <c r="U70" s="434">
        <f>ROUNDUP(U69*'01 - Dados de Entrada'!$C$181,0)</f>
        <v>1</v>
      </c>
      <c r="V70" s="434">
        <f>ROUNDUP(V69*'01 - Dados de Entrada'!$C$181,0)</f>
        <v>1</v>
      </c>
      <c r="W70" s="434">
        <f>ROUNDUP(W69*'01 - Dados de Entrada'!$C$181,0)</f>
        <v>1</v>
      </c>
      <c r="X70" s="434">
        <f>ROUNDUP(X69*'01 - Dados de Entrada'!$C$181,0)</f>
        <v>1</v>
      </c>
      <c r="Y70" s="434">
        <f>ROUNDUP(Y69*'01 - Dados de Entrada'!$C$181,0)</f>
        <v>1</v>
      </c>
      <c r="Z70" s="434">
        <f>ROUNDUP(Z69*'01 - Dados de Entrada'!$C$181,0)</f>
        <v>1</v>
      </c>
      <c r="AA70" s="434">
        <f>ROUNDUP(AA69*'01 - Dados de Entrada'!$C$181,0)</f>
        <v>1</v>
      </c>
      <c r="AB70" s="434">
        <f>ROUNDUP(AB69*'01 - Dados de Entrada'!$C$181,0)</f>
        <v>1</v>
      </c>
      <c r="AC70" s="434">
        <f>ROUNDUP(AC69*'01 - Dados de Entrada'!$C$181,0)</f>
        <v>1</v>
      </c>
      <c r="AD70" s="434">
        <f>ROUNDUP(AD69*'01 - Dados de Entrada'!$C$181,0)</f>
        <v>1</v>
      </c>
      <c r="AE70" s="434">
        <f>ROUNDUP(AE69*'01 - Dados de Entrada'!$C$181,0)</f>
        <v>1</v>
      </c>
      <c r="AF70" s="434">
        <f>ROUNDUP(AF69*'01 - Dados de Entrada'!$C$181,0)</f>
        <v>1</v>
      </c>
      <c r="AG70" s="434">
        <f>ROUNDUP(AG69*'01 - Dados de Entrada'!$C$181,0)</f>
        <v>1</v>
      </c>
      <c r="AH70" s="434">
        <f>ROUNDUP(AH69*'01 - Dados de Entrada'!$C$181,0)</f>
        <v>1</v>
      </c>
      <c r="AI70" s="434">
        <f>ROUNDUP(AI69*'01 - Dados de Entrada'!$C$181,0)</f>
        <v>1</v>
      </c>
      <c r="AJ70" s="434">
        <f>ROUNDUP(AJ69*'01 - Dados de Entrada'!$C$181,0)</f>
        <v>1</v>
      </c>
    </row>
    <row r="71" spans="1:36" s="35" customFormat="1" ht="13.15" customHeight="1" x14ac:dyDescent="0.2">
      <c r="A71" s="36" t="s">
        <v>165</v>
      </c>
      <c r="B71" s="254">
        <f>'01 - Dados de Entrada'!$C$324</f>
        <v>2</v>
      </c>
      <c r="C71" s="254">
        <f>'01 - Dados de Entrada'!$C$324</f>
        <v>2</v>
      </c>
      <c r="D71" s="254">
        <f>'01 - Dados de Entrada'!$C$324</f>
        <v>2</v>
      </c>
      <c r="E71" s="254">
        <f>'01 - Dados de Entrada'!$C$324</f>
        <v>2</v>
      </c>
      <c r="F71" s="254">
        <f>'01 - Dados de Entrada'!$C$324</f>
        <v>2</v>
      </c>
      <c r="G71" s="254">
        <f>'01 - Dados de Entrada'!$C$324</f>
        <v>2</v>
      </c>
      <c r="H71" s="254">
        <f>'01 - Dados de Entrada'!$C$324</f>
        <v>2</v>
      </c>
      <c r="I71" s="254">
        <f>'01 - Dados de Entrada'!$C$324</f>
        <v>2</v>
      </c>
      <c r="J71" s="254">
        <f>'01 - Dados de Entrada'!$C$324</f>
        <v>2</v>
      </c>
      <c r="K71" s="254">
        <f>'01 - Dados de Entrada'!$C$324</f>
        <v>2</v>
      </c>
      <c r="L71" s="254">
        <f>'01 - Dados de Entrada'!$C$324</f>
        <v>2</v>
      </c>
      <c r="M71" s="254">
        <f>'01 - Dados de Entrada'!$C$324</f>
        <v>2</v>
      </c>
      <c r="N71" s="254">
        <f>'01 - Dados de Entrada'!$C$324</f>
        <v>2</v>
      </c>
      <c r="O71" s="254">
        <f>'01 - Dados de Entrada'!$C$324</f>
        <v>2</v>
      </c>
      <c r="P71" s="254">
        <f>'01 - Dados de Entrada'!$C$324</f>
        <v>2</v>
      </c>
      <c r="Q71" s="254">
        <f>'01 - Dados de Entrada'!$C$324</f>
        <v>2</v>
      </c>
      <c r="R71" s="254">
        <f>'01 - Dados de Entrada'!$C$324</f>
        <v>2</v>
      </c>
      <c r="S71" s="254">
        <f>'01 - Dados de Entrada'!$C$324</f>
        <v>2</v>
      </c>
      <c r="T71" s="254">
        <f>'01 - Dados de Entrada'!$C$324</f>
        <v>2</v>
      </c>
      <c r="U71" s="254">
        <f>'01 - Dados de Entrada'!$C$324</f>
        <v>2</v>
      </c>
      <c r="V71" s="254">
        <f>'01 - Dados de Entrada'!$C$324</f>
        <v>2</v>
      </c>
      <c r="W71" s="254">
        <f>'01 - Dados de Entrada'!$C$324</f>
        <v>2</v>
      </c>
      <c r="X71" s="254">
        <f>'01 - Dados de Entrada'!$C$324</f>
        <v>2</v>
      </c>
      <c r="Y71" s="254">
        <f>'01 - Dados de Entrada'!$C$324</f>
        <v>2</v>
      </c>
      <c r="Z71" s="254">
        <f>'01 - Dados de Entrada'!$C$324</f>
        <v>2</v>
      </c>
      <c r="AA71" s="254">
        <f>'01 - Dados de Entrada'!$C$324</f>
        <v>2</v>
      </c>
      <c r="AB71" s="254">
        <f>'01 - Dados de Entrada'!$C$324</f>
        <v>2</v>
      </c>
      <c r="AC71" s="254">
        <f>'01 - Dados de Entrada'!$C$324</f>
        <v>2</v>
      </c>
      <c r="AD71" s="254">
        <f>'01 - Dados de Entrada'!$C$324</f>
        <v>2</v>
      </c>
      <c r="AE71" s="254">
        <f>'01 - Dados de Entrada'!$C$324</f>
        <v>2</v>
      </c>
      <c r="AF71" s="254">
        <f>'01 - Dados de Entrada'!$C$324</f>
        <v>2</v>
      </c>
      <c r="AG71" s="254">
        <f>'01 - Dados de Entrada'!$C$324</f>
        <v>2</v>
      </c>
      <c r="AH71" s="254">
        <f>'01 - Dados de Entrada'!$C$324</f>
        <v>2</v>
      </c>
      <c r="AI71" s="254">
        <f>'01 - Dados de Entrada'!$C$324</f>
        <v>2</v>
      </c>
      <c r="AJ71" s="254">
        <f>'01 - Dados de Entrada'!$C$324</f>
        <v>2</v>
      </c>
    </row>
    <row r="72" spans="1:36" s="158" customFormat="1" ht="13.15" customHeight="1" x14ac:dyDescent="0.2">
      <c r="A72" s="36" t="s">
        <v>828</v>
      </c>
      <c r="B72" s="434">
        <f>ROUNDUP(B71*'01 - Dados de Entrada'!$C$181,0)</f>
        <v>1</v>
      </c>
      <c r="C72" s="434">
        <f>ROUNDUP(C71*'01 - Dados de Entrada'!$C$181,0)</f>
        <v>1</v>
      </c>
      <c r="D72" s="434">
        <f>ROUNDUP(D71*'01 - Dados de Entrada'!$C$181,0)</f>
        <v>1</v>
      </c>
      <c r="E72" s="434">
        <f>ROUNDUP(E71*'01 - Dados de Entrada'!$C$181,0)</f>
        <v>1</v>
      </c>
      <c r="F72" s="434">
        <f>ROUNDUP(F71*'01 - Dados de Entrada'!$C$181,0)</f>
        <v>1</v>
      </c>
      <c r="G72" s="434">
        <f>ROUNDUP(G71*'01 - Dados de Entrada'!$C$181,0)</f>
        <v>1</v>
      </c>
      <c r="H72" s="434">
        <f>ROUNDUP(H71*'01 - Dados de Entrada'!$C$181,0)</f>
        <v>1</v>
      </c>
      <c r="I72" s="434">
        <f>ROUNDUP(I71*'01 - Dados de Entrada'!$C$181,0)</f>
        <v>1</v>
      </c>
      <c r="J72" s="434">
        <f>ROUNDUP(J71*'01 - Dados de Entrada'!$C$181,0)</f>
        <v>1</v>
      </c>
      <c r="K72" s="434">
        <f>ROUNDUP(K71*'01 - Dados de Entrada'!$C$181,0)</f>
        <v>1</v>
      </c>
      <c r="L72" s="434">
        <f>ROUNDUP(L71*'01 - Dados de Entrada'!$C$181,0)</f>
        <v>1</v>
      </c>
      <c r="M72" s="434">
        <f>ROUNDUP(M71*'01 - Dados de Entrada'!$C$181,0)</f>
        <v>1</v>
      </c>
      <c r="N72" s="434">
        <f>ROUNDUP(N71*'01 - Dados de Entrada'!$C$181,0)</f>
        <v>1</v>
      </c>
      <c r="O72" s="434">
        <f>ROUNDUP(O71*'01 - Dados de Entrada'!$C$181,0)</f>
        <v>1</v>
      </c>
      <c r="P72" s="434">
        <f>ROUNDUP(P71*'01 - Dados de Entrada'!$C$181,0)</f>
        <v>1</v>
      </c>
      <c r="Q72" s="434">
        <f>ROUNDUP(Q71*'01 - Dados de Entrada'!$C$181,0)</f>
        <v>1</v>
      </c>
      <c r="R72" s="434">
        <f>ROUNDUP(R71*'01 - Dados de Entrada'!$C$181,0)</f>
        <v>1</v>
      </c>
      <c r="S72" s="434">
        <f>ROUNDUP(S71*'01 - Dados de Entrada'!$C$181,0)</f>
        <v>1</v>
      </c>
      <c r="T72" s="434">
        <f>ROUNDUP(T71*'01 - Dados de Entrada'!$C$181,0)</f>
        <v>1</v>
      </c>
      <c r="U72" s="434">
        <f>ROUNDUP(U71*'01 - Dados de Entrada'!$C$181,0)</f>
        <v>1</v>
      </c>
      <c r="V72" s="434">
        <f>ROUNDUP(V71*'01 - Dados de Entrada'!$C$181,0)</f>
        <v>1</v>
      </c>
      <c r="W72" s="434">
        <f>ROUNDUP(W71*'01 - Dados de Entrada'!$C$181,0)</f>
        <v>1</v>
      </c>
      <c r="X72" s="434">
        <f>ROUNDUP(X71*'01 - Dados de Entrada'!$C$181,0)</f>
        <v>1</v>
      </c>
      <c r="Y72" s="434">
        <f>ROUNDUP(Y71*'01 - Dados de Entrada'!$C$181,0)</f>
        <v>1</v>
      </c>
      <c r="Z72" s="434">
        <f>ROUNDUP(Z71*'01 - Dados de Entrada'!$C$181,0)</f>
        <v>1</v>
      </c>
      <c r="AA72" s="434">
        <f>ROUNDUP(AA71*'01 - Dados de Entrada'!$C$181,0)</f>
        <v>1</v>
      </c>
      <c r="AB72" s="434">
        <f>ROUNDUP(AB71*'01 - Dados de Entrada'!$C$181,0)</f>
        <v>1</v>
      </c>
      <c r="AC72" s="434">
        <f>ROUNDUP(AC71*'01 - Dados de Entrada'!$C$181,0)</f>
        <v>1</v>
      </c>
      <c r="AD72" s="434">
        <f>ROUNDUP(AD71*'01 - Dados de Entrada'!$C$181,0)</f>
        <v>1</v>
      </c>
      <c r="AE72" s="434">
        <f>ROUNDUP(AE71*'01 - Dados de Entrada'!$C$181,0)</f>
        <v>1</v>
      </c>
      <c r="AF72" s="434">
        <f>ROUNDUP(AF71*'01 - Dados de Entrada'!$C$181,0)</f>
        <v>1</v>
      </c>
      <c r="AG72" s="434">
        <f>ROUNDUP(AG71*'01 - Dados de Entrada'!$C$181,0)</f>
        <v>1</v>
      </c>
      <c r="AH72" s="434">
        <f>ROUNDUP(AH71*'01 - Dados de Entrada'!$C$181,0)</f>
        <v>1</v>
      </c>
      <c r="AI72" s="434">
        <f>ROUNDUP(AI71*'01 - Dados de Entrada'!$C$181,0)</f>
        <v>1</v>
      </c>
      <c r="AJ72" s="434">
        <f>ROUNDUP(AJ71*'01 - Dados de Entrada'!$C$181,0)</f>
        <v>1</v>
      </c>
    </row>
    <row r="73" spans="1:36" s="38" customFormat="1" ht="13.15" customHeight="1" x14ac:dyDescent="0.2">
      <c r="A73" s="54" t="s">
        <v>829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</row>
    <row r="74" spans="1:36" s="35" customFormat="1" ht="13.15" customHeight="1" x14ac:dyDescent="0.2">
      <c r="A74" s="34" t="s">
        <v>819</v>
      </c>
      <c r="B74" s="254">
        <f>'05 - Relação de funcionários'!B82+'05 - Relação de funcionários'!B83</f>
        <v>2</v>
      </c>
      <c r="C74" s="254">
        <f>'05 - Relação de funcionários'!C82+'05 - Relação de funcionários'!C83</f>
        <v>2</v>
      </c>
      <c r="D74" s="254">
        <f>'05 - Relação de funcionários'!D82+'05 - Relação de funcionários'!D83</f>
        <v>2</v>
      </c>
      <c r="E74" s="254">
        <f>'05 - Relação de funcionários'!E82+'05 - Relação de funcionários'!E83</f>
        <v>2</v>
      </c>
      <c r="F74" s="254">
        <f>'05 - Relação de funcionários'!F82+'05 - Relação de funcionários'!F83</f>
        <v>2</v>
      </c>
      <c r="G74" s="254">
        <f>'05 - Relação de funcionários'!G82+'05 - Relação de funcionários'!G83</f>
        <v>2</v>
      </c>
      <c r="H74" s="254">
        <f>'05 - Relação de funcionários'!H82+'05 - Relação de funcionários'!H83</f>
        <v>2</v>
      </c>
      <c r="I74" s="254">
        <f>'05 - Relação de funcionários'!I82+'05 - Relação de funcionários'!I83</f>
        <v>2</v>
      </c>
      <c r="J74" s="254">
        <f>'05 - Relação de funcionários'!J82+'05 - Relação de funcionários'!J83</f>
        <v>2</v>
      </c>
      <c r="K74" s="254">
        <f>'05 - Relação de funcionários'!K82+'05 - Relação de funcionários'!K83</f>
        <v>2</v>
      </c>
      <c r="L74" s="254">
        <f>'05 - Relação de funcionários'!L82+'05 - Relação de funcionários'!L83</f>
        <v>2</v>
      </c>
      <c r="M74" s="254">
        <f>'05 - Relação de funcionários'!M82+'05 - Relação de funcionários'!M83</f>
        <v>2</v>
      </c>
      <c r="N74" s="254">
        <f>'05 - Relação de funcionários'!N82+'05 - Relação de funcionários'!N83</f>
        <v>2</v>
      </c>
      <c r="O74" s="254">
        <f>'05 - Relação de funcionários'!O82+'05 - Relação de funcionários'!O83</f>
        <v>2</v>
      </c>
      <c r="P74" s="254">
        <f>'05 - Relação de funcionários'!P82+'05 - Relação de funcionários'!P83</f>
        <v>2</v>
      </c>
      <c r="Q74" s="254">
        <f>'05 - Relação de funcionários'!Q82+'05 - Relação de funcionários'!Q83</f>
        <v>2</v>
      </c>
      <c r="R74" s="254">
        <f>'05 - Relação de funcionários'!R82+'05 - Relação de funcionários'!R83</f>
        <v>2</v>
      </c>
      <c r="S74" s="254">
        <f>'05 - Relação de funcionários'!S82+'05 - Relação de funcionários'!S83</f>
        <v>2</v>
      </c>
      <c r="T74" s="254">
        <f>'05 - Relação de funcionários'!T82+'05 - Relação de funcionários'!T83</f>
        <v>2</v>
      </c>
      <c r="U74" s="254">
        <f>'05 - Relação de funcionários'!U82+'05 - Relação de funcionários'!U83</f>
        <v>2</v>
      </c>
      <c r="V74" s="254">
        <f>'05 - Relação de funcionários'!V82+'05 - Relação de funcionários'!V83</f>
        <v>2</v>
      </c>
      <c r="W74" s="254">
        <f>'05 - Relação de funcionários'!W82+'05 - Relação de funcionários'!W83</f>
        <v>2</v>
      </c>
      <c r="X74" s="254">
        <f>'05 - Relação de funcionários'!X82+'05 - Relação de funcionários'!X83</f>
        <v>2</v>
      </c>
      <c r="Y74" s="254">
        <f>'05 - Relação de funcionários'!Y82+'05 - Relação de funcionários'!Y83</f>
        <v>2</v>
      </c>
      <c r="Z74" s="254">
        <f>'05 - Relação de funcionários'!Z82+'05 - Relação de funcionários'!Z83</f>
        <v>2</v>
      </c>
      <c r="AA74" s="254">
        <f>'05 - Relação de funcionários'!AA82+'05 - Relação de funcionários'!AA83</f>
        <v>2</v>
      </c>
      <c r="AB74" s="254">
        <f>'05 - Relação de funcionários'!AB82+'05 - Relação de funcionários'!AB83</f>
        <v>2</v>
      </c>
      <c r="AC74" s="254">
        <f>'05 - Relação de funcionários'!AC82+'05 - Relação de funcionários'!AC83</f>
        <v>2</v>
      </c>
      <c r="AD74" s="254">
        <f>'05 - Relação de funcionários'!AD82+'05 - Relação de funcionários'!AD83</f>
        <v>2</v>
      </c>
      <c r="AE74" s="254">
        <f>'05 - Relação de funcionários'!AE82+'05 - Relação de funcionários'!AE83</f>
        <v>2</v>
      </c>
      <c r="AF74" s="254">
        <f>'05 - Relação de funcionários'!AF82+'05 - Relação de funcionários'!AF83</f>
        <v>2</v>
      </c>
      <c r="AG74" s="254">
        <f>'05 - Relação de funcionários'!AG82+'05 - Relação de funcionários'!AG83</f>
        <v>2</v>
      </c>
      <c r="AH74" s="254">
        <f>'05 - Relação de funcionários'!AH82+'05 - Relação de funcionários'!AH83</f>
        <v>2</v>
      </c>
      <c r="AI74" s="254">
        <f>'05 - Relação de funcionários'!AI82+'05 - Relação de funcionários'!AI83</f>
        <v>2</v>
      </c>
      <c r="AJ74" s="254">
        <f>'05 - Relação de funcionários'!AJ82+'05 - Relação de funcionários'!AJ83</f>
        <v>2</v>
      </c>
    </row>
    <row r="75" spans="1:36" s="152" customFormat="1" ht="13.15" customHeight="1" x14ac:dyDescent="0.2">
      <c r="A75" s="34" t="s">
        <v>830</v>
      </c>
      <c r="B75" s="254">
        <f>'05 - Relação de funcionários'!B84</f>
        <v>48</v>
      </c>
      <c r="C75" s="254">
        <f>'05 - Relação de funcionários'!C84</f>
        <v>48</v>
      </c>
      <c r="D75" s="254">
        <f>'05 - Relação de funcionários'!D84</f>
        <v>48</v>
      </c>
      <c r="E75" s="254">
        <f>'05 - Relação de funcionários'!E84</f>
        <v>49</v>
      </c>
      <c r="F75" s="254">
        <f>'05 - Relação de funcionários'!F84</f>
        <v>49</v>
      </c>
      <c r="G75" s="254">
        <f>'05 - Relação de funcionários'!G84</f>
        <v>49</v>
      </c>
      <c r="H75" s="254">
        <f>'05 - Relação de funcionários'!H84</f>
        <v>50</v>
      </c>
      <c r="I75" s="254">
        <f>'05 - Relação de funcionários'!I84</f>
        <v>50</v>
      </c>
      <c r="J75" s="254">
        <f>'05 - Relação de funcionários'!J84</f>
        <v>50</v>
      </c>
      <c r="K75" s="254">
        <f>'05 - Relação de funcionários'!K84</f>
        <v>50</v>
      </c>
      <c r="L75" s="254">
        <f>'05 - Relação de funcionários'!L84</f>
        <v>50</v>
      </c>
      <c r="M75" s="254">
        <f>'05 - Relação de funcionários'!M84</f>
        <v>51</v>
      </c>
      <c r="N75" s="254">
        <f>'05 - Relação de funcionários'!N84</f>
        <v>51</v>
      </c>
      <c r="O75" s="254">
        <f>'05 - Relação de funcionários'!O84</f>
        <v>51</v>
      </c>
      <c r="P75" s="254">
        <f>'05 - Relação de funcionários'!P84</f>
        <v>51</v>
      </c>
      <c r="Q75" s="254">
        <f>'05 - Relação de funcionários'!Q84</f>
        <v>51</v>
      </c>
      <c r="R75" s="254">
        <f>'05 - Relação de funcionários'!R84</f>
        <v>51</v>
      </c>
      <c r="S75" s="254">
        <f>'05 - Relação de funcionários'!S84</f>
        <v>51</v>
      </c>
      <c r="T75" s="254">
        <f>'05 - Relação de funcionários'!T84</f>
        <v>51</v>
      </c>
      <c r="U75" s="254">
        <f>'05 - Relação de funcionários'!U84</f>
        <v>51</v>
      </c>
      <c r="V75" s="254">
        <f>'05 - Relação de funcionários'!V84</f>
        <v>51</v>
      </c>
      <c r="W75" s="254">
        <f>'05 - Relação de funcionários'!W84</f>
        <v>51</v>
      </c>
      <c r="X75" s="254">
        <f>'05 - Relação de funcionários'!X84</f>
        <v>51</v>
      </c>
      <c r="Y75" s="254">
        <f>'05 - Relação de funcionários'!Y84</f>
        <v>51</v>
      </c>
      <c r="Z75" s="254">
        <f>'05 - Relação de funcionários'!Z84</f>
        <v>51</v>
      </c>
      <c r="AA75" s="254">
        <f>'05 - Relação de funcionários'!AA84</f>
        <v>51</v>
      </c>
      <c r="AB75" s="254">
        <f>'05 - Relação de funcionários'!AB84</f>
        <v>50</v>
      </c>
      <c r="AC75" s="254">
        <f>'05 - Relação de funcionários'!AC84</f>
        <v>50</v>
      </c>
      <c r="AD75" s="254">
        <f>'05 - Relação de funcionários'!AD84</f>
        <v>50</v>
      </c>
      <c r="AE75" s="254">
        <f>'05 - Relação de funcionários'!AE84</f>
        <v>50</v>
      </c>
      <c r="AF75" s="254">
        <f>'05 - Relação de funcionários'!AF84</f>
        <v>50</v>
      </c>
      <c r="AG75" s="254">
        <f>'05 - Relação de funcionários'!AG84</f>
        <v>50</v>
      </c>
      <c r="AH75" s="254">
        <f>'05 - Relação de funcionários'!AH84</f>
        <v>49</v>
      </c>
      <c r="AI75" s="254">
        <f>'05 - Relação de funcionários'!AI84</f>
        <v>49</v>
      </c>
      <c r="AJ75" s="254">
        <f>'05 - Relação de funcionários'!AJ84</f>
        <v>49</v>
      </c>
    </row>
    <row r="76" spans="1:36" s="158" customFormat="1" ht="13.15" customHeight="1" x14ac:dyDescent="0.2">
      <c r="A76" s="400" t="s">
        <v>157</v>
      </c>
      <c r="B76" s="498">
        <f>B75</f>
        <v>48</v>
      </c>
      <c r="C76" s="498">
        <f t="shared" ref="C76:AJ76" si="8">C75</f>
        <v>48</v>
      </c>
      <c r="D76" s="498">
        <f t="shared" si="8"/>
        <v>48</v>
      </c>
      <c r="E76" s="498">
        <f t="shared" si="8"/>
        <v>49</v>
      </c>
      <c r="F76" s="498">
        <f t="shared" si="8"/>
        <v>49</v>
      </c>
      <c r="G76" s="498">
        <f t="shared" si="8"/>
        <v>49</v>
      </c>
      <c r="H76" s="498">
        <f t="shared" si="8"/>
        <v>50</v>
      </c>
      <c r="I76" s="498">
        <f t="shared" si="8"/>
        <v>50</v>
      </c>
      <c r="J76" s="498">
        <f t="shared" si="8"/>
        <v>50</v>
      </c>
      <c r="K76" s="498">
        <f t="shared" si="8"/>
        <v>50</v>
      </c>
      <c r="L76" s="498">
        <f t="shared" si="8"/>
        <v>50</v>
      </c>
      <c r="M76" s="498">
        <f t="shared" si="8"/>
        <v>51</v>
      </c>
      <c r="N76" s="498">
        <f t="shared" si="8"/>
        <v>51</v>
      </c>
      <c r="O76" s="498">
        <f t="shared" si="8"/>
        <v>51</v>
      </c>
      <c r="P76" s="498">
        <f t="shared" si="8"/>
        <v>51</v>
      </c>
      <c r="Q76" s="498">
        <f t="shared" si="8"/>
        <v>51</v>
      </c>
      <c r="R76" s="498">
        <f t="shared" si="8"/>
        <v>51</v>
      </c>
      <c r="S76" s="498">
        <f t="shared" si="8"/>
        <v>51</v>
      </c>
      <c r="T76" s="498">
        <f t="shared" si="8"/>
        <v>51</v>
      </c>
      <c r="U76" s="498">
        <f t="shared" si="8"/>
        <v>51</v>
      </c>
      <c r="V76" s="498">
        <f t="shared" si="8"/>
        <v>51</v>
      </c>
      <c r="W76" s="498">
        <f t="shared" si="8"/>
        <v>51</v>
      </c>
      <c r="X76" s="498">
        <f t="shared" si="8"/>
        <v>51</v>
      </c>
      <c r="Y76" s="498">
        <f t="shared" si="8"/>
        <v>51</v>
      </c>
      <c r="Z76" s="498">
        <f t="shared" si="8"/>
        <v>51</v>
      </c>
      <c r="AA76" s="498">
        <f t="shared" si="8"/>
        <v>51</v>
      </c>
      <c r="AB76" s="498">
        <f t="shared" si="8"/>
        <v>50</v>
      </c>
      <c r="AC76" s="498">
        <f t="shared" si="8"/>
        <v>50</v>
      </c>
      <c r="AD76" s="498">
        <f t="shared" si="8"/>
        <v>50</v>
      </c>
      <c r="AE76" s="498">
        <f t="shared" si="8"/>
        <v>50</v>
      </c>
      <c r="AF76" s="498">
        <f t="shared" si="8"/>
        <v>50</v>
      </c>
      <c r="AG76" s="498">
        <f t="shared" si="8"/>
        <v>50</v>
      </c>
      <c r="AH76" s="498">
        <f t="shared" si="8"/>
        <v>49</v>
      </c>
      <c r="AI76" s="498">
        <f t="shared" si="8"/>
        <v>49</v>
      </c>
      <c r="AJ76" s="498">
        <f t="shared" si="8"/>
        <v>49</v>
      </c>
    </row>
    <row r="77" spans="1:36" s="35" customFormat="1" ht="13.15" customHeight="1" x14ac:dyDescent="0.2">
      <c r="A77" s="263" t="s">
        <v>831</v>
      </c>
      <c r="B77" s="316"/>
      <c r="C77" s="316"/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  <c r="AG77" s="316"/>
      <c r="AH77" s="316"/>
      <c r="AI77" s="316"/>
      <c r="AJ77" s="316"/>
    </row>
    <row r="78" spans="1:36" s="35" customFormat="1" ht="13.15" customHeight="1" x14ac:dyDescent="0.2">
      <c r="A78" s="34" t="s">
        <v>172</v>
      </c>
      <c r="B78" s="254">
        <v>0</v>
      </c>
      <c r="C78" s="254">
        <f>'01 - Dados de Entrada'!$C$349</f>
        <v>200</v>
      </c>
      <c r="D78" s="254">
        <f>'01 - Dados de Entrada'!$C$349</f>
        <v>200</v>
      </c>
      <c r="E78" s="254">
        <f>'01 - Dados de Entrada'!$C$349</f>
        <v>200</v>
      </c>
      <c r="F78" s="254">
        <f>'01 - Dados de Entrada'!$C$349</f>
        <v>200</v>
      </c>
      <c r="G78" s="254">
        <f>'01 - Dados de Entrada'!$C$349</f>
        <v>200</v>
      </c>
      <c r="H78" s="254">
        <f>'01 - Dados de Entrada'!$C$349</f>
        <v>200</v>
      </c>
      <c r="I78" s="254">
        <f>'01 - Dados de Entrada'!$C$349</f>
        <v>200</v>
      </c>
      <c r="J78" s="254">
        <f>'01 - Dados de Entrada'!$C$349</f>
        <v>200</v>
      </c>
      <c r="K78" s="254">
        <f>'01 - Dados de Entrada'!$C$349</f>
        <v>200</v>
      </c>
      <c r="L78" s="254">
        <f>'01 - Dados de Entrada'!$C$349</f>
        <v>200</v>
      </c>
      <c r="M78" s="254">
        <f>'01 - Dados de Entrada'!$C$349</f>
        <v>200</v>
      </c>
      <c r="N78" s="254">
        <f>'01 - Dados de Entrada'!$C$349</f>
        <v>200</v>
      </c>
      <c r="O78" s="254">
        <f>'01 - Dados de Entrada'!$C$349</f>
        <v>200</v>
      </c>
      <c r="P78" s="254">
        <f>'01 - Dados de Entrada'!$C$349</f>
        <v>200</v>
      </c>
      <c r="Q78" s="254">
        <f>'01 - Dados de Entrada'!$C$349</f>
        <v>200</v>
      </c>
      <c r="R78" s="254">
        <f>'01 - Dados de Entrada'!$C$349</f>
        <v>200</v>
      </c>
      <c r="S78" s="254">
        <f>'01 - Dados de Entrada'!$C$349</f>
        <v>200</v>
      </c>
      <c r="T78" s="254">
        <f>'01 - Dados de Entrada'!$C$349</f>
        <v>200</v>
      </c>
      <c r="U78" s="254">
        <f>'01 - Dados de Entrada'!$C$349</f>
        <v>200</v>
      </c>
      <c r="V78" s="254">
        <f>'01 - Dados de Entrada'!$C$349</f>
        <v>200</v>
      </c>
      <c r="W78" s="254">
        <f>'01 - Dados de Entrada'!$C$349</f>
        <v>200</v>
      </c>
      <c r="X78" s="254">
        <f>'01 - Dados de Entrada'!$C$349</f>
        <v>200</v>
      </c>
      <c r="Y78" s="254">
        <f>'01 - Dados de Entrada'!$C$349</f>
        <v>200</v>
      </c>
      <c r="Z78" s="254">
        <f>'01 - Dados de Entrada'!$C$349</f>
        <v>200</v>
      </c>
      <c r="AA78" s="254">
        <f>'01 - Dados de Entrada'!$C$349</f>
        <v>200</v>
      </c>
      <c r="AB78" s="254">
        <f>'01 - Dados de Entrada'!$C$349</f>
        <v>200</v>
      </c>
      <c r="AC78" s="254">
        <f>'01 - Dados de Entrada'!$C$349</f>
        <v>200</v>
      </c>
      <c r="AD78" s="254">
        <f>'01 - Dados de Entrada'!$C$349</f>
        <v>200</v>
      </c>
      <c r="AE78" s="254">
        <f>'01 - Dados de Entrada'!$C$349</f>
        <v>200</v>
      </c>
      <c r="AF78" s="254">
        <f>'01 - Dados de Entrada'!$C$349</f>
        <v>200</v>
      </c>
      <c r="AG78" s="254">
        <f>'01 - Dados de Entrada'!$C$349</f>
        <v>200</v>
      </c>
      <c r="AH78" s="254">
        <f>'01 - Dados de Entrada'!$C$349</f>
        <v>200</v>
      </c>
      <c r="AI78" s="254">
        <f>'01 - Dados de Entrada'!$C$349</f>
        <v>200</v>
      </c>
      <c r="AJ78" s="254">
        <f>'01 - Dados de Entrada'!$C$349</f>
        <v>200</v>
      </c>
    </row>
    <row r="79" spans="1:36" s="158" customFormat="1" ht="13.15" customHeight="1" x14ac:dyDescent="0.2">
      <c r="A79" s="403"/>
      <c r="B79" s="403"/>
      <c r="C79" s="403"/>
      <c r="D79" s="403"/>
      <c r="E79" s="403"/>
      <c r="F79" s="403"/>
      <c r="G79" s="403"/>
      <c r="H79" s="403"/>
      <c r="I79" s="403"/>
      <c r="J79" s="403"/>
      <c r="K79" s="403"/>
      <c r="L79" s="403"/>
      <c r="M79" s="403"/>
      <c r="N79" s="403"/>
      <c r="O79" s="403"/>
      <c r="P79" s="403"/>
      <c r="Q79" s="403"/>
      <c r="R79" s="403"/>
      <c r="S79" s="403"/>
      <c r="T79" s="403"/>
      <c r="U79" s="403"/>
      <c r="V79" s="403"/>
      <c r="W79" s="403"/>
      <c r="X79" s="403"/>
      <c r="Y79" s="403"/>
      <c r="Z79" s="403"/>
      <c r="AA79" s="403"/>
      <c r="AB79" s="403"/>
      <c r="AC79" s="403"/>
      <c r="AD79" s="403"/>
      <c r="AE79" s="403"/>
      <c r="AF79" s="403"/>
      <c r="AG79" s="403"/>
      <c r="AH79" s="403"/>
      <c r="AI79" s="403"/>
      <c r="AJ79" s="403"/>
    </row>
  </sheetData>
  <pageMargins left="0.51181102362204722" right="0.51181102362204722" top="0.78740157480314965" bottom="0.78740157480314965" header="0.31496062992125984" footer="0.31496062992125984"/>
  <pageSetup paperSize="9" scale="36" orientation="landscape" r:id="rId1"/>
  <ignoredErrors>
    <ignoredError sqref="B69:AJ69 B27:AJ2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/>
  <dimension ref="A1:AJ86"/>
  <sheetViews>
    <sheetView showGridLines="0" zoomScale="85" zoomScaleNormal="85" workbookViewId="0">
      <pane xSplit="1" ySplit="5" topLeftCell="B2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8.7109375" defaultRowHeight="13.15" customHeight="1" x14ac:dyDescent="0.2"/>
  <cols>
    <col min="1" max="1" width="72.7109375" style="13" customWidth="1"/>
    <col min="2" max="2" width="9.28515625" style="14" bestFit="1" customWidth="1"/>
    <col min="3" max="16384" width="8.7109375" style="14"/>
  </cols>
  <sheetData>
    <row r="1" spans="1:36" s="68" customFormat="1" ht="13.15" customHeight="1" x14ac:dyDescent="0.2">
      <c r="A1" s="21" t="s">
        <v>0</v>
      </c>
      <c r="B1" s="21"/>
      <c r="C1" s="67"/>
    </row>
    <row r="2" spans="1:36" s="68" customFormat="1" ht="13.15" customHeight="1" x14ac:dyDescent="0.2">
      <c r="A2" s="21" t="s">
        <v>1</v>
      </c>
      <c r="B2" s="21"/>
      <c r="C2" s="67"/>
    </row>
    <row r="3" spans="1:36" s="68" customFormat="1" ht="13.15" customHeight="1" x14ac:dyDescent="0.2">
      <c r="A3" s="21" t="s">
        <v>832</v>
      </c>
      <c r="B3" s="21"/>
      <c r="C3" s="67"/>
      <c r="I3" s="493"/>
    </row>
    <row r="5" spans="1:36" ht="13.15" customHeight="1" x14ac:dyDescent="0.2">
      <c r="A5" s="69" t="s">
        <v>833</v>
      </c>
      <c r="B5" s="70" t="s">
        <v>775</v>
      </c>
      <c r="C5" s="70" t="s">
        <v>776</v>
      </c>
      <c r="D5" s="70" t="s">
        <v>777</v>
      </c>
      <c r="E5" s="70" t="s">
        <v>778</v>
      </c>
      <c r="F5" s="70" t="s">
        <v>779</v>
      </c>
      <c r="G5" s="70" t="s">
        <v>780</v>
      </c>
      <c r="H5" s="70" t="s">
        <v>781</v>
      </c>
      <c r="I5" s="70" t="s">
        <v>782</v>
      </c>
      <c r="J5" s="70" t="s">
        <v>783</v>
      </c>
      <c r="K5" s="70" t="s">
        <v>717</v>
      </c>
      <c r="L5" s="70" t="s">
        <v>718</v>
      </c>
      <c r="M5" s="70" t="s">
        <v>719</v>
      </c>
      <c r="N5" s="70" t="s">
        <v>720</v>
      </c>
      <c r="O5" s="70" t="s">
        <v>721</v>
      </c>
      <c r="P5" s="70" t="s">
        <v>722</v>
      </c>
      <c r="Q5" s="70" t="s">
        <v>723</v>
      </c>
      <c r="R5" s="70" t="s">
        <v>724</v>
      </c>
      <c r="S5" s="70" t="s">
        <v>725</v>
      </c>
      <c r="T5" s="70" t="s">
        <v>726</v>
      </c>
      <c r="U5" s="70" t="s">
        <v>727</v>
      </c>
      <c r="V5" s="70" t="s">
        <v>728</v>
      </c>
      <c r="W5" s="70" t="s">
        <v>729</v>
      </c>
      <c r="X5" s="70" t="s">
        <v>730</v>
      </c>
      <c r="Y5" s="70" t="s">
        <v>731</v>
      </c>
      <c r="Z5" s="70" t="s">
        <v>732</v>
      </c>
      <c r="AA5" s="70" t="s">
        <v>733</v>
      </c>
      <c r="AB5" s="70" t="s">
        <v>734</v>
      </c>
      <c r="AC5" s="70" t="s">
        <v>735</v>
      </c>
      <c r="AD5" s="70" t="s">
        <v>736</v>
      </c>
      <c r="AE5" s="70" t="s">
        <v>737</v>
      </c>
      <c r="AF5" s="70" t="s">
        <v>738</v>
      </c>
      <c r="AG5" s="70" t="s">
        <v>739</v>
      </c>
      <c r="AH5" s="70" t="s">
        <v>740</v>
      </c>
      <c r="AI5" s="70" t="s">
        <v>741</v>
      </c>
      <c r="AJ5" s="70" t="s">
        <v>742</v>
      </c>
    </row>
    <row r="6" spans="1:36" s="40" customFormat="1" ht="13.15" customHeight="1" x14ac:dyDescent="0.2">
      <c r="A6" s="39" t="s">
        <v>834</v>
      </c>
      <c r="B6" s="37">
        <f xml:space="preserve"> SUM( B19:B38 )</f>
        <v>23</v>
      </c>
      <c r="C6" s="37">
        <f t="shared" ref="C6:AJ6" si="0" xml:space="preserve"> SUM( C19:C38 )</f>
        <v>23</v>
      </c>
      <c r="D6" s="37">
        <f t="shared" si="0"/>
        <v>23</v>
      </c>
      <c r="E6" s="37">
        <f t="shared" si="0"/>
        <v>23</v>
      </c>
      <c r="F6" s="37">
        <f t="shared" si="0"/>
        <v>23</v>
      </c>
      <c r="G6" s="37">
        <f t="shared" si="0"/>
        <v>23</v>
      </c>
      <c r="H6" s="37">
        <f t="shared" si="0"/>
        <v>23</v>
      </c>
      <c r="I6" s="37">
        <f t="shared" si="0"/>
        <v>23</v>
      </c>
      <c r="J6" s="37">
        <f t="shared" si="0"/>
        <v>23</v>
      </c>
      <c r="K6" s="37">
        <f t="shared" si="0"/>
        <v>23</v>
      </c>
      <c r="L6" s="37">
        <f t="shared" si="0"/>
        <v>23</v>
      </c>
      <c r="M6" s="37">
        <f t="shared" si="0"/>
        <v>23</v>
      </c>
      <c r="N6" s="37">
        <f t="shared" si="0"/>
        <v>23</v>
      </c>
      <c r="O6" s="37">
        <f t="shared" si="0"/>
        <v>23</v>
      </c>
      <c r="P6" s="37">
        <f t="shared" si="0"/>
        <v>23</v>
      </c>
      <c r="Q6" s="37">
        <f t="shared" si="0"/>
        <v>23</v>
      </c>
      <c r="R6" s="37">
        <f t="shared" si="0"/>
        <v>23</v>
      </c>
      <c r="S6" s="37">
        <f t="shared" si="0"/>
        <v>23</v>
      </c>
      <c r="T6" s="37">
        <f t="shared" si="0"/>
        <v>23</v>
      </c>
      <c r="U6" s="37">
        <f t="shared" si="0"/>
        <v>23</v>
      </c>
      <c r="V6" s="37">
        <f t="shared" si="0"/>
        <v>23</v>
      </c>
      <c r="W6" s="37">
        <f t="shared" si="0"/>
        <v>23</v>
      </c>
      <c r="X6" s="37">
        <f t="shared" si="0"/>
        <v>23</v>
      </c>
      <c r="Y6" s="37">
        <f t="shared" si="0"/>
        <v>23</v>
      </c>
      <c r="Z6" s="37">
        <f t="shared" si="0"/>
        <v>23</v>
      </c>
      <c r="AA6" s="37">
        <f t="shared" si="0"/>
        <v>23</v>
      </c>
      <c r="AB6" s="37">
        <f t="shared" si="0"/>
        <v>23</v>
      </c>
      <c r="AC6" s="37">
        <f t="shared" si="0"/>
        <v>23</v>
      </c>
      <c r="AD6" s="37">
        <f t="shared" si="0"/>
        <v>23</v>
      </c>
      <c r="AE6" s="37">
        <f t="shared" si="0"/>
        <v>23</v>
      </c>
      <c r="AF6" s="37">
        <f t="shared" si="0"/>
        <v>23</v>
      </c>
      <c r="AG6" s="37">
        <f t="shared" si="0"/>
        <v>23</v>
      </c>
      <c r="AH6" s="37">
        <f t="shared" si="0"/>
        <v>23</v>
      </c>
      <c r="AI6" s="37">
        <f t="shared" si="0"/>
        <v>23</v>
      </c>
      <c r="AJ6" s="37">
        <f t="shared" si="0"/>
        <v>23</v>
      </c>
    </row>
    <row r="7" spans="1:36" s="40" customFormat="1" ht="13.15" customHeight="1" x14ac:dyDescent="0.2">
      <c r="A7" s="39" t="s">
        <v>801</v>
      </c>
      <c r="B7" s="37">
        <f t="shared" ref="B7:AJ7" si="1" xml:space="preserve"> SUM( B41:B41 )</f>
        <v>1</v>
      </c>
      <c r="C7" s="37">
        <f t="shared" si="1"/>
        <v>1</v>
      </c>
      <c r="D7" s="37">
        <f t="shared" si="1"/>
        <v>1</v>
      </c>
      <c r="E7" s="37">
        <f t="shared" si="1"/>
        <v>1</v>
      </c>
      <c r="F7" s="37">
        <f t="shared" si="1"/>
        <v>1</v>
      </c>
      <c r="G7" s="37">
        <f t="shared" si="1"/>
        <v>1</v>
      </c>
      <c r="H7" s="37">
        <f t="shared" si="1"/>
        <v>1</v>
      </c>
      <c r="I7" s="37">
        <f t="shared" si="1"/>
        <v>1</v>
      </c>
      <c r="J7" s="37">
        <f t="shared" si="1"/>
        <v>1</v>
      </c>
      <c r="K7" s="37">
        <f t="shared" si="1"/>
        <v>1</v>
      </c>
      <c r="L7" s="37">
        <f t="shared" si="1"/>
        <v>1</v>
      </c>
      <c r="M7" s="37">
        <f t="shared" si="1"/>
        <v>1</v>
      </c>
      <c r="N7" s="37">
        <f t="shared" si="1"/>
        <v>1</v>
      </c>
      <c r="O7" s="37">
        <f t="shared" si="1"/>
        <v>1</v>
      </c>
      <c r="P7" s="37">
        <f t="shared" si="1"/>
        <v>1</v>
      </c>
      <c r="Q7" s="37">
        <f t="shared" si="1"/>
        <v>1</v>
      </c>
      <c r="R7" s="37">
        <f t="shared" si="1"/>
        <v>1</v>
      </c>
      <c r="S7" s="37">
        <f t="shared" si="1"/>
        <v>1</v>
      </c>
      <c r="T7" s="37">
        <f t="shared" si="1"/>
        <v>1</v>
      </c>
      <c r="U7" s="37">
        <f t="shared" si="1"/>
        <v>1</v>
      </c>
      <c r="V7" s="37">
        <f t="shared" si="1"/>
        <v>1</v>
      </c>
      <c r="W7" s="37">
        <f t="shared" si="1"/>
        <v>1</v>
      </c>
      <c r="X7" s="37">
        <f t="shared" si="1"/>
        <v>1</v>
      </c>
      <c r="Y7" s="37">
        <f t="shared" si="1"/>
        <v>1</v>
      </c>
      <c r="Z7" s="37">
        <f t="shared" si="1"/>
        <v>1</v>
      </c>
      <c r="AA7" s="37">
        <f t="shared" si="1"/>
        <v>1</v>
      </c>
      <c r="AB7" s="37">
        <f t="shared" si="1"/>
        <v>1</v>
      </c>
      <c r="AC7" s="37">
        <f t="shared" si="1"/>
        <v>1</v>
      </c>
      <c r="AD7" s="37">
        <f t="shared" si="1"/>
        <v>1</v>
      </c>
      <c r="AE7" s="37">
        <f t="shared" si="1"/>
        <v>1</v>
      </c>
      <c r="AF7" s="37">
        <f t="shared" si="1"/>
        <v>1</v>
      </c>
      <c r="AG7" s="37">
        <f t="shared" si="1"/>
        <v>1</v>
      </c>
      <c r="AH7" s="37">
        <f t="shared" si="1"/>
        <v>1</v>
      </c>
      <c r="AI7" s="37">
        <f t="shared" si="1"/>
        <v>1</v>
      </c>
      <c r="AJ7" s="37">
        <f t="shared" si="1"/>
        <v>1</v>
      </c>
    </row>
    <row r="8" spans="1:36" s="40" customFormat="1" ht="13.15" customHeight="1" x14ac:dyDescent="0.2">
      <c r="A8" s="39" t="s">
        <v>835</v>
      </c>
      <c r="B8" s="37">
        <f t="shared" ref="B8:AJ8" si="2" xml:space="preserve"> SUM( B44:B53 )</f>
        <v>103</v>
      </c>
      <c r="C8" s="37">
        <f t="shared" si="2"/>
        <v>103</v>
      </c>
      <c r="D8" s="37">
        <f t="shared" si="2"/>
        <v>103</v>
      </c>
      <c r="E8" s="37">
        <f t="shared" si="2"/>
        <v>103</v>
      </c>
      <c r="F8" s="37">
        <f t="shared" si="2"/>
        <v>103</v>
      </c>
      <c r="G8" s="37">
        <f t="shared" si="2"/>
        <v>113</v>
      </c>
      <c r="H8" s="37">
        <f t="shared" si="2"/>
        <v>113</v>
      </c>
      <c r="I8" s="37">
        <f t="shared" si="2"/>
        <v>117</v>
      </c>
      <c r="J8" s="37">
        <f t="shared" si="2"/>
        <v>117</v>
      </c>
      <c r="K8" s="37">
        <f t="shared" si="2"/>
        <v>117</v>
      </c>
      <c r="L8" s="37">
        <f t="shared" si="2"/>
        <v>117</v>
      </c>
      <c r="M8" s="37">
        <f t="shared" si="2"/>
        <v>117</v>
      </c>
      <c r="N8" s="37">
        <f t="shared" si="2"/>
        <v>117</v>
      </c>
      <c r="O8" s="37">
        <f t="shared" si="2"/>
        <v>117</v>
      </c>
      <c r="P8" s="37">
        <f t="shared" si="2"/>
        <v>117</v>
      </c>
      <c r="Q8" s="37">
        <f t="shared" si="2"/>
        <v>117</v>
      </c>
      <c r="R8" s="37">
        <f t="shared" si="2"/>
        <v>117</v>
      </c>
      <c r="S8" s="37">
        <f t="shared" si="2"/>
        <v>117</v>
      </c>
      <c r="T8" s="37">
        <f t="shared" si="2"/>
        <v>117</v>
      </c>
      <c r="U8" s="37">
        <f t="shared" si="2"/>
        <v>117</v>
      </c>
      <c r="V8" s="37">
        <f t="shared" si="2"/>
        <v>117</v>
      </c>
      <c r="W8" s="37">
        <f t="shared" si="2"/>
        <v>117</v>
      </c>
      <c r="X8" s="37">
        <f t="shared" si="2"/>
        <v>117</v>
      </c>
      <c r="Y8" s="37">
        <f t="shared" si="2"/>
        <v>117</v>
      </c>
      <c r="Z8" s="37">
        <f t="shared" si="2"/>
        <v>117</v>
      </c>
      <c r="AA8" s="37">
        <f t="shared" si="2"/>
        <v>117</v>
      </c>
      <c r="AB8" s="37">
        <f t="shared" si="2"/>
        <v>117</v>
      </c>
      <c r="AC8" s="37">
        <f t="shared" si="2"/>
        <v>117</v>
      </c>
      <c r="AD8" s="37">
        <f t="shared" si="2"/>
        <v>117</v>
      </c>
      <c r="AE8" s="37">
        <f t="shared" si="2"/>
        <v>117</v>
      </c>
      <c r="AF8" s="37">
        <f t="shared" si="2"/>
        <v>117</v>
      </c>
      <c r="AG8" s="37">
        <f t="shared" si="2"/>
        <v>117</v>
      </c>
      <c r="AH8" s="37">
        <f t="shared" si="2"/>
        <v>117</v>
      </c>
      <c r="AI8" s="37">
        <f t="shared" si="2"/>
        <v>117</v>
      </c>
      <c r="AJ8" s="37">
        <f t="shared" si="2"/>
        <v>117</v>
      </c>
    </row>
    <row r="9" spans="1:36" s="258" customFormat="1" ht="13.15" customHeight="1" x14ac:dyDescent="0.2">
      <c r="A9" s="32" t="s">
        <v>836</v>
      </c>
      <c r="B9" s="254">
        <f>SUM(B55:B56)</f>
        <v>5</v>
      </c>
      <c r="C9" s="254">
        <f t="shared" ref="C9:AJ9" si="3">SUM(C55:C56)</f>
        <v>7</v>
      </c>
      <c r="D9" s="254">
        <f t="shared" si="3"/>
        <v>8</v>
      </c>
      <c r="E9" s="254">
        <f t="shared" si="3"/>
        <v>8</v>
      </c>
      <c r="F9" s="254">
        <f t="shared" si="3"/>
        <v>9</v>
      </c>
      <c r="G9" s="254">
        <f t="shared" si="3"/>
        <v>9</v>
      </c>
      <c r="H9" s="254">
        <f t="shared" si="3"/>
        <v>9</v>
      </c>
      <c r="I9" s="254">
        <f t="shared" si="3"/>
        <v>9</v>
      </c>
      <c r="J9" s="254">
        <f t="shared" si="3"/>
        <v>9</v>
      </c>
      <c r="K9" s="254">
        <f t="shared" si="3"/>
        <v>9</v>
      </c>
      <c r="L9" s="254">
        <f t="shared" si="3"/>
        <v>9</v>
      </c>
      <c r="M9" s="254">
        <f t="shared" si="3"/>
        <v>9</v>
      </c>
      <c r="N9" s="254">
        <f t="shared" si="3"/>
        <v>9</v>
      </c>
      <c r="O9" s="254">
        <f t="shared" si="3"/>
        <v>9</v>
      </c>
      <c r="P9" s="254">
        <f t="shared" si="3"/>
        <v>9</v>
      </c>
      <c r="Q9" s="254">
        <f t="shared" si="3"/>
        <v>9</v>
      </c>
      <c r="R9" s="254">
        <f t="shared" si="3"/>
        <v>9</v>
      </c>
      <c r="S9" s="254">
        <f t="shared" si="3"/>
        <v>9</v>
      </c>
      <c r="T9" s="254">
        <f t="shared" si="3"/>
        <v>9</v>
      </c>
      <c r="U9" s="254">
        <f t="shared" si="3"/>
        <v>9</v>
      </c>
      <c r="V9" s="254">
        <f t="shared" si="3"/>
        <v>9</v>
      </c>
      <c r="W9" s="254">
        <f t="shared" si="3"/>
        <v>9</v>
      </c>
      <c r="X9" s="254">
        <f t="shared" si="3"/>
        <v>9</v>
      </c>
      <c r="Y9" s="254">
        <f t="shared" si="3"/>
        <v>9</v>
      </c>
      <c r="Z9" s="254">
        <f t="shared" si="3"/>
        <v>9</v>
      </c>
      <c r="AA9" s="254">
        <f t="shared" si="3"/>
        <v>9</v>
      </c>
      <c r="AB9" s="254">
        <f t="shared" si="3"/>
        <v>9</v>
      </c>
      <c r="AC9" s="254">
        <f t="shared" si="3"/>
        <v>9</v>
      </c>
      <c r="AD9" s="254">
        <f t="shared" si="3"/>
        <v>9</v>
      </c>
      <c r="AE9" s="254">
        <f t="shared" si="3"/>
        <v>9</v>
      </c>
      <c r="AF9" s="254">
        <f t="shared" si="3"/>
        <v>9</v>
      </c>
      <c r="AG9" s="254">
        <f t="shared" si="3"/>
        <v>9</v>
      </c>
      <c r="AH9" s="254">
        <f t="shared" si="3"/>
        <v>9</v>
      </c>
      <c r="AI9" s="254">
        <f t="shared" si="3"/>
        <v>9</v>
      </c>
      <c r="AJ9" s="254">
        <f t="shared" si="3"/>
        <v>9</v>
      </c>
    </row>
    <row r="10" spans="1:36" s="258" customFormat="1" ht="13.15" customHeight="1" x14ac:dyDescent="0.2">
      <c r="A10" s="468" t="s">
        <v>837</v>
      </c>
      <c r="B10" s="254">
        <f t="shared" ref="B10:AJ10" si="4">SUM(B58:B58)</f>
        <v>2</v>
      </c>
      <c r="C10" s="254">
        <f t="shared" si="4"/>
        <v>2</v>
      </c>
      <c r="D10" s="254">
        <f t="shared" si="4"/>
        <v>2</v>
      </c>
      <c r="E10" s="254">
        <f t="shared" si="4"/>
        <v>2</v>
      </c>
      <c r="F10" s="254">
        <f t="shared" si="4"/>
        <v>2</v>
      </c>
      <c r="G10" s="254">
        <f t="shared" si="4"/>
        <v>2</v>
      </c>
      <c r="H10" s="254">
        <f t="shared" si="4"/>
        <v>2</v>
      </c>
      <c r="I10" s="254">
        <f t="shared" si="4"/>
        <v>2</v>
      </c>
      <c r="J10" s="254">
        <f t="shared" si="4"/>
        <v>2</v>
      </c>
      <c r="K10" s="254">
        <f t="shared" si="4"/>
        <v>2</v>
      </c>
      <c r="L10" s="254">
        <f t="shared" si="4"/>
        <v>2</v>
      </c>
      <c r="M10" s="254">
        <f t="shared" si="4"/>
        <v>2</v>
      </c>
      <c r="N10" s="254">
        <f t="shared" si="4"/>
        <v>2</v>
      </c>
      <c r="O10" s="254">
        <f t="shared" si="4"/>
        <v>2</v>
      </c>
      <c r="P10" s="254">
        <f t="shared" si="4"/>
        <v>2</v>
      </c>
      <c r="Q10" s="254">
        <f t="shared" si="4"/>
        <v>2</v>
      </c>
      <c r="R10" s="254">
        <f t="shared" si="4"/>
        <v>2</v>
      </c>
      <c r="S10" s="254">
        <f t="shared" si="4"/>
        <v>2</v>
      </c>
      <c r="T10" s="254">
        <f t="shared" si="4"/>
        <v>2</v>
      </c>
      <c r="U10" s="254">
        <f t="shared" si="4"/>
        <v>2</v>
      </c>
      <c r="V10" s="254">
        <f t="shared" si="4"/>
        <v>2</v>
      </c>
      <c r="W10" s="254">
        <f t="shared" si="4"/>
        <v>2</v>
      </c>
      <c r="X10" s="254">
        <f t="shared" si="4"/>
        <v>2</v>
      </c>
      <c r="Y10" s="254">
        <f t="shared" si="4"/>
        <v>2</v>
      </c>
      <c r="Z10" s="254">
        <f t="shared" si="4"/>
        <v>2</v>
      </c>
      <c r="AA10" s="254">
        <f t="shared" si="4"/>
        <v>2</v>
      </c>
      <c r="AB10" s="254">
        <f t="shared" si="4"/>
        <v>2</v>
      </c>
      <c r="AC10" s="254">
        <f t="shared" si="4"/>
        <v>2</v>
      </c>
      <c r="AD10" s="254">
        <f t="shared" si="4"/>
        <v>2</v>
      </c>
      <c r="AE10" s="254">
        <f t="shared" si="4"/>
        <v>2</v>
      </c>
      <c r="AF10" s="254">
        <f t="shared" si="4"/>
        <v>2</v>
      </c>
      <c r="AG10" s="254">
        <f t="shared" si="4"/>
        <v>2</v>
      </c>
      <c r="AH10" s="254">
        <f t="shared" si="4"/>
        <v>2</v>
      </c>
      <c r="AI10" s="254">
        <f t="shared" si="4"/>
        <v>2</v>
      </c>
      <c r="AJ10" s="254">
        <f t="shared" si="4"/>
        <v>2</v>
      </c>
    </row>
    <row r="11" spans="1:36" s="258" customFormat="1" ht="13.15" customHeight="1" x14ac:dyDescent="0.2">
      <c r="A11" s="261" t="s">
        <v>800</v>
      </c>
      <c r="B11" s="254">
        <f xml:space="preserve"> SUM( B60:B64 )</f>
        <v>8</v>
      </c>
      <c r="C11" s="254">
        <f t="shared" ref="C11:AJ11" si="5" xml:space="preserve"> SUM( C60:C64 )</f>
        <v>8</v>
      </c>
      <c r="D11" s="254">
        <f t="shared" si="5"/>
        <v>8</v>
      </c>
      <c r="E11" s="254">
        <f t="shared" si="5"/>
        <v>8</v>
      </c>
      <c r="F11" s="254">
        <f t="shared" si="5"/>
        <v>8</v>
      </c>
      <c r="G11" s="254">
        <f t="shared" si="5"/>
        <v>8</v>
      </c>
      <c r="H11" s="254">
        <f t="shared" si="5"/>
        <v>8</v>
      </c>
      <c r="I11" s="254">
        <f t="shared" si="5"/>
        <v>8</v>
      </c>
      <c r="J11" s="254">
        <f t="shared" si="5"/>
        <v>8</v>
      </c>
      <c r="K11" s="254">
        <f t="shared" si="5"/>
        <v>8</v>
      </c>
      <c r="L11" s="254">
        <f t="shared" si="5"/>
        <v>8</v>
      </c>
      <c r="M11" s="254">
        <f t="shared" si="5"/>
        <v>8</v>
      </c>
      <c r="N11" s="254">
        <f t="shared" si="5"/>
        <v>8</v>
      </c>
      <c r="O11" s="254">
        <f t="shared" si="5"/>
        <v>8</v>
      </c>
      <c r="P11" s="254">
        <f t="shared" si="5"/>
        <v>8</v>
      </c>
      <c r="Q11" s="254">
        <f t="shared" si="5"/>
        <v>8</v>
      </c>
      <c r="R11" s="254">
        <f t="shared" si="5"/>
        <v>8</v>
      </c>
      <c r="S11" s="254">
        <f t="shared" si="5"/>
        <v>8</v>
      </c>
      <c r="T11" s="254">
        <f t="shared" si="5"/>
        <v>8</v>
      </c>
      <c r="U11" s="254">
        <f t="shared" si="5"/>
        <v>8</v>
      </c>
      <c r="V11" s="254">
        <f t="shared" si="5"/>
        <v>8</v>
      </c>
      <c r="W11" s="254">
        <f t="shared" si="5"/>
        <v>8</v>
      </c>
      <c r="X11" s="254">
        <f t="shared" si="5"/>
        <v>8</v>
      </c>
      <c r="Y11" s="254">
        <f t="shared" si="5"/>
        <v>8</v>
      </c>
      <c r="Z11" s="254">
        <f t="shared" si="5"/>
        <v>8</v>
      </c>
      <c r="AA11" s="254">
        <f t="shared" si="5"/>
        <v>8</v>
      </c>
      <c r="AB11" s="254">
        <f t="shared" si="5"/>
        <v>8</v>
      </c>
      <c r="AC11" s="254">
        <f t="shared" si="5"/>
        <v>8</v>
      </c>
      <c r="AD11" s="254">
        <f t="shared" si="5"/>
        <v>8</v>
      </c>
      <c r="AE11" s="254">
        <f t="shared" si="5"/>
        <v>8</v>
      </c>
      <c r="AF11" s="254">
        <f t="shared" si="5"/>
        <v>8</v>
      </c>
      <c r="AG11" s="254">
        <f t="shared" si="5"/>
        <v>8</v>
      </c>
      <c r="AH11" s="254">
        <f t="shared" si="5"/>
        <v>8</v>
      </c>
      <c r="AI11" s="254">
        <f t="shared" si="5"/>
        <v>8</v>
      </c>
      <c r="AJ11" s="254">
        <f t="shared" si="5"/>
        <v>8</v>
      </c>
    </row>
    <row r="12" spans="1:36" s="258" customFormat="1" ht="13.15" customHeight="1" x14ac:dyDescent="0.2">
      <c r="A12" s="261" t="s">
        <v>838</v>
      </c>
      <c r="B12" s="469">
        <f>SUM(B67:B69)</f>
        <v>47</v>
      </c>
      <c r="C12" s="469">
        <f t="shared" ref="C12:AJ12" si="6">SUM(C67:C69)</f>
        <v>47</v>
      </c>
      <c r="D12" s="469">
        <f t="shared" si="6"/>
        <v>47</v>
      </c>
      <c r="E12" s="469">
        <f t="shared" si="6"/>
        <v>47</v>
      </c>
      <c r="F12" s="469">
        <f t="shared" si="6"/>
        <v>47</v>
      </c>
      <c r="G12" s="469">
        <f t="shared" si="6"/>
        <v>47</v>
      </c>
      <c r="H12" s="469">
        <f t="shared" si="6"/>
        <v>47</v>
      </c>
      <c r="I12" s="469">
        <f t="shared" si="6"/>
        <v>47</v>
      </c>
      <c r="J12" s="469">
        <f t="shared" si="6"/>
        <v>47</v>
      </c>
      <c r="K12" s="469">
        <f t="shared" si="6"/>
        <v>47</v>
      </c>
      <c r="L12" s="469">
        <f t="shared" si="6"/>
        <v>47</v>
      </c>
      <c r="M12" s="469">
        <f t="shared" si="6"/>
        <v>47</v>
      </c>
      <c r="N12" s="469">
        <f t="shared" si="6"/>
        <v>47</v>
      </c>
      <c r="O12" s="469">
        <f t="shared" si="6"/>
        <v>47</v>
      </c>
      <c r="P12" s="469">
        <f t="shared" si="6"/>
        <v>47</v>
      </c>
      <c r="Q12" s="469">
        <f t="shared" si="6"/>
        <v>47</v>
      </c>
      <c r="R12" s="469">
        <f t="shared" si="6"/>
        <v>47</v>
      </c>
      <c r="S12" s="469">
        <f t="shared" si="6"/>
        <v>47</v>
      </c>
      <c r="T12" s="469">
        <f t="shared" si="6"/>
        <v>47</v>
      </c>
      <c r="U12" s="469">
        <f t="shared" si="6"/>
        <v>47</v>
      </c>
      <c r="V12" s="469">
        <f t="shared" si="6"/>
        <v>47</v>
      </c>
      <c r="W12" s="469">
        <f t="shared" si="6"/>
        <v>47</v>
      </c>
      <c r="X12" s="469">
        <f t="shared" si="6"/>
        <v>47</v>
      </c>
      <c r="Y12" s="469">
        <f t="shared" si="6"/>
        <v>47</v>
      </c>
      <c r="Z12" s="469">
        <f t="shared" si="6"/>
        <v>47</v>
      </c>
      <c r="AA12" s="469">
        <f t="shared" si="6"/>
        <v>47</v>
      </c>
      <c r="AB12" s="469">
        <f t="shared" si="6"/>
        <v>47</v>
      </c>
      <c r="AC12" s="469">
        <f t="shared" si="6"/>
        <v>47</v>
      </c>
      <c r="AD12" s="469">
        <f t="shared" si="6"/>
        <v>47</v>
      </c>
      <c r="AE12" s="469">
        <f t="shared" si="6"/>
        <v>47</v>
      </c>
      <c r="AF12" s="469">
        <f t="shared" si="6"/>
        <v>47</v>
      </c>
      <c r="AG12" s="469">
        <f t="shared" si="6"/>
        <v>47</v>
      </c>
      <c r="AH12" s="469">
        <f t="shared" si="6"/>
        <v>47</v>
      </c>
      <c r="AI12" s="469">
        <f t="shared" si="6"/>
        <v>47</v>
      </c>
      <c r="AJ12" s="469">
        <f t="shared" si="6"/>
        <v>47</v>
      </c>
    </row>
    <row r="13" spans="1:36" s="258" customFormat="1" ht="13.15" customHeight="1" x14ac:dyDescent="0.2">
      <c r="A13" s="261" t="s">
        <v>839</v>
      </c>
      <c r="B13" s="469">
        <f>SUM(B72:B74)</f>
        <v>25</v>
      </c>
      <c r="C13" s="469">
        <f t="shared" ref="C13:AJ13" si="7">SUM(C72:C74)</f>
        <v>25</v>
      </c>
      <c r="D13" s="469">
        <f t="shared" si="7"/>
        <v>25</v>
      </c>
      <c r="E13" s="469">
        <f t="shared" si="7"/>
        <v>25</v>
      </c>
      <c r="F13" s="469">
        <f t="shared" si="7"/>
        <v>25</v>
      </c>
      <c r="G13" s="469">
        <f t="shared" si="7"/>
        <v>25</v>
      </c>
      <c r="H13" s="469">
        <f t="shared" si="7"/>
        <v>25</v>
      </c>
      <c r="I13" s="469">
        <f t="shared" si="7"/>
        <v>25</v>
      </c>
      <c r="J13" s="469">
        <f t="shared" si="7"/>
        <v>25</v>
      </c>
      <c r="K13" s="469">
        <f t="shared" si="7"/>
        <v>25</v>
      </c>
      <c r="L13" s="469">
        <f t="shared" si="7"/>
        <v>25</v>
      </c>
      <c r="M13" s="469">
        <f t="shared" si="7"/>
        <v>25</v>
      </c>
      <c r="N13" s="469">
        <f t="shared" si="7"/>
        <v>25</v>
      </c>
      <c r="O13" s="469">
        <f t="shared" si="7"/>
        <v>25</v>
      </c>
      <c r="P13" s="469">
        <f t="shared" si="7"/>
        <v>25</v>
      </c>
      <c r="Q13" s="469">
        <f t="shared" si="7"/>
        <v>25</v>
      </c>
      <c r="R13" s="469">
        <f t="shared" si="7"/>
        <v>25</v>
      </c>
      <c r="S13" s="469">
        <f t="shared" si="7"/>
        <v>25</v>
      </c>
      <c r="T13" s="469">
        <f t="shared" si="7"/>
        <v>25</v>
      </c>
      <c r="U13" s="469">
        <f t="shared" si="7"/>
        <v>25</v>
      </c>
      <c r="V13" s="469">
        <f t="shared" si="7"/>
        <v>25</v>
      </c>
      <c r="W13" s="469">
        <f t="shared" si="7"/>
        <v>25</v>
      </c>
      <c r="X13" s="469">
        <f t="shared" si="7"/>
        <v>25</v>
      </c>
      <c r="Y13" s="469">
        <f t="shared" si="7"/>
        <v>25</v>
      </c>
      <c r="Z13" s="469">
        <f t="shared" si="7"/>
        <v>25</v>
      </c>
      <c r="AA13" s="469">
        <f t="shared" si="7"/>
        <v>25</v>
      </c>
      <c r="AB13" s="469">
        <f t="shared" si="7"/>
        <v>25</v>
      </c>
      <c r="AC13" s="469">
        <f t="shared" si="7"/>
        <v>25</v>
      </c>
      <c r="AD13" s="469">
        <f t="shared" si="7"/>
        <v>25</v>
      </c>
      <c r="AE13" s="469">
        <f t="shared" si="7"/>
        <v>25</v>
      </c>
      <c r="AF13" s="469">
        <f t="shared" si="7"/>
        <v>25</v>
      </c>
      <c r="AG13" s="469">
        <f t="shared" si="7"/>
        <v>25</v>
      </c>
      <c r="AH13" s="469">
        <f t="shared" si="7"/>
        <v>25</v>
      </c>
      <c r="AI13" s="469">
        <f t="shared" si="7"/>
        <v>25</v>
      </c>
      <c r="AJ13" s="469">
        <f t="shared" si="7"/>
        <v>25</v>
      </c>
    </row>
    <row r="14" spans="1:36" s="40" customFormat="1" ht="13.15" customHeight="1" x14ac:dyDescent="0.2">
      <c r="A14" s="39" t="s">
        <v>593</v>
      </c>
      <c r="B14" s="41">
        <f>SUM(B77:B79)</f>
        <v>12</v>
      </c>
      <c r="C14" s="41">
        <f t="shared" ref="C14:AJ14" si="8">SUM(C77:C79)</f>
        <v>12</v>
      </c>
      <c r="D14" s="41">
        <f t="shared" si="8"/>
        <v>12</v>
      </c>
      <c r="E14" s="41">
        <f t="shared" si="8"/>
        <v>12</v>
      </c>
      <c r="F14" s="41">
        <f t="shared" si="8"/>
        <v>12</v>
      </c>
      <c r="G14" s="41">
        <f t="shared" si="8"/>
        <v>12</v>
      </c>
      <c r="H14" s="41">
        <f t="shared" si="8"/>
        <v>12</v>
      </c>
      <c r="I14" s="41">
        <f t="shared" si="8"/>
        <v>12</v>
      </c>
      <c r="J14" s="41">
        <f t="shared" si="8"/>
        <v>12</v>
      </c>
      <c r="K14" s="41">
        <f t="shared" si="8"/>
        <v>12</v>
      </c>
      <c r="L14" s="41">
        <f t="shared" si="8"/>
        <v>12</v>
      </c>
      <c r="M14" s="41">
        <f t="shared" si="8"/>
        <v>12</v>
      </c>
      <c r="N14" s="41">
        <f t="shared" si="8"/>
        <v>12</v>
      </c>
      <c r="O14" s="41">
        <f t="shared" si="8"/>
        <v>12</v>
      </c>
      <c r="P14" s="41">
        <f t="shared" si="8"/>
        <v>12</v>
      </c>
      <c r="Q14" s="41">
        <f t="shared" si="8"/>
        <v>12</v>
      </c>
      <c r="R14" s="41">
        <f t="shared" si="8"/>
        <v>12</v>
      </c>
      <c r="S14" s="41">
        <f t="shared" si="8"/>
        <v>12</v>
      </c>
      <c r="T14" s="41">
        <f t="shared" si="8"/>
        <v>12</v>
      </c>
      <c r="U14" s="41">
        <f t="shared" si="8"/>
        <v>12</v>
      </c>
      <c r="V14" s="41">
        <f t="shared" si="8"/>
        <v>12</v>
      </c>
      <c r="W14" s="41">
        <f t="shared" si="8"/>
        <v>12</v>
      </c>
      <c r="X14" s="41">
        <f t="shared" si="8"/>
        <v>12</v>
      </c>
      <c r="Y14" s="41">
        <f t="shared" si="8"/>
        <v>12</v>
      </c>
      <c r="Z14" s="41">
        <f t="shared" si="8"/>
        <v>12</v>
      </c>
      <c r="AA14" s="41">
        <f t="shared" si="8"/>
        <v>12</v>
      </c>
      <c r="AB14" s="41">
        <f t="shared" si="8"/>
        <v>12</v>
      </c>
      <c r="AC14" s="41">
        <f t="shared" si="8"/>
        <v>12</v>
      </c>
      <c r="AD14" s="41">
        <f t="shared" si="8"/>
        <v>12</v>
      </c>
      <c r="AE14" s="41">
        <f t="shared" si="8"/>
        <v>12</v>
      </c>
      <c r="AF14" s="41">
        <f t="shared" si="8"/>
        <v>12</v>
      </c>
      <c r="AG14" s="41">
        <f t="shared" si="8"/>
        <v>12</v>
      </c>
      <c r="AH14" s="41">
        <f t="shared" si="8"/>
        <v>12</v>
      </c>
      <c r="AI14" s="41">
        <f t="shared" si="8"/>
        <v>12</v>
      </c>
      <c r="AJ14" s="41">
        <f t="shared" si="8"/>
        <v>12</v>
      </c>
    </row>
    <row r="15" spans="1:36" s="40" customFormat="1" ht="13.15" customHeight="1" x14ac:dyDescent="0.2">
      <c r="A15" s="39" t="s">
        <v>840</v>
      </c>
      <c r="B15" s="41">
        <f>SUM(B82:B85)</f>
        <v>60</v>
      </c>
      <c r="C15" s="41">
        <f t="shared" ref="C15:AJ15" si="9">SUM(C82:C85)</f>
        <v>60</v>
      </c>
      <c r="D15" s="41">
        <f t="shared" si="9"/>
        <v>60</v>
      </c>
      <c r="E15" s="41">
        <f t="shared" si="9"/>
        <v>61</v>
      </c>
      <c r="F15" s="41">
        <f t="shared" si="9"/>
        <v>61</v>
      </c>
      <c r="G15" s="41">
        <f t="shared" si="9"/>
        <v>61</v>
      </c>
      <c r="H15" s="41">
        <f t="shared" si="9"/>
        <v>62</v>
      </c>
      <c r="I15" s="41">
        <f t="shared" si="9"/>
        <v>62</v>
      </c>
      <c r="J15" s="41">
        <f t="shared" si="9"/>
        <v>62</v>
      </c>
      <c r="K15" s="41">
        <f t="shared" si="9"/>
        <v>62</v>
      </c>
      <c r="L15" s="41">
        <f t="shared" si="9"/>
        <v>62</v>
      </c>
      <c r="M15" s="41">
        <f t="shared" si="9"/>
        <v>63</v>
      </c>
      <c r="N15" s="41">
        <f t="shared" si="9"/>
        <v>63</v>
      </c>
      <c r="O15" s="41">
        <f t="shared" si="9"/>
        <v>63</v>
      </c>
      <c r="P15" s="41">
        <f t="shared" si="9"/>
        <v>63</v>
      </c>
      <c r="Q15" s="41">
        <f t="shared" si="9"/>
        <v>63</v>
      </c>
      <c r="R15" s="41">
        <f t="shared" si="9"/>
        <v>63</v>
      </c>
      <c r="S15" s="41">
        <f t="shared" si="9"/>
        <v>63</v>
      </c>
      <c r="T15" s="41">
        <f t="shared" si="9"/>
        <v>63</v>
      </c>
      <c r="U15" s="41">
        <f t="shared" si="9"/>
        <v>63</v>
      </c>
      <c r="V15" s="41">
        <f t="shared" si="9"/>
        <v>63</v>
      </c>
      <c r="W15" s="41">
        <f t="shared" si="9"/>
        <v>63</v>
      </c>
      <c r="X15" s="41">
        <f t="shared" si="9"/>
        <v>63</v>
      </c>
      <c r="Y15" s="41">
        <f t="shared" si="9"/>
        <v>63</v>
      </c>
      <c r="Z15" s="41">
        <f t="shared" si="9"/>
        <v>63</v>
      </c>
      <c r="AA15" s="41">
        <f t="shared" si="9"/>
        <v>63</v>
      </c>
      <c r="AB15" s="41">
        <f t="shared" si="9"/>
        <v>62</v>
      </c>
      <c r="AC15" s="41">
        <f t="shared" si="9"/>
        <v>62</v>
      </c>
      <c r="AD15" s="41">
        <f t="shared" si="9"/>
        <v>62</v>
      </c>
      <c r="AE15" s="41">
        <f t="shared" si="9"/>
        <v>62</v>
      </c>
      <c r="AF15" s="41">
        <f t="shared" si="9"/>
        <v>62</v>
      </c>
      <c r="AG15" s="41">
        <f t="shared" si="9"/>
        <v>62</v>
      </c>
      <c r="AH15" s="41">
        <f t="shared" si="9"/>
        <v>61</v>
      </c>
      <c r="AI15" s="41">
        <f t="shared" si="9"/>
        <v>61</v>
      </c>
      <c r="AJ15" s="41">
        <f t="shared" si="9"/>
        <v>61</v>
      </c>
    </row>
    <row r="16" spans="1:36" ht="13.15" customHeight="1" x14ac:dyDescent="0.2">
      <c r="A16" s="16" t="s">
        <v>841</v>
      </c>
      <c r="B16" s="12">
        <f t="shared" ref="B16:AJ16" si="10" xml:space="preserve"> SUM( B$6:B$15 )</f>
        <v>286</v>
      </c>
      <c r="C16" s="12">
        <f t="shared" si="10"/>
        <v>288</v>
      </c>
      <c r="D16" s="12">
        <f t="shared" si="10"/>
        <v>289</v>
      </c>
      <c r="E16" s="12">
        <f t="shared" si="10"/>
        <v>290</v>
      </c>
      <c r="F16" s="12">
        <f t="shared" si="10"/>
        <v>291</v>
      </c>
      <c r="G16" s="12">
        <f t="shared" si="10"/>
        <v>301</v>
      </c>
      <c r="H16" s="12">
        <f t="shared" si="10"/>
        <v>302</v>
      </c>
      <c r="I16" s="12">
        <f t="shared" si="10"/>
        <v>306</v>
      </c>
      <c r="J16" s="12">
        <f t="shared" si="10"/>
        <v>306</v>
      </c>
      <c r="K16" s="12">
        <f t="shared" si="10"/>
        <v>306</v>
      </c>
      <c r="L16" s="12">
        <f t="shared" si="10"/>
        <v>306</v>
      </c>
      <c r="M16" s="12">
        <f t="shared" si="10"/>
        <v>307</v>
      </c>
      <c r="N16" s="12">
        <f t="shared" si="10"/>
        <v>307</v>
      </c>
      <c r="O16" s="12">
        <f t="shared" si="10"/>
        <v>307</v>
      </c>
      <c r="P16" s="12">
        <f t="shared" si="10"/>
        <v>307</v>
      </c>
      <c r="Q16" s="12">
        <f t="shared" si="10"/>
        <v>307</v>
      </c>
      <c r="R16" s="12">
        <f t="shared" si="10"/>
        <v>307</v>
      </c>
      <c r="S16" s="12">
        <f t="shared" si="10"/>
        <v>307</v>
      </c>
      <c r="T16" s="12">
        <f t="shared" si="10"/>
        <v>307</v>
      </c>
      <c r="U16" s="12">
        <f t="shared" si="10"/>
        <v>307</v>
      </c>
      <c r="V16" s="12">
        <f t="shared" si="10"/>
        <v>307</v>
      </c>
      <c r="W16" s="12">
        <f t="shared" si="10"/>
        <v>307</v>
      </c>
      <c r="X16" s="12">
        <f t="shared" si="10"/>
        <v>307</v>
      </c>
      <c r="Y16" s="12">
        <f t="shared" si="10"/>
        <v>307</v>
      </c>
      <c r="Z16" s="12">
        <f t="shared" si="10"/>
        <v>307</v>
      </c>
      <c r="AA16" s="12">
        <f t="shared" si="10"/>
        <v>307</v>
      </c>
      <c r="AB16" s="12">
        <f t="shared" si="10"/>
        <v>306</v>
      </c>
      <c r="AC16" s="12">
        <f t="shared" si="10"/>
        <v>306</v>
      </c>
      <c r="AD16" s="12">
        <f t="shared" si="10"/>
        <v>306</v>
      </c>
      <c r="AE16" s="12">
        <f t="shared" si="10"/>
        <v>306</v>
      </c>
      <c r="AF16" s="12">
        <f t="shared" si="10"/>
        <v>306</v>
      </c>
      <c r="AG16" s="12">
        <f t="shared" si="10"/>
        <v>306</v>
      </c>
      <c r="AH16" s="12">
        <f t="shared" si="10"/>
        <v>305</v>
      </c>
      <c r="AI16" s="12">
        <f t="shared" si="10"/>
        <v>305</v>
      </c>
      <c r="AJ16" s="12">
        <f t="shared" si="10"/>
        <v>305</v>
      </c>
    </row>
    <row r="18" spans="1:36" s="18" customFormat="1" ht="13.15" customHeight="1" x14ac:dyDescent="0.2">
      <c r="A18" s="29" t="s">
        <v>834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 ht="13.15" customHeight="1" x14ac:dyDescent="0.2">
      <c r="A19" s="15" t="s">
        <v>842</v>
      </c>
      <c r="B19" s="499">
        <v>1</v>
      </c>
      <c r="C19" s="499">
        <f t="shared" ref="C19:C35" si="11">B19</f>
        <v>1</v>
      </c>
      <c r="D19" s="499">
        <f t="shared" ref="D19:AE24" si="12">C19</f>
        <v>1</v>
      </c>
      <c r="E19" s="499">
        <f t="shared" si="12"/>
        <v>1</v>
      </c>
      <c r="F19" s="499">
        <f t="shared" si="12"/>
        <v>1</v>
      </c>
      <c r="G19" s="499">
        <f t="shared" si="12"/>
        <v>1</v>
      </c>
      <c r="H19" s="499">
        <f t="shared" si="12"/>
        <v>1</v>
      </c>
      <c r="I19" s="499">
        <f t="shared" si="12"/>
        <v>1</v>
      </c>
      <c r="J19" s="499">
        <f t="shared" si="12"/>
        <v>1</v>
      </c>
      <c r="K19" s="499">
        <f t="shared" si="12"/>
        <v>1</v>
      </c>
      <c r="L19" s="499">
        <f t="shared" si="12"/>
        <v>1</v>
      </c>
      <c r="M19" s="499">
        <f t="shared" si="12"/>
        <v>1</v>
      </c>
      <c r="N19" s="499">
        <f t="shared" si="12"/>
        <v>1</v>
      </c>
      <c r="O19" s="499">
        <f t="shared" si="12"/>
        <v>1</v>
      </c>
      <c r="P19" s="499">
        <f t="shared" si="12"/>
        <v>1</v>
      </c>
      <c r="Q19" s="499">
        <f t="shared" si="12"/>
        <v>1</v>
      </c>
      <c r="R19" s="499">
        <f t="shared" si="12"/>
        <v>1</v>
      </c>
      <c r="S19" s="499">
        <f t="shared" si="12"/>
        <v>1</v>
      </c>
      <c r="T19" s="499">
        <f t="shared" si="12"/>
        <v>1</v>
      </c>
      <c r="U19" s="499">
        <f t="shared" si="12"/>
        <v>1</v>
      </c>
      <c r="V19" s="499">
        <f t="shared" si="12"/>
        <v>1</v>
      </c>
      <c r="W19" s="499">
        <f t="shared" si="12"/>
        <v>1</v>
      </c>
      <c r="X19" s="499">
        <f t="shared" si="12"/>
        <v>1</v>
      </c>
      <c r="Y19" s="499">
        <f t="shared" si="12"/>
        <v>1</v>
      </c>
      <c r="Z19" s="499">
        <f t="shared" si="12"/>
        <v>1</v>
      </c>
      <c r="AA19" s="499">
        <f t="shared" si="12"/>
        <v>1</v>
      </c>
      <c r="AB19" s="499">
        <f t="shared" si="12"/>
        <v>1</v>
      </c>
      <c r="AC19" s="499">
        <f t="shared" si="12"/>
        <v>1</v>
      </c>
      <c r="AD19" s="499">
        <f t="shared" si="12"/>
        <v>1</v>
      </c>
      <c r="AE19" s="499">
        <f t="shared" si="12"/>
        <v>1</v>
      </c>
      <c r="AF19" s="499">
        <f t="shared" ref="AF19:AF35" si="13">AE19</f>
        <v>1</v>
      </c>
      <c r="AG19" s="499">
        <f t="shared" ref="AG19:AG35" si="14">AF19</f>
        <v>1</v>
      </c>
      <c r="AH19" s="499">
        <f t="shared" ref="AH19:AH35" si="15">AG19</f>
        <v>1</v>
      </c>
      <c r="AI19" s="499">
        <f t="shared" ref="AI19:AI35" si="16">AH19</f>
        <v>1</v>
      </c>
      <c r="AJ19" s="499">
        <f t="shared" ref="AJ19:AJ35" si="17">AI19</f>
        <v>1</v>
      </c>
    </row>
    <row r="20" spans="1:36" ht="13.15" customHeight="1" x14ac:dyDescent="0.2">
      <c r="A20" s="15" t="s">
        <v>843</v>
      </c>
      <c r="B20" s="499">
        <v>1</v>
      </c>
      <c r="C20" s="499">
        <f t="shared" si="11"/>
        <v>1</v>
      </c>
      <c r="D20" s="499">
        <f t="shared" ref="D20:R20" si="18">C20</f>
        <v>1</v>
      </c>
      <c r="E20" s="499">
        <f t="shared" si="18"/>
        <v>1</v>
      </c>
      <c r="F20" s="499">
        <f t="shared" si="18"/>
        <v>1</v>
      </c>
      <c r="G20" s="499">
        <f t="shared" si="18"/>
        <v>1</v>
      </c>
      <c r="H20" s="499">
        <f t="shared" si="18"/>
        <v>1</v>
      </c>
      <c r="I20" s="499">
        <f t="shared" si="18"/>
        <v>1</v>
      </c>
      <c r="J20" s="499">
        <f t="shared" si="18"/>
        <v>1</v>
      </c>
      <c r="K20" s="499">
        <f t="shared" si="18"/>
        <v>1</v>
      </c>
      <c r="L20" s="499">
        <f t="shared" si="18"/>
        <v>1</v>
      </c>
      <c r="M20" s="499">
        <f t="shared" si="18"/>
        <v>1</v>
      </c>
      <c r="N20" s="499">
        <f t="shared" si="18"/>
        <v>1</v>
      </c>
      <c r="O20" s="499">
        <f t="shared" si="18"/>
        <v>1</v>
      </c>
      <c r="P20" s="499">
        <f t="shared" si="18"/>
        <v>1</v>
      </c>
      <c r="Q20" s="499">
        <f t="shared" si="18"/>
        <v>1</v>
      </c>
      <c r="R20" s="499">
        <f t="shared" si="18"/>
        <v>1</v>
      </c>
      <c r="S20" s="499">
        <f t="shared" si="12"/>
        <v>1</v>
      </c>
      <c r="T20" s="499">
        <f t="shared" si="12"/>
        <v>1</v>
      </c>
      <c r="U20" s="499">
        <f t="shared" si="12"/>
        <v>1</v>
      </c>
      <c r="V20" s="499">
        <f t="shared" si="12"/>
        <v>1</v>
      </c>
      <c r="W20" s="499">
        <f t="shared" si="12"/>
        <v>1</v>
      </c>
      <c r="X20" s="499">
        <f t="shared" si="12"/>
        <v>1</v>
      </c>
      <c r="Y20" s="499">
        <f t="shared" si="12"/>
        <v>1</v>
      </c>
      <c r="Z20" s="499">
        <f t="shared" si="12"/>
        <v>1</v>
      </c>
      <c r="AA20" s="499">
        <f t="shared" si="12"/>
        <v>1</v>
      </c>
      <c r="AB20" s="499">
        <f t="shared" si="12"/>
        <v>1</v>
      </c>
      <c r="AC20" s="499">
        <f t="shared" si="12"/>
        <v>1</v>
      </c>
      <c r="AD20" s="499">
        <f t="shared" si="12"/>
        <v>1</v>
      </c>
      <c r="AE20" s="499">
        <f t="shared" si="12"/>
        <v>1</v>
      </c>
      <c r="AF20" s="499">
        <f t="shared" si="13"/>
        <v>1</v>
      </c>
      <c r="AG20" s="499">
        <f t="shared" si="14"/>
        <v>1</v>
      </c>
      <c r="AH20" s="499">
        <f t="shared" si="15"/>
        <v>1</v>
      </c>
      <c r="AI20" s="499">
        <f t="shared" si="16"/>
        <v>1</v>
      </c>
      <c r="AJ20" s="499">
        <f t="shared" si="17"/>
        <v>1</v>
      </c>
    </row>
    <row r="21" spans="1:36" ht="13.15" customHeight="1" x14ac:dyDescent="0.2">
      <c r="A21" s="15" t="s">
        <v>844</v>
      </c>
      <c r="B21" s="499">
        <v>1</v>
      </c>
      <c r="C21" s="499">
        <f t="shared" si="11"/>
        <v>1</v>
      </c>
      <c r="D21" s="499">
        <f t="shared" si="12"/>
        <v>1</v>
      </c>
      <c r="E21" s="499">
        <f t="shared" si="12"/>
        <v>1</v>
      </c>
      <c r="F21" s="499">
        <f t="shared" si="12"/>
        <v>1</v>
      </c>
      <c r="G21" s="499">
        <f t="shared" si="12"/>
        <v>1</v>
      </c>
      <c r="H21" s="499">
        <f t="shared" si="12"/>
        <v>1</v>
      </c>
      <c r="I21" s="499">
        <f t="shared" si="12"/>
        <v>1</v>
      </c>
      <c r="J21" s="499">
        <f t="shared" si="12"/>
        <v>1</v>
      </c>
      <c r="K21" s="499">
        <f t="shared" si="12"/>
        <v>1</v>
      </c>
      <c r="L21" s="499">
        <f t="shared" si="12"/>
        <v>1</v>
      </c>
      <c r="M21" s="499">
        <f t="shared" si="12"/>
        <v>1</v>
      </c>
      <c r="N21" s="499">
        <f t="shared" si="12"/>
        <v>1</v>
      </c>
      <c r="O21" s="499">
        <f t="shared" si="12"/>
        <v>1</v>
      </c>
      <c r="P21" s="499">
        <f t="shared" si="12"/>
        <v>1</v>
      </c>
      <c r="Q21" s="499">
        <f t="shared" si="12"/>
        <v>1</v>
      </c>
      <c r="R21" s="499">
        <f t="shared" si="12"/>
        <v>1</v>
      </c>
      <c r="S21" s="499">
        <f t="shared" si="12"/>
        <v>1</v>
      </c>
      <c r="T21" s="499">
        <f t="shared" si="12"/>
        <v>1</v>
      </c>
      <c r="U21" s="499">
        <f t="shared" si="12"/>
        <v>1</v>
      </c>
      <c r="V21" s="499">
        <f t="shared" si="12"/>
        <v>1</v>
      </c>
      <c r="W21" s="499">
        <f t="shared" si="12"/>
        <v>1</v>
      </c>
      <c r="X21" s="499">
        <f t="shared" si="12"/>
        <v>1</v>
      </c>
      <c r="Y21" s="499">
        <f t="shared" si="12"/>
        <v>1</v>
      </c>
      <c r="Z21" s="499">
        <f t="shared" si="12"/>
        <v>1</v>
      </c>
      <c r="AA21" s="499">
        <f t="shared" si="12"/>
        <v>1</v>
      </c>
      <c r="AB21" s="499">
        <f t="shared" si="12"/>
        <v>1</v>
      </c>
      <c r="AC21" s="499">
        <f t="shared" si="12"/>
        <v>1</v>
      </c>
      <c r="AD21" s="499">
        <f t="shared" si="12"/>
        <v>1</v>
      </c>
      <c r="AE21" s="499">
        <f t="shared" si="12"/>
        <v>1</v>
      </c>
      <c r="AF21" s="499">
        <f t="shared" si="13"/>
        <v>1</v>
      </c>
      <c r="AG21" s="499">
        <f t="shared" si="14"/>
        <v>1</v>
      </c>
      <c r="AH21" s="499">
        <f t="shared" si="15"/>
        <v>1</v>
      </c>
      <c r="AI21" s="499">
        <f t="shared" si="16"/>
        <v>1</v>
      </c>
      <c r="AJ21" s="499">
        <f t="shared" si="17"/>
        <v>1</v>
      </c>
    </row>
    <row r="22" spans="1:36" ht="13.15" customHeight="1" x14ac:dyDescent="0.2">
      <c r="A22" s="15" t="s">
        <v>845</v>
      </c>
      <c r="B22" s="499">
        <v>1</v>
      </c>
      <c r="C22" s="499">
        <v>1</v>
      </c>
      <c r="D22" s="499">
        <v>1</v>
      </c>
      <c r="E22" s="499">
        <v>1</v>
      </c>
      <c r="F22" s="499">
        <v>1</v>
      </c>
      <c r="G22" s="499">
        <v>1</v>
      </c>
      <c r="H22" s="499">
        <v>1</v>
      </c>
      <c r="I22" s="499">
        <v>1</v>
      </c>
      <c r="J22" s="499">
        <v>1</v>
      </c>
      <c r="K22" s="499">
        <v>1</v>
      </c>
      <c r="L22" s="499">
        <v>1</v>
      </c>
      <c r="M22" s="499">
        <v>1</v>
      </c>
      <c r="N22" s="499">
        <v>1</v>
      </c>
      <c r="O22" s="499">
        <v>1</v>
      </c>
      <c r="P22" s="499">
        <v>1</v>
      </c>
      <c r="Q22" s="499">
        <v>1</v>
      </c>
      <c r="R22" s="499">
        <v>1</v>
      </c>
      <c r="S22" s="499">
        <v>1</v>
      </c>
      <c r="T22" s="499">
        <v>1</v>
      </c>
      <c r="U22" s="499">
        <v>1</v>
      </c>
      <c r="V22" s="499">
        <v>1</v>
      </c>
      <c r="W22" s="499">
        <v>1</v>
      </c>
      <c r="X22" s="499">
        <v>1</v>
      </c>
      <c r="Y22" s="499">
        <v>1</v>
      </c>
      <c r="Z22" s="499">
        <v>1</v>
      </c>
      <c r="AA22" s="499">
        <v>1</v>
      </c>
      <c r="AB22" s="499">
        <v>1</v>
      </c>
      <c r="AC22" s="499">
        <v>1</v>
      </c>
      <c r="AD22" s="499">
        <v>1</v>
      </c>
      <c r="AE22" s="499">
        <v>1</v>
      </c>
      <c r="AF22" s="499">
        <v>1</v>
      </c>
      <c r="AG22" s="499">
        <v>1</v>
      </c>
      <c r="AH22" s="499">
        <v>1</v>
      </c>
      <c r="AI22" s="499">
        <v>1</v>
      </c>
      <c r="AJ22" s="499">
        <v>1</v>
      </c>
    </row>
    <row r="23" spans="1:36" ht="13.15" customHeight="1" x14ac:dyDescent="0.2">
      <c r="A23" s="15" t="s">
        <v>846</v>
      </c>
      <c r="B23" s="499">
        <v>1</v>
      </c>
      <c r="C23" s="499">
        <f t="shared" si="11"/>
        <v>1</v>
      </c>
      <c r="D23" s="499">
        <f t="shared" si="12"/>
        <v>1</v>
      </c>
      <c r="E23" s="499">
        <f t="shared" si="12"/>
        <v>1</v>
      </c>
      <c r="F23" s="499">
        <f t="shared" si="12"/>
        <v>1</v>
      </c>
      <c r="G23" s="499">
        <f t="shared" si="12"/>
        <v>1</v>
      </c>
      <c r="H23" s="499">
        <f t="shared" si="12"/>
        <v>1</v>
      </c>
      <c r="I23" s="499">
        <f t="shared" si="12"/>
        <v>1</v>
      </c>
      <c r="J23" s="499">
        <f t="shared" si="12"/>
        <v>1</v>
      </c>
      <c r="K23" s="499">
        <f t="shared" si="12"/>
        <v>1</v>
      </c>
      <c r="L23" s="499">
        <f t="shared" si="12"/>
        <v>1</v>
      </c>
      <c r="M23" s="499">
        <f t="shared" si="12"/>
        <v>1</v>
      </c>
      <c r="N23" s="499">
        <f t="shared" si="12"/>
        <v>1</v>
      </c>
      <c r="O23" s="499">
        <f t="shared" si="12"/>
        <v>1</v>
      </c>
      <c r="P23" s="499">
        <f t="shared" si="12"/>
        <v>1</v>
      </c>
      <c r="Q23" s="499">
        <f t="shared" si="12"/>
        <v>1</v>
      </c>
      <c r="R23" s="499">
        <f t="shared" si="12"/>
        <v>1</v>
      </c>
      <c r="S23" s="499">
        <f t="shared" si="12"/>
        <v>1</v>
      </c>
      <c r="T23" s="499">
        <f t="shared" si="12"/>
        <v>1</v>
      </c>
      <c r="U23" s="499">
        <f t="shared" si="12"/>
        <v>1</v>
      </c>
      <c r="V23" s="499">
        <f t="shared" si="12"/>
        <v>1</v>
      </c>
      <c r="W23" s="499">
        <f t="shared" si="12"/>
        <v>1</v>
      </c>
      <c r="X23" s="499">
        <f t="shared" si="12"/>
        <v>1</v>
      </c>
      <c r="Y23" s="499">
        <f t="shared" si="12"/>
        <v>1</v>
      </c>
      <c r="Z23" s="499">
        <f t="shared" si="12"/>
        <v>1</v>
      </c>
      <c r="AA23" s="499">
        <f t="shared" si="12"/>
        <v>1</v>
      </c>
      <c r="AB23" s="499">
        <f t="shared" si="12"/>
        <v>1</v>
      </c>
      <c r="AC23" s="499">
        <f t="shared" si="12"/>
        <v>1</v>
      </c>
      <c r="AD23" s="499">
        <f t="shared" si="12"/>
        <v>1</v>
      </c>
      <c r="AE23" s="499">
        <f t="shared" si="12"/>
        <v>1</v>
      </c>
      <c r="AF23" s="499">
        <f t="shared" si="13"/>
        <v>1</v>
      </c>
      <c r="AG23" s="499">
        <f t="shared" si="14"/>
        <v>1</v>
      </c>
      <c r="AH23" s="499">
        <f t="shared" si="15"/>
        <v>1</v>
      </c>
      <c r="AI23" s="499">
        <f t="shared" si="16"/>
        <v>1</v>
      </c>
      <c r="AJ23" s="499">
        <f t="shared" si="17"/>
        <v>1</v>
      </c>
    </row>
    <row r="24" spans="1:36" ht="13.15" customHeight="1" x14ac:dyDescent="0.2">
      <c r="A24" s="15" t="s">
        <v>847</v>
      </c>
      <c r="B24" s="499">
        <v>1</v>
      </c>
      <c r="C24" s="499">
        <f t="shared" si="11"/>
        <v>1</v>
      </c>
      <c r="D24" s="499">
        <f t="shared" si="12"/>
        <v>1</v>
      </c>
      <c r="E24" s="499">
        <f t="shared" si="12"/>
        <v>1</v>
      </c>
      <c r="F24" s="499">
        <f t="shared" si="12"/>
        <v>1</v>
      </c>
      <c r="G24" s="499">
        <f t="shared" si="12"/>
        <v>1</v>
      </c>
      <c r="H24" s="499">
        <f t="shared" si="12"/>
        <v>1</v>
      </c>
      <c r="I24" s="499">
        <f t="shared" si="12"/>
        <v>1</v>
      </c>
      <c r="J24" s="499">
        <f t="shared" si="12"/>
        <v>1</v>
      </c>
      <c r="K24" s="499">
        <f t="shared" si="12"/>
        <v>1</v>
      </c>
      <c r="L24" s="499">
        <f t="shared" si="12"/>
        <v>1</v>
      </c>
      <c r="M24" s="499">
        <f t="shared" si="12"/>
        <v>1</v>
      </c>
      <c r="N24" s="499">
        <f t="shared" si="12"/>
        <v>1</v>
      </c>
      <c r="O24" s="499">
        <f t="shared" si="12"/>
        <v>1</v>
      </c>
      <c r="P24" s="499">
        <f t="shared" si="12"/>
        <v>1</v>
      </c>
      <c r="Q24" s="499">
        <f t="shared" si="12"/>
        <v>1</v>
      </c>
      <c r="R24" s="499">
        <f t="shared" si="12"/>
        <v>1</v>
      </c>
      <c r="S24" s="499">
        <f t="shared" si="12"/>
        <v>1</v>
      </c>
      <c r="T24" s="499">
        <f t="shared" si="12"/>
        <v>1</v>
      </c>
      <c r="U24" s="499">
        <f t="shared" si="12"/>
        <v>1</v>
      </c>
      <c r="V24" s="499">
        <f t="shared" si="12"/>
        <v>1</v>
      </c>
      <c r="W24" s="499">
        <f t="shared" si="12"/>
        <v>1</v>
      </c>
      <c r="X24" s="499">
        <f t="shared" si="12"/>
        <v>1</v>
      </c>
      <c r="Y24" s="499">
        <f t="shared" si="12"/>
        <v>1</v>
      </c>
      <c r="Z24" s="499">
        <f t="shared" si="12"/>
        <v>1</v>
      </c>
      <c r="AA24" s="499">
        <f t="shared" si="12"/>
        <v>1</v>
      </c>
      <c r="AB24" s="499">
        <f t="shared" si="12"/>
        <v>1</v>
      </c>
      <c r="AC24" s="499">
        <f t="shared" si="12"/>
        <v>1</v>
      </c>
      <c r="AD24" s="499">
        <f t="shared" si="12"/>
        <v>1</v>
      </c>
      <c r="AE24" s="499">
        <f t="shared" si="12"/>
        <v>1</v>
      </c>
      <c r="AF24" s="499">
        <f t="shared" si="13"/>
        <v>1</v>
      </c>
      <c r="AG24" s="499">
        <f t="shared" si="14"/>
        <v>1</v>
      </c>
      <c r="AH24" s="499">
        <f t="shared" si="15"/>
        <v>1</v>
      </c>
      <c r="AI24" s="499">
        <f t="shared" si="16"/>
        <v>1</v>
      </c>
      <c r="AJ24" s="499">
        <f t="shared" si="17"/>
        <v>1</v>
      </c>
    </row>
    <row r="25" spans="1:36" ht="13.15" customHeight="1" x14ac:dyDescent="0.2">
      <c r="A25" s="15" t="s">
        <v>848</v>
      </c>
      <c r="B25" s="499">
        <v>3</v>
      </c>
      <c r="C25" s="499">
        <v>3</v>
      </c>
      <c r="D25" s="499">
        <v>3</v>
      </c>
      <c r="E25" s="499">
        <v>3</v>
      </c>
      <c r="F25" s="499">
        <v>3</v>
      </c>
      <c r="G25" s="499">
        <v>3</v>
      </c>
      <c r="H25" s="499">
        <v>3</v>
      </c>
      <c r="I25" s="499">
        <v>3</v>
      </c>
      <c r="J25" s="499">
        <v>3</v>
      </c>
      <c r="K25" s="499">
        <v>3</v>
      </c>
      <c r="L25" s="499">
        <v>3</v>
      </c>
      <c r="M25" s="499">
        <v>3</v>
      </c>
      <c r="N25" s="499">
        <v>3</v>
      </c>
      <c r="O25" s="499">
        <v>3</v>
      </c>
      <c r="P25" s="499">
        <v>3</v>
      </c>
      <c r="Q25" s="499">
        <v>3</v>
      </c>
      <c r="R25" s="499">
        <v>3</v>
      </c>
      <c r="S25" s="499">
        <v>3</v>
      </c>
      <c r="T25" s="499">
        <v>3</v>
      </c>
      <c r="U25" s="499">
        <v>3</v>
      </c>
      <c r="V25" s="499">
        <v>3</v>
      </c>
      <c r="W25" s="499">
        <v>3</v>
      </c>
      <c r="X25" s="499">
        <v>3</v>
      </c>
      <c r="Y25" s="499">
        <v>3</v>
      </c>
      <c r="Z25" s="499">
        <v>3</v>
      </c>
      <c r="AA25" s="499">
        <v>3</v>
      </c>
      <c r="AB25" s="499">
        <v>3</v>
      </c>
      <c r="AC25" s="499">
        <v>3</v>
      </c>
      <c r="AD25" s="499">
        <v>3</v>
      </c>
      <c r="AE25" s="499">
        <v>3</v>
      </c>
      <c r="AF25" s="499">
        <v>3</v>
      </c>
      <c r="AG25" s="499">
        <v>3</v>
      </c>
      <c r="AH25" s="499">
        <v>3</v>
      </c>
      <c r="AI25" s="499">
        <v>3</v>
      </c>
      <c r="AJ25" s="499">
        <v>3</v>
      </c>
    </row>
    <row r="26" spans="1:36" ht="13.15" customHeight="1" x14ac:dyDescent="0.2">
      <c r="A26" s="15" t="s">
        <v>849</v>
      </c>
      <c r="B26" s="499">
        <v>1</v>
      </c>
      <c r="C26" s="499">
        <f t="shared" si="11"/>
        <v>1</v>
      </c>
      <c r="D26" s="499">
        <f t="shared" ref="D26:AE32" si="19">C26</f>
        <v>1</v>
      </c>
      <c r="E26" s="499">
        <f t="shared" si="19"/>
        <v>1</v>
      </c>
      <c r="F26" s="499">
        <f t="shared" si="19"/>
        <v>1</v>
      </c>
      <c r="G26" s="499">
        <f t="shared" si="19"/>
        <v>1</v>
      </c>
      <c r="H26" s="499">
        <f t="shared" si="19"/>
        <v>1</v>
      </c>
      <c r="I26" s="499">
        <f t="shared" si="19"/>
        <v>1</v>
      </c>
      <c r="J26" s="499">
        <f t="shared" si="19"/>
        <v>1</v>
      </c>
      <c r="K26" s="499">
        <f t="shared" si="19"/>
        <v>1</v>
      </c>
      <c r="L26" s="499">
        <f t="shared" si="19"/>
        <v>1</v>
      </c>
      <c r="M26" s="499">
        <f t="shared" si="19"/>
        <v>1</v>
      </c>
      <c r="N26" s="499">
        <f t="shared" si="19"/>
        <v>1</v>
      </c>
      <c r="O26" s="499">
        <f t="shared" si="19"/>
        <v>1</v>
      </c>
      <c r="P26" s="499">
        <f t="shared" si="19"/>
        <v>1</v>
      </c>
      <c r="Q26" s="499">
        <f t="shared" si="19"/>
        <v>1</v>
      </c>
      <c r="R26" s="499">
        <f t="shared" si="19"/>
        <v>1</v>
      </c>
      <c r="S26" s="499">
        <f t="shared" si="19"/>
        <v>1</v>
      </c>
      <c r="T26" s="499">
        <f t="shared" si="19"/>
        <v>1</v>
      </c>
      <c r="U26" s="499">
        <f t="shared" si="19"/>
        <v>1</v>
      </c>
      <c r="V26" s="499">
        <f t="shared" si="19"/>
        <v>1</v>
      </c>
      <c r="W26" s="499">
        <f t="shared" si="19"/>
        <v>1</v>
      </c>
      <c r="X26" s="499">
        <f t="shared" si="19"/>
        <v>1</v>
      </c>
      <c r="Y26" s="499">
        <f t="shared" si="19"/>
        <v>1</v>
      </c>
      <c r="Z26" s="499">
        <f t="shared" si="19"/>
        <v>1</v>
      </c>
      <c r="AA26" s="499">
        <f t="shared" si="19"/>
        <v>1</v>
      </c>
      <c r="AB26" s="499">
        <f t="shared" si="19"/>
        <v>1</v>
      </c>
      <c r="AC26" s="499">
        <f t="shared" si="19"/>
        <v>1</v>
      </c>
      <c r="AD26" s="499">
        <f t="shared" si="19"/>
        <v>1</v>
      </c>
      <c r="AE26" s="499">
        <f t="shared" si="19"/>
        <v>1</v>
      </c>
      <c r="AF26" s="499">
        <f t="shared" si="13"/>
        <v>1</v>
      </c>
      <c r="AG26" s="499">
        <f t="shared" si="14"/>
        <v>1</v>
      </c>
      <c r="AH26" s="499">
        <f t="shared" si="15"/>
        <v>1</v>
      </c>
      <c r="AI26" s="499">
        <f t="shared" si="16"/>
        <v>1</v>
      </c>
      <c r="AJ26" s="499">
        <f t="shared" si="17"/>
        <v>1</v>
      </c>
    </row>
    <row r="27" spans="1:36" ht="13.15" customHeight="1" x14ac:dyDescent="0.2">
      <c r="A27" s="15" t="s">
        <v>850</v>
      </c>
      <c r="B27" s="499">
        <v>1</v>
      </c>
      <c r="C27" s="499">
        <f t="shared" si="11"/>
        <v>1</v>
      </c>
      <c r="D27" s="499">
        <f t="shared" si="19"/>
        <v>1</v>
      </c>
      <c r="E27" s="499">
        <f t="shared" si="19"/>
        <v>1</v>
      </c>
      <c r="F27" s="499">
        <f t="shared" si="19"/>
        <v>1</v>
      </c>
      <c r="G27" s="499">
        <f t="shared" si="19"/>
        <v>1</v>
      </c>
      <c r="H27" s="499">
        <f t="shared" si="19"/>
        <v>1</v>
      </c>
      <c r="I27" s="499">
        <f t="shared" si="19"/>
        <v>1</v>
      </c>
      <c r="J27" s="499">
        <f t="shared" si="19"/>
        <v>1</v>
      </c>
      <c r="K27" s="499">
        <f t="shared" si="19"/>
        <v>1</v>
      </c>
      <c r="L27" s="499">
        <f t="shared" si="19"/>
        <v>1</v>
      </c>
      <c r="M27" s="499">
        <f t="shared" si="19"/>
        <v>1</v>
      </c>
      <c r="N27" s="499">
        <f t="shared" si="19"/>
        <v>1</v>
      </c>
      <c r="O27" s="499">
        <f t="shared" si="19"/>
        <v>1</v>
      </c>
      <c r="P27" s="499">
        <f t="shared" si="19"/>
        <v>1</v>
      </c>
      <c r="Q27" s="499">
        <f t="shared" si="19"/>
        <v>1</v>
      </c>
      <c r="R27" s="499">
        <f t="shared" si="19"/>
        <v>1</v>
      </c>
      <c r="S27" s="499">
        <f t="shared" si="19"/>
        <v>1</v>
      </c>
      <c r="T27" s="499">
        <f t="shared" si="19"/>
        <v>1</v>
      </c>
      <c r="U27" s="499">
        <f t="shared" si="19"/>
        <v>1</v>
      </c>
      <c r="V27" s="499">
        <f t="shared" si="19"/>
        <v>1</v>
      </c>
      <c r="W27" s="499">
        <f t="shared" si="19"/>
        <v>1</v>
      </c>
      <c r="X27" s="499">
        <f t="shared" si="19"/>
        <v>1</v>
      </c>
      <c r="Y27" s="499">
        <f t="shared" si="19"/>
        <v>1</v>
      </c>
      <c r="Z27" s="499">
        <f t="shared" si="19"/>
        <v>1</v>
      </c>
      <c r="AA27" s="499">
        <f t="shared" si="19"/>
        <v>1</v>
      </c>
      <c r="AB27" s="499">
        <f t="shared" si="19"/>
        <v>1</v>
      </c>
      <c r="AC27" s="499">
        <f t="shared" si="19"/>
        <v>1</v>
      </c>
      <c r="AD27" s="499">
        <f t="shared" si="19"/>
        <v>1</v>
      </c>
      <c r="AE27" s="499">
        <f t="shared" si="19"/>
        <v>1</v>
      </c>
      <c r="AF27" s="499">
        <f t="shared" si="13"/>
        <v>1</v>
      </c>
      <c r="AG27" s="499">
        <f t="shared" si="14"/>
        <v>1</v>
      </c>
      <c r="AH27" s="499">
        <f t="shared" si="15"/>
        <v>1</v>
      </c>
      <c r="AI27" s="499">
        <f t="shared" si="16"/>
        <v>1</v>
      </c>
      <c r="AJ27" s="499">
        <f t="shared" si="17"/>
        <v>1</v>
      </c>
    </row>
    <row r="28" spans="1:36" ht="13.15" customHeight="1" x14ac:dyDescent="0.2">
      <c r="A28" s="15" t="s">
        <v>851</v>
      </c>
      <c r="B28" s="499">
        <v>1</v>
      </c>
      <c r="C28" s="499">
        <f t="shared" si="11"/>
        <v>1</v>
      </c>
      <c r="D28" s="499">
        <f t="shared" si="19"/>
        <v>1</v>
      </c>
      <c r="E28" s="499">
        <f t="shared" si="19"/>
        <v>1</v>
      </c>
      <c r="F28" s="499">
        <f t="shared" si="19"/>
        <v>1</v>
      </c>
      <c r="G28" s="499">
        <f t="shared" si="19"/>
        <v>1</v>
      </c>
      <c r="H28" s="499">
        <f t="shared" si="19"/>
        <v>1</v>
      </c>
      <c r="I28" s="499">
        <f t="shared" si="19"/>
        <v>1</v>
      </c>
      <c r="J28" s="499">
        <f t="shared" si="19"/>
        <v>1</v>
      </c>
      <c r="K28" s="499">
        <f t="shared" si="19"/>
        <v>1</v>
      </c>
      <c r="L28" s="499">
        <f t="shared" si="19"/>
        <v>1</v>
      </c>
      <c r="M28" s="499">
        <f t="shared" si="19"/>
        <v>1</v>
      </c>
      <c r="N28" s="499">
        <f t="shared" si="19"/>
        <v>1</v>
      </c>
      <c r="O28" s="499">
        <f t="shared" si="19"/>
        <v>1</v>
      </c>
      <c r="P28" s="499">
        <f t="shared" si="19"/>
        <v>1</v>
      </c>
      <c r="Q28" s="499">
        <f t="shared" si="19"/>
        <v>1</v>
      </c>
      <c r="R28" s="499">
        <f t="shared" si="19"/>
        <v>1</v>
      </c>
      <c r="S28" s="499">
        <f t="shared" si="19"/>
        <v>1</v>
      </c>
      <c r="T28" s="499">
        <f t="shared" si="19"/>
        <v>1</v>
      </c>
      <c r="U28" s="499">
        <f t="shared" si="19"/>
        <v>1</v>
      </c>
      <c r="V28" s="499">
        <f t="shared" si="19"/>
        <v>1</v>
      </c>
      <c r="W28" s="499">
        <f t="shared" si="19"/>
        <v>1</v>
      </c>
      <c r="X28" s="499">
        <f t="shared" si="19"/>
        <v>1</v>
      </c>
      <c r="Y28" s="499">
        <f t="shared" si="19"/>
        <v>1</v>
      </c>
      <c r="Z28" s="499">
        <f t="shared" si="19"/>
        <v>1</v>
      </c>
      <c r="AA28" s="499">
        <f t="shared" si="19"/>
        <v>1</v>
      </c>
      <c r="AB28" s="499">
        <f t="shared" si="19"/>
        <v>1</v>
      </c>
      <c r="AC28" s="499">
        <f t="shared" si="19"/>
        <v>1</v>
      </c>
      <c r="AD28" s="499">
        <f t="shared" si="19"/>
        <v>1</v>
      </c>
      <c r="AE28" s="499">
        <f t="shared" si="19"/>
        <v>1</v>
      </c>
      <c r="AF28" s="499">
        <f t="shared" si="13"/>
        <v>1</v>
      </c>
      <c r="AG28" s="499">
        <f t="shared" si="14"/>
        <v>1</v>
      </c>
      <c r="AH28" s="499">
        <f t="shared" si="15"/>
        <v>1</v>
      </c>
      <c r="AI28" s="499">
        <f t="shared" si="16"/>
        <v>1</v>
      </c>
      <c r="AJ28" s="499">
        <f t="shared" si="17"/>
        <v>1</v>
      </c>
    </row>
    <row r="29" spans="1:36" ht="13.15" customHeight="1" x14ac:dyDescent="0.2">
      <c r="A29" s="15" t="s">
        <v>852</v>
      </c>
      <c r="B29" s="499">
        <v>1</v>
      </c>
      <c r="C29" s="499">
        <f t="shared" si="11"/>
        <v>1</v>
      </c>
      <c r="D29" s="499">
        <f t="shared" si="19"/>
        <v>1</v>
      </c>
      <c r="E29" s="499">
        <f t="shared" si="19"/>
        <v>1</v>
      </c>
      <c r="F29" s="499">
        <f t="shared" si="19"/>
        <v>1</v>
      </c>
      <c r="G29" s="499">
        <f t="shared" si="19"/>
        <v>1</v>
      </c>
      <c r="H29" s="499">
        <f t="shared" si="19"/>
        <v>1</v>
      </c>
      <c r="I29" s="499">
        <f t="shared" si="19"/>
        <v>1</v>
      </c>
      <c r="J29" s="499">
        <f t="shared" si="19"/>
        <v>1</v>
      </c>
      <c r="K29" s="499">
        <f t="shared" si="19"/>
        <v>1</v>
      </c>
      <c r="L29" s="499">
        <f t="shared" si="19"/>
        <v>1</v>
      </c>
      <c r="M29" s="499">
        <f t="shared" si="19"/>
        <v>1</v>
      </c>
      <c r="N29" s="499">
        <f t="shared" si="19"/>
        <v>1</v>
      </c>
      <c r="O29" s="499">
        <f t="shared" si="19"/>
        <v>1</v>
      </c>
      <c r="P29" s="499">
        <f t="shared" si="19"/>
        <v>1</v>
      </c>
      <c r="Q29" s="499">
        <f t="shared" si="19"/>
        <v>1</v>
      </c>
      <c r="R29" s="499">
        <f t="shared" si="19"/>
        <v>1</v>
      </c>
      <c r="S29" s="499">
        <f t="shared" si="19"/>
        <v>1</v>
      </c>
      <c r="T29" s="499">
        <f t="shared" si="19"/>
        <v>1</v>
      </c>
      <c r="U29" s="499">
        <f t="shared" si="19"/>
        <v>1</v>
      </c>
      <c r="V29" s="499">
        <f t="shared" si="19"/>
        <v>1</v>
      </c>
      <c r="W29" s="499">
        <f t="shared" si="19"/>
        <v>1</v>
      </c>
      <c r="X29" s="499">
        <f t="shared" si="19"/>
        <v>1</v>
      </c>
      <c r="Y29" s="499">
        <f t="shared" si="19"/>
        <v>1</v>
      </c>
      <c r="Z29" s="499">
        <f t="shared" si="19"/>
        <v>1</v>
      </c>
      <c r="AA29" s="499">
        <f t="shared" si="19"/>
        <v>1</v>
      </c>
      <c r="AB29" s="499">
        <f t="shared" si="19"/>
        <v>1</v>
      </c>
      <c r="AC29" s="499">
        <f t="shared" si="19"/>
        <v>1</v>
      </c>
      <c r="AD29" s="499">
        <f t="shared" si="19"/>
        <v>1</v>
      </c>
      <c r="AE29" s="499">
        <f t="shared" si="19"/>
        <v>1</v>
      </c>
      <c r="AF29" s="499">
        <f t="shared" si="13"/>
        <v>1</v>
      </c>
      <c r="AG29" s="499">
        <f t="shared" si="14"/>
        <v>1</v>
      </c>
      <c r="AH29" s="499">
        <f t="shared" si="15"/>
        <v>1</v>
      </c>
      <c r="AI29" s="499">
        <f t="shared" si="16"/>
        <v>1</v>
      </c>
      <c r="AJ29" s="499">
        <f t="shared" si="17"/>
        <v>1</v>
      </c>
    </row>
    <row r="30" spans="1:36" ht="13.15" customHeight="1" x14ac:dyDescent="0.2">
      <c r="A30" s="15" t="s">
        <v>853</v>
      </c>
      <c r="B30" s="499">
        <v>1</v>
      </c>
      <c r="C30" s="499">
        <f t="shared" si="11"/>
        <v>1</v>
      </c>
      <c r="D30" s="499">
        <f t="shared" si="19"/>
        <v>1</v>
      </c>
      <c r="E30" s="499">
        <f t="shared" si="19"/>
        <v>1</v>
      </c>
      <c r="F30" s="499">
        <f t="shared" si="19"/>
        <v>1</v>
      </c>
      <c r="G30" s="499">
        <f t="shared" si="19"/>
        <v>1</v>
      </c>
      <c r="H30" s="499">
        <f t="shared" si="19"/>
        <v>1</v>
      </c>
      <c r="I30" s="499">
        <f t="shared" si="19"/>
        <v>1</v>
      </c>
      <c r="J30" s="499">
        <f t="shared" si="19"/>
        <v>1</v>
      </c>
      <c r="K30" s="499">
        <f t="shared" si="19"/>
        <v>1</v>
      </c>
      <c r="L30" s="499">
        <f t="shared" si="19"/>
        <v>1</v>
      </c>
      <c r="M30" s="499">
        <f t="shared" si="19"/>
        <v>1</v>
      </c>
      <c r="N30" s="499">
        <f t="shared" si="19"/>
        <v>1</v>
      </c>
      <c r="O30" s="499">
        <f t="shared" si="19"/>
        <v>1</v>
      </c>
      <c r="P30" s="499">
        <f t="shared" si="19"/>
        <v>1</v>
      </c>
      <c r="Q30" s="499">
        <f t="shared" si="19"/>
        <v>1</v>
      </c>
      <c r="R30" s="499">
        <f t="shared" si="19"/>
        <v>1</v>
      </c>
      <c r="S30" s="499">
        <f t="shared" si="19"/>
        <v>1</v>
      </c>
      <c r="T30" s="499">
        <f t="shared" si="19"/>
        <v>1</v>
      </c>
      <c r="U30" s="499">
        <f t="shared" si="19"/>
        <v>1</v>
      </c>
      <c r="V30" s="499">
        <f t="shared" si="19"/>
        <v>1</v>
      </c>
      <c r="W30" s="499">
        <f t="shared" si="19"/>
        <v>1</v>
      </c>
      <c r="X30" s="499">
        <f t="shared" si="19"/>
        <v>1</v>
      </c>
      <c r="Y30" s="499">
        <f t="shared" si="19"/>
        <v>1</v>
      </c>
      <c r="Z30" s="499">
        <f t="shared" si="19"/>
        <v>1</v>
      </c>
      <c r="AA30" s="499">
        <f t="shared" si="19"/>
        <v>1</v>
      </c>
      <c r="AB30" s="499">
        <f t="shared" si="19"/>
        <v>1</v>
      </c>
      <c r="AC30" s="499">
        <f t="shared" si="19"/>
        <v>1</v>
      </c>
      <c r="AD30" s="499">
        <f t="shared" si="19"/>
        <v>1</v>
      </c>
      <c r="AE30" s="499">
        <f t="shared" si="19"/>
        <v>1</v>
      </c>
      <c r="AF30" s="499">
        <f t="shared" si="13"/>
        <v>1</v>
      </c>
      <c r="AG30" s="499">
        <f t="shared" si="14"/>
        <v>1</v>
      </c>
      <c r="AH30" s="499">
        <f t="shared" si="15"/>
        <v>1</v>
      </c>
      <c r="AI30" s="499">
        <f t="shared" si="16"/>
        <v>1</v>
      </c>
      <c r="AJ30" s="499">
        <f t="shared" si="17"/>
        <v>1</v>
      </c>
    </row>
    <row r="31" spans="1:36" ht="13.15" customHeight="1" x14ac:dyDescent="0.2">
      <c r="A31" s="15" t="s">
        <v>854</v>
      </c>
      <c r="B31" s="499">
        <v>1</v>
      </c>
      <c r="C31" s="499">
        <f t="shared" si="11"/>
        <v>1</v>
      </c>
      <c r="D31" s="499">
        <f t="shared" si="19"/>
        <v>1</v>
      </c>
      <c r="E31" s="499">
        <f t="shared" si="19"/>
        <v>1</v>
      </c>
      <c r="F31" s="499">
        <f t="shared" si="19"/>
        <v>1</v>
      </c>
      <c r="G31" s="499">
        <f t="shared" si="19"/>
        <v>1</v>
      </c>
      <c r="H31" s="499">
        <f t="shared" si="19"/>
        <v>1</v>
      </c>
      <c r="I31" s="499">
        <f t="shared" si="19"/>
        <v>1</v>
      </c>
      <c r="J31" s="499">
        <f t="shared" si="19"/>
        <v>1</v>
      </c>
      <c r="K31" s="499">
        <f t="shared" si="19"/>
        <v>1</v>
      </c>
      <c r="L31" s="499">
        <f t="shared" si="19"/>
        <v>1</v>
      </c>
      <c r="M31" s="499">
        <f t="shared" si="19"/>
        <v>1</v>
      </c>
      <c r="N31" s="499">
        <f t="shared" si="19"/>
        <v>1</v>
      </c>
      <c r="O31" s="499">
        <f t="shared" si="19"/>
        <v>1</v>
      </c>
      <c r="P31" s="499">
        <f t="shared" si="19"/>
        <v>1</v>
      </c>
      <c r="Q31" s="499">
        <f t="shared" si="19"/>
        <v>1</v>
      </c>
      <c r="R31" s="499">
        <f t="shared" si="19"/>
        <v>1</v>
      </c>
      <c r="S31" s="499">
        <f t="shared" si="19"/>
        <v>1</v>
      </c>
      <c r="T31" s="499">
        <f t="shared" si="19"/>
        <v>1</v>
      </c>
      <c r="U31" s="499">
        <f t="shared" si="19"/>
        <v>1</v>
      </c>
      <c r="V31" s="499">
        <f t="shared" si="19"/>
        <v>1</v>
      </c>
      <c r="W31" s="499">
        <f t="shared" si="19"/>
        <v>1</v>
      </c>
      <c r="X31" s="499">
        <f t="shared" si="19"/>
        <v>1</v>
      </c>
      <c r="Y31" s="499">
        <f t="shared" si="19"/>
        <v>1</v>
      </c>
      <c r="Z31" s="499">
        <f t="shared" si="19"/>
        <v>1</v>
      </c>
      <c r="AA31" s="499">
        <f t="shared" si="19"/>
        <v>1</v>
      </c>
      <c r="AB31" s="499">
        <f t="shared" si="19"/>
        <v>1</v>
      </c>
      <c r="AC31" s="499">
        <f t="shared" si="19"/>
        <v>1</v>
      </c>
      <c r="AD31" s="499">
        <f t="shared" si="19"/>
        <v>1</v>
      </c>
      <c r="AE31" s="499">
        <f t="shared" si="19"/>
        <v>1</v>
      </c>
      <c r="AF31" s="499">
        <f t="shared" si="13"/>
        <v>1</v>
      </c>
      <c r="AG31" s="499">
        <f t="shared" si="14"/>
        <v>1</v>
      </c>
      <c r="AH31" s="499">
        <f t="shared" si="15"/>
        <v>1</v>
      </c>
      <c r="AI31" s="499">
        <f t="shared" si="16"/>
        <v>1</v>
      </c>
      <c r="AJ31" s="499">
        <f t="shared" si="17"/>
        <v>1</v>
      </c>
    </row>
    <row r="32" spans="1:36" ht="13.15" customHeight="1" x14ac:dyDescent="0.2">
      <c r="A32" s="15" t="s">
        <v>855</v>
      </c>
      <c r="B32" s="499">
        <v>1</v>
      </c>
      <c r="C32" s="499">
        <f t="shared" si="11"/>
        <v>1</v>
      </c>
      <c r="D32" s="499">
        <f t="shared" si="19"/>
        <v>1</v>
      </c>
      <c r="E32" s="499">
        <f t="shared" si="19"/>
        <v>1</v>
      </c>
      <c r="F32" s="499">
        <f t="shared" si="19"/>
        <v>1</v>
      </c>
      <c r="G32" s="499">
        <f t="shared" si="19"/>
        <v>1</v>
      </c>
      <c r="H32" s="499">
        <f t="shared" si="19"/>
        <v>1</v>
      </c>
      <c r="I32" s="499">
        <f t="shared" si="19"/>
        <v>1</v>
      </c>
      <c r="J32" s="499">
        <f t="shared" si="19"/>
        <v>1</v>
      </c>
      <c r="K32" s="499">
        <f t="shared" si="19"/>
        <v>1</v>
      </c>
      <c r="L32" s="499">
        <f t="shared" si="19"/>
        <v>1</v>
      </c>
      <c r="M32" s="499">
        <f t="shared" si="19"/>
        <v>1</v>
      </c>
      <c r="N32" s="499">
        <f t="shared" si="19"/>
        <v>1</v>
      </c>
      <c r="O32" s="499">
        <f t="shared" si="19"/>
        <v>1</v>
      </c>
      <c r="P32" s="499">
        <f t="shared" si="19"/>
        <v>1</v>
      </c>
      <c r="Q32" s="499">
        <f t="shared" si="19"/>
        <v>1</v>
      </c>
      <c r="R32" s="499">
        <f t="shared" si="19"/>
        <v>1</v>
      </c>
      <c r="S32" s="499">
        <f t="shared" si="19"/>
        <v>1</v>
      </c>
      <c r="T32" s="499">
        <f t="shared" si="19"/>
        <v>1</v>
      </c>
      <c r="U32" s="499">
        <f t="shared" si="19"/>
        <v>1</v>
      </c>
      <c r="V32" s="499">
        <f t="shared" si="19"/>
        <v>1</v>
      </c>
      <c r="W32" s="499">
        <f t="shared" si="19"/>
        <v>1</v>
      </c>
      <c r="X32" s="499">
        <f t="shared" si="19"/>
        <v>1</v>
      </c>
      <c r="Y32" s="499">
        <f t="shared" ref="D32:AE35" si="20">X32</f>
        <v>1</v>
      </c>
      <c r="Z32" s="499">
        <f t="shared" si="20"/>
        <v>1</v>
      </c>
      <c r="AA32" s="499">
        <f t="shared" si="20"/>
        <v>1</v>
      </c>
      <c r="AB32" s="499">
        <f t="shared" si="20"/>
        <v>1</v>
      </c>
      <c r="AC32" s="499">
        <f t="shared" si="20"/>
        <v>1</v>
      </c>
      <c r="AD32" s="499">
        <f t="shared" si="20"/>
        <v>1</v>
      </c>
      <c r="AE32" s="499">
        <f t="shared" si="20"/>
        <v>1</v>
      </c>
      <c r="AF32" s="499">
        <f t="shared" si="13"/>
        <v>1</v>
      </c>
      <c r="AG32" s="499">
        <f t="shared" si="14"/>
        <v>1</v>
      </c>
      <c r="AH32" s="499">
        <f t="shared" si="15"/>
        <v>1</v>
      </c>
      <c r="AI32" s="499">
        <f t="shared" si="16"/>
        <v>1</v>
      </c>
      <c r="AJ32" s="499">
        <f t="shared" si="17"/>
        <v>1</v>
      </c>
    </row>
    <row r="33" spans="1:36" ht="13.15" customHeight="1" x14ac:dyDescent="0.2">
      <c r="A33" s="15" t="s">
        <v>856</v>
      </c>
      <c r="B33" s="499">
        <v>1</v>
      </c>
      <c r="C33" s="499">
        <f t="shared" si="11"/>
        <v>1</v>
      </c>
      <c r="D33" s="499">
        <f t="shared" si="20"/>
        <v>1</v>
      </c>
      <c r="E33" s="499">
        <f t="shared" si="20"/>
        <v>1</v>
      </c>
      <c r="F33" s="499">
        <f t="shared" si="20"/>
        <v>1</v>
      </c>
      <c r="G33" s="499">
        <f t="shared" si="20"/>
        <v>1</v>
      </c>
      <c r="H33" s="499">
        <f t="shared" si="20"/>
        <v>1</v>
      </c>
      <c r="I33" s="499">
        <f t="shared" si="20"/>
        <v>1</v>
      </c>
      <c r="J33" s="499">
        <f t="shared" si="20"/>
        <v>1</v>
      </c>
      <c r="K33" s="499">
        <f t="shared" si="20"/>
        <v>1</v>
      </c>
      <c r="L33" s="499">
        <f t="shared" si="20"/>
        <v>1</v>
      </c>
      <c r="M33" s="499">
        <f t="shared" si="20"/>
        <v>1</v>
      </c>
      <c r="N33" s="499">
        <f t="shared" si="20"/>
        <v>1</v>
      </c>
      <c r="O33" s="499">
        <f t="shared" si="20"/>
        <v>1</v>
      </c>
      <c r="P33" s="499">
        <f t="shared" si="20"/>
        <v>1</v>
      </c>
      <c r="Q33" s="499">
        <f t="shared" si="20"/>
        <v>1</v>
      </c>
      <c r="R33" s="499">
        <f t="shared" si="20"/>
        <v>1</v>
      </c>
      <c r="S33" s="499">
        <f t="shared" si="20"/>
        <v>1</v>
      </c>
      <c r="T33" s="499">
        <f t="shared" si="20"/>
        <v>1</v>
      </c>
      <c r="U33" s="499">
        <f t="shared" si="20"/>
        <v>1</v>
      </c>
      <c r="V33" s="499">
        <f t="shared" si="20"/>
        <v>1</v>
      </c>
      <c r="W33" s="499">
        <f t="shared" si="20"/>
        <v>1</v>
      </c>
      <c r="X33" s="499">
        <f t="shared" si="20"/>
        <v>1</v>
      </c>
      <c r="Y33" s="499">
        <f t="shared" si="20"/>
        <v>1</v>
      </c>
      <c r="Z33" s="499">
        <f t="shared" si="20"/>
        <v>1</v>
      </c>
      <c r="AA33" s="499">
        <f t="shared" si="20"/>
        <v>1</v>
      </c>
      <c r="AB33" s="499">
        <f t="shared" si="20"/>
        <v>1</v>
      </c>
      <c r="AC33" s="499">
        <f t="shared" si="20"/>
        <v>1</v>
      </c>
      <c r="AD33" s="499">
        <f t="shared" si="20"/>
        <v>1</v>
      </c>
      <c r="AE33" s="499">
        <f t="shared" si="20"/>
        <v>1</v>
      </c>
      <c r="AF33" s="499">
        <f t="shared" si="13"/>
        <v>1</v>
      </c>
      <c r="AG33" s="499">
        <f t="shared" si="14"/>
        <v>1</v>
      </c>
      <c r="AH33" s="499">
        <f t="shared" si="15"/>
        <v>1</v>
      </c>
      <c r="AI33" s="499">
        <f t="shared" si="16"/>
        <v>1</v>
      </c>
      <c r="AJ33" s="499">
        <f t="shared" si="17"/>
        <v>1</v>
      </c>
    </row>
    <row r="34" spans="1:36" ht="13.15" customHeight="1" x14ac:dyDescent="0.2">
      <c r="A34" s="15" t="s">
        <v>857</v>
      </c>
      <c r="B34" s="499">
        <v>1</v>
      </c>
      <c r="C34" s="499">
        <f t="shared" si="11"/>
        <v>1</v>
      </c>
      <c r="D34" s="499">
        <f t="shared" si="20"/>
        <v>1</v>
      </c>
      <c r="E34" s="499">
        <f t="shared" si="20"/>
        <v>1</v>
      </c>
      <c r="F34" s="499">
        <f t="shared" si="20"/>
        <v>1</v>
      </c>
      <c r="G34" s="499">
        <f t="shared" si="20"/>
        <v>1</v>
      </c>
      <c r="H34" s="499">
        <f t="shared" si="20"/>
        <v>1</v>
      </c>
      <c r="I34" s="499">
        <f t="shared" si="20"/>
        <v>1</v>
      </c>
      <c r="J34" s="499">
        <f t="shared" si="20"/>
        <v>1</v>
      </c>
      <c r="K34" s="499">
        <f t="shared" si="20"/>
        <v>1</v>
      </c>
      <c r="L34" s="499">
        <f t="shared" si="20"/>
        <v>1</v>
      </c>
      <c r="M34" s="499">
        <f t="shared" si="20"/>
        <v>1</v>
      </c>
      <c r="N34" s="499">
        <f t="shared" si="20"/>
        <v>1</v>
      </c>
      <c r="O34" s="499">
        <f t="shared" si="20"/>
        <v>1</v>
      </c>
      <c r="P34" s="499">
        <f t="shared" si="20"/>
        <v>1</v>
      </c>
      <c r="Q34" s="499">
        <f t="shared" si="20"/>
        <v>1</v>
      </c>
      <c r="R34" s="499">
        <f t="shared" si="20"/>
        <v>1</v>
      </c>
      <c r="S34" s="499">
        <f t="shared" si="20"/>
        <v>1</v>
      </c>
      <c r="T34" s="499">
        <f t="shared" si="20"/>
        <v>1</v>
      </c>
      <c r="U34" s="499">
        <f t="shared" si="20"/>
        <v>1</v>
      </c>
      <c r="V34" s="499">
        <f t="shared" si="20"/>
        <v>1</v>
      </c>
      <c r="W34" s="499">
        <f t="shared" si="20"/>
        <v>1</v>
      </c>
      <c r="X34" s="499">
        <f t="shared" si="20"/>
        <v>1</v>
      </c>
      <c r="Y34" s="499">
        <f t="shared" si="20"/>
        <v>1</v>
      </c>
      <c r="Z34" s="499">
        <f t="shared" si="20"/>
        <v>1</v>
      </c>
      <c r="AA34" s="499">
        <f t="shared" si="20"/>
        <v>1</v>
      </c>
      <c r="AB34" s="499">
        <f t="shared" si="20"/>
        <v>1</v>
      </c>
      <c r="AC34" s="499">
        <f t="shared" si="20"/>
        <v>1</v>
      </c>
      <c r="AD34" s="499">
        <f t="shared" si="20"/>
        <v>1</v>
      </c>
      <c r="AE34" s="499">
        <f t="shared" si="20"/>
        <v>1</v>
      </c>
      <c r="AF34" s="499">
        <f t="shared" si="13"/>
        <v>1</v>
      </c>
      <c r="AG34" s="499">
        <f t="shared" si="14"/>
        <v>1</v>
      </c>
      <c r="AH34" s="499">
        <f t="shared" si="15"/>
        <v>1</v>
      </c>
      <c r="AI34" s="499">
        <f t="shared" si="16"/>
        <v>1</v>
      </c>
      <c r="AJ34" s="499">
        <f t="shared" si="17"/>
        <v>1</v>
      </c>
    </row>
    <row r="35" spans="1:36" ht="13.15" customHeight="1" x14ac:dyDescent="0.2">
      <c r="A35" s="15" t="s">
        <v>858</v>
      </c>
      <c r="B35" s="499">
        <v>1</v>
      </c>
      <c r="C35" s="499">
        <f t="shared" si="11"/>
        <v>1</v>
      </c>
      <c r="D35" s="499">
        <f t="shared" si="20"/>
        <v>1</v>
      </c>
      <c r="E35" s="499">
        <f t="shared" si="20"/>
        <v>1</v>
      </c>
      <c r="F35" s="499">
        <f t="shared" si="20"/>
        <v>1</v>
      </c>
      <c r="G35" s="499">
        <f t="shared" si="20"/>
        <v>1</v>
      </c>
      <c r="H35" s="499">
        <f t="shared" si="20"/>
        <v>1</v>
      </c>
      <c r="I35" s="499">
        <f t="shared" si="20"/>
        <v>1</v>
      </c>
      <c r="J35" s="499">
        <f t="shared" si="20"/>
        <v>1</v>
      </c>
      <c r="K35" s="499">
        <f t="shared" si="20"/>
        <v>1</v>
      </c>
      <c r="L35" s="499">
        <f t="shared" si="20"/>
        <v>1</v>
      </c>
      <c r="M35" s="499">
        <f t="shared" si="20"/>
        <v>1</v>
      </c>
      <c r="N35" s="499">
        <f t="shared" si="20"/>
        <v>1</v>
      </c>
      <c r="O35" s="499">
        <f t="shared" si="20"/>
        <v>1</v>
      </c>
      <c r="P35" s="499">
        <f t="shared" si="20"/>
        <v>1</v>
      </c>
      <c r="Q35" s="499">
        <f t="shared" si="20"/>
        <v>1</v>
      </c>
      <c r="R35" s="499">
        <f t="shared" si="20"/>
        <v>1</v>
      </c>
      <c r="S35" s="499">
        <f t="shared" si="20"/>
        <v>1</v>
      </c>
      <c r="T35" s="499">
        <f t="shared" si="20"/>
        <v>1</v>
      </c>
      <c r="U35" s="499">
        <f t="shared" si="20"/>
        <v>1</v>
      </c>
      <c r="V35" s="499">
        <f t="shared" si="20"/>
        <v>1</v>
      </c>
      <c r="W35" s="499">
        <f t="shared" si="20"/>
        <v>1</v>
      </c>
      <c r="X35" s="499">
        <f t="shared" si="20"/>
        <v>1</v>
      </c>
      <c r="Y35" s="499">
        <f t="shared" si="20"/>
        <v>1</v>
      </c>
      <c r="Z35" s="499">
        <f t="shared" si="20"/>
        <v>1</v>
      </c>
      <c r="AA35" s="499">
        <f t="shared" si="20"/>
        <v>1</v>
      </c>
      <c r="AB35" s="499">
        <f t="shared" si="20"/>
        <v>1</v>
      </c>
      <c r="AC35" s="499">
        <f t="shared" si="20"/>
        <v>1</v>
      </c>
      <c r="AD35" s="499">
        <f t="shared" si="20"/>
        <v>1</v>
      </c>
      <c r="AE35" s="499">
        <f t="shared" si="20"/>
        <v>1</v>
      </c>
      <c r="AF35" s="499">
        <f t="shared" si="13"/>
        <v>1</v>
      </c>
      <c r="AG35" s="499">
        <f t="shared" si="14"/>
        <v>1</v>
      </c>
      <c r="AH35" s="499">
        <f t="shared" si="15"/>
        <v>1</v>
      </c>
      <c r="AI35" s="499">
        <f t="shared" si="16"/>
        <v>1</v>
      </c>
      <c r="AJ35" s="499">
        <f t="shared" si="17"/>
        <v>1</v>
      </c>
    </row>
    <row r="36" spans="1:36" ht="13.15" customHeight="1" x14ac:dyDescent="0.2">
      <c r="A36" s="19" t="s">
        <v>859</v>
      </c>
      <c r="B36" s="499">
        <v>1</v>
      </c>
      <c r="C36" s="499">
        <v>1</v>
      </c>
      <c r="D36" s="499">
        <v>1</v>
      </c>
      <c r="E36" s="499">
        <v>1</v>
      </c>
      <c r="F36" s="499">
        <v>1</v>
      </c>
      <c r="G36" s="499">
        <v>1</v>
      </c>
      <c r="H36" s="499">
        <v>1</v>
      </c>
      <c r="I36" s="499">
        <v>1</v>
      </c>
      <c r="J36" s="499">
        <v>1</v>
      </c>
      <c r="K36" s="499">
        <v>1</v>
      </c>
      <c r="L36" s="499">
        <v>1</v>
      </c>
      <c r="M36" s="499">
        <v>1</v>
      </c>
      <c r="N36" s="499">
        <v>1</v>
      </c>
      <c r="O36" s="499">
        <v>1</v>
      </c>
      <c r="P36" s="499">
        <v>1</v>
      </c>
      <c r="Q36" s="499">
        <v>1</v>
      </c>
      <c r="R36" s="499">
        <v>1</v>
      </c>
      <c r="S36" s="499">
        <v>1</v>
      </c>
      <c r="T36" s="499">
        <v>1</v>
      </c>
      <c r="U36" s="499">
        <v>1</v>
      </c>
      <c r="V36" s="499">
        <v>1</v>
      </c>
      <c r="W36" s="499">
        <v>1</v>
      </c>
      <c r="X36" s="499">
        <v>1</v>
      </c>
      <c r="Y36" s="499">
        <v>1</v>
      </c>
      <c r="Z36" s="499">
        <v>1</v>
      </c>
      <c r="AA36" s="499">
        <v>1</v>
      </c>
      <c r="AB36" s="499">
        <v>1</v>
      </c>
      <c r="AC36" s="499">
        <v>1</v>
      </c>
      <c r="AD36" s="499">
        <v>1</v>
      </c>
      <c r="AE36" s="499">
        <v>1</v>
      </c>
      <c r="AF36" s="499">
        <v>1</v>
      </c>
      <c r="AG36" s="499">
        <v>1</v>
      </c>
      <c r="AH36" s="499">
        <v>1</v>
      </c>
      <c r="AI36" s="499">
        <v>1</v>
      </c>
      <c r="AJ36" s="499">
        <v>1</v>
      </c>
    </row>
    <row r="37" spans="1:36" ht="13.15" customHeight="1" x14ac:dyDescent="0.2">
      <c r="A37" s="19" t="s">
        <v>860</v>
      </c>
      <c r="B37" s="499">
        <v>1</v>
      </c>
      <c r="C37" s="499">
        <v>1</v>
      </c>
      <c r="D37" s="499">
        <v>1</v>
      </c>
      <c r="E37" s="499">
        <v>1</v>
      </c>
      <c r="F37" s="499">
        <v>1</v>
      </c>
      <c r="G37" s="499">
        <v>1</v>
      </c>
      <c r="H37" s="499">
        <v>1</v>
      </c>
      <c r="I37" s="499">
        <v>1</v>
      </c>
      <c r="J37" s="499">
        <v>1</v>
      </c>
      <c r="K37" s="499">
        <v>1</v>
      </c>
      <c r="L37" s="499">
        <v>1</v>
      </c>
      <c r="M37" s="499">
        <v>1</v>
      </c>
      <c r="N37" s="499">
        <v>1</v>
      </c>
      <c r="O37" s="499">
        <v>1</v>
      </c>
      <c r="P37" s="499">
        <v>1</v>
      </c>
      <c r="Q37" s="499">
        <v>1</v>
      </c>
      <c r="R37" s="499">
        <v>1</v>
      </c>
      <c r="S37" s="499">
        <v>1</v>
      </c>
      <c r="T37" s="499">
        <v>1</v>
      </c>
      <c r="U37" s="499">
        <v>1</v>
      </c>
      <c r="V37" s="499">
        <v>1</v>
      </c>
      <c r="W37" s="499">
        <v>1</v>
      </c>
      <c r="X37" s="499">
        <v>1</v>
      </c>
      <c r="Y37" s="499">
        <v>1</v>
      </c>
      <c r="Z37" s="499">
        <v>1</v>
      </c>
      <c r="AA37" s="499">
        <v>1</v>
      </c>
      <c r="AB37" s="499">
        <v>1</v>
      </c>
      <c r="AC37" s="499">
        <v>1</v>
      </c>
      <c r="AD37" s="499">
        <v>1</v>
      </c>
      <c r="AE37" s="499">
        <v>1</v>
      </c>
      <c r="AF37" s="499">
        <v>1</v>
      </c>
      <c r="AG37" s="499">
        <v>1</v>
      </c>
      <c r="AH37" s="499">
        <v>1</v>
      </c>
      <c r="AI37" s="499">
        <v>1</v>
      </c>
      <c r="AJ37" s="499">
        <v>1</v>
      </c>
    </row>
    <row r="38" spans="1:36" ht="13.15" customHeight="1" x14ac:dyDescent="0.2">
      <c r="A38" s="19" t="s">
        <v>861</v>
      </c>
      <c r="B38" s="499">
        <v>2</v>
      </c>
      <c r="C38" s="499">
        <v>2</v>
      </c>
      <c r="D38" s="499">
        <v>2</v>
      </c>
      <c r="E38" s="499">
        <v>2</v>
      </c>
      <c r="F38" s="499">
        <v>2</v>
      </c>
      <c r="G38" s="499">
        <v>2</v>
      </c>
      <c r="H38" s="499">
        <v>2</v>
      </c>
      <c r="I38" s="499">
        <v>2</v>
      </c>
      <c r="J38" s="499">
        <v>2</v>
      </c>
      <c r="K38" s="499">
        <v>2</v>
      </c>
      <c r="L38" s="499">
        <v>2</v>
      </c>
      <c r="M38" s="499">
        <v>2</v>
      </c>
      <c r="N38" s="499">
        <v>2</v>
      </c>
      <c r="O38" s="499">
        <v>2</v>
      </c>
      <c r="P38" s="499">
        <v>2</v>
      </c>
      <c r="Q38" s="499">
        <v>2</v>
      </c>
      <c r="R38" s="499">
        <v>2</v>
      </c>
      <c r="S38" s="499">
        <v>2</v>
      </c>
      <c r="T38" s="499">
        <v>2</v>
      </c>
      <c r="U38" s="499">
        <v>2</v>
      </c>
      <c r="V38" s="499">
        <v>2</v>
      </c>
      <c r="W38" s="499">
        <v>2</v>
      </c>
      <c r="X38" s="499">
        <v>2</v>
      </c>
      <c r="Y38" s="499">
        <v>2</v>
      </c>
      <c r="Z38" s="499">
        <v>2</v>
      </c>
      <c r="AA38" s="499">
        <v>2</v>
      </c>
      <c r="AB38" s="499">
        <v>2</v>
      </c>
      <c r="AC38" s="499">
        <v>2</v>
      </c>
      <c r="AD38" s="499">
        <v>2</v>
      </c>
      <c r="AE38" s="499">
        <v>2</v>
      </c>
      <c r="AF38" s="499">
        <v>2</v>
      </c>
      <c r="AG38" s="499">
        <v>2</v>
      </c>
      <c r="AH38" s="499">
        <v>2</v>
      </c>
      <c r="AI38" s="499">
        <v>2</v>
      </c>
      <c r="AJ38" s="499">
        <v>2</v>
      </c>
    </row>
    <row r="39" spans="1:36" ht="13.15" customHeight="1" x14ac:dyDescent="0.2">
      <c r="A39" s="19"/>
      <c r="B39" s="500"/>
      <c r="C39" s="500"/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0"/>
      <c r="T39" s="500"/>
      <c r="U39" s="500"/>
      <c r="V39" s="500"/>
      <c r="W39" s="500"/>
      <c r="X39" s="500"/>
      <c r="Y39" s="500"/>
      <c r="Z39" s="500"/>
      <c r="AA39" s="500"/>
      <c r="AB39" s="500"/>
      <c r="AC39" s="500"/>
      <c r="AD39" s="500"/>
      <c r="AE39" s="500"/>
    </row>
    <row r="40" spans="1:36" s="18" customFormat="1" ht="13.15" customHeight="1" x14ac:dyDescent="0.2">
      <c r="A40" s="16" t="s">
        <v>801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 ht="13.15" customHeight="1" x14ac:dyDescent="0.2">
      <c r="A41" s="15" t="s">
        <v>862</v>
      </c>
      <c r="B41" s="499">
        <v>1</v>
      </c>
      <c r="C41" s="499">
        <f t="shared" ref="C41:AE41" si="21">B41</f>
        <v>1</v>
      </c>
      <c r="D41" s="499">
        <f t="shared" si="21"/>
        <v>1</v>
      </c>
      <c r="E41" s="499">
        <f t="shared" si="21"/>
        <v>1</v>
      </c>
      <c r="F41" s="499">
        <f t="shared" si="21"/>
        <v>1</v>
      </c>
      <c r="G41" s="499">
        <f t="shared" si="21"/>
        <v>1</v>
      </c>
      <c r="H41" s="499">
        <f t="shared" si="21"/>
        <v>1</v>
      </c>
      <c r="I41" s="499">
        <f t="shared" si="21"/>
        <v>1</v>
      </c>
      <c r="J41" s="499">
        <f t="shared" si="21"/>
        <v>1</v>
      </c>
      <c r="K41" s="499">
        <f t="shared" si="21"/>
        <v>1</v>
      </c>
      <c r="L41" s="499">
        <f t="shared" si="21"/>
        <v>1</v>
      </c>
      <c r="M41" s="499">
        <f t="shared" si="21"/>
        <v>1</v>
      </c>
      <c r="N41" s="499">
        <f t="shared" si="21"/>
        <v>1</v>
      </c>
      <c r="O41" s="499">
        <f t="shared" si="21"/>
        <v>1</v>
      </c>
      <c r="P41" s="499">
        <f t="shared" si="21"/>
        <v>1</v>
      </c>
      <c r="Q41" s="499">
        <f t="shared" si="21"/>
        <v>1</v>
      </c>
      <c r="R41" s="499">
        <f t="shared" si="21"/>
        <v>1</v>
      </c>
      <c r="S41" s="499">
        <f t="shared" si="21"/>
        <v>1</v>
      </c>
      <c r="T41" s="499">
        <f t="shared" si="21"/>
        <v>1</v>
      </c>
      <c r="U41" s="499">
        <f t="shared" si="21"/>
        <v>1</v>
      </c>
      <c r="V41" s="499">
        <f t="shared" si="21"/>
        <v>1</v>
      </c>
      <c r="W41" s="499">
        <f t="shared" si="21"/>
        <v>1</v>
      </c>
      <c r="X41" s="499">
        <f t="shared" si="21"/>
        <v>1</v>
      </c>
      <c r="Y41" s="499">
        <f t="shared" si="21"/>
        <v>1</v>
      </c>
      <c r="Z41" s="499">
        <f t="shared" si="21"/>
        <v>1</v>
      </c>
      <c r="AA41" s="499">
        <f t="shared" si="21"/>
        <v>1</v>
      </c>
      <c r="AB41" s="499">
        <f t="shared" si="21"/>
        <v>1</v>
      </c>
      <c r="AC41" s="499">
        <f t="shared" si="21"/>
        <v>1</v>
      </c>
      <c r="AD41" s="499">
        <f t="shared" si="21"/>
        <v>1</v>
      </c>
      <c r="AE41" s="499">
        <f t="shared" si="21"/>
        <v>1</v>
      </c>
      <c r="AF41" s="499">
        <f>AE41</f>
        <v>1</v>
      </c>
      <c r="AG41" s="499">
        <f>AF41</f>
        <v>1</v>
      </c>
      <c r="AH41" s="499">
        <f>AG41</f>
        <v>1</v>
      </c>
      <c r="AI41" s="499">
        <f>AH41</f>
        <v>1</v>
      </c>
      <c r="AJ41" s="499">
        <f>AI41</f>
        <v>1</v>
      </c>
    </row>
    <row r="42" spans="1:36" ht="13.15" customHeight="1" x14ac:dyDescent="0.2">
      <c r="A42" s="15"/>
      <c r="B42" s="500"/>
      <c r="C42" s="500"/>
      <c r="D42" s="500"/>
      <c r="E42" s="500"/>
      <c r="F42" s="500"/>
      <c r="G42" s="500"/>
      <c r="H42" s="500"/>
      <c r="I42" s="500"/>
      <c r="J42" s="500"/>
      <c r="K42" s="500"/>
      <c r="L42" s="500"/>
      <c r="M42" s="500"/>
      <c r="N42" s="500"/>
      <c r="O42" s="500"/>
      <c r="P42" s="500"/>
      <c r="Q42" s="500"/>
      <c r="R42" s="500"/>
      <c r="S42" s="500"/>
      <c r="T42" s="500"/>
      <c r="U42" s="500"/>
      <c r="V42" s="500"/>
      <c r="W42" s="500"/>
      <c r="X42" s="500"/>
      <c r="Y42" s="500"/>
      <c r="Z42" s="500"/>
      <c r="AA42" s="500"/>
      <c r="AB42" s="500"/>
      <c r="AC42" s="500"/>
      <c r="AD42" s="500"/>
      <c r="AE42" s="500"/>
      <c r="AF42" s="500"/>
      <c r="AG42" s="500"/>
      <c r="AH42" s="500"/>
      <c r="AI42" s="500"/>
      <c r="AJ42" s="500"/>
    </row>
    <row r="43" spans="1:36" ht="13.15" customHeight="1" x14ac:dyDescent="0.2">
      <c r="A43" s="16" t="s">
        <v>835</v>
      </c>
    </row>
    <row r="44" spans="1:36" s="40" customFormat="1" ht="13.15" customHeight="1" x14ac:dyDescent="0.2">
      <c r="A44" s="15" t="s">
        <v>863</v>
      </c>
      <c r="B44" s="43">
        <v>1</v>
      </c>
      <c r="C44" s="43">
        <f>B44</f>
        <v>1</v>
      </c>
      <c r="D44" s="43">
        <f>C44</f>
        <v>1</v>
      </c>
      <c r="E44" s="43">
        <f t="shared" ref="E44:AE44" si="22">D44</f>
        <v>1</v>
      </c>
      <c r="F44" s="43">
        <f t="shared" si="22"/>
        <v>1</v>
      </c>
      <c r="G44" s="43">
        <f t="shared" si="22"/>
        <v>1</v>
      </c>
      <c r="H44" s="43">
        <f t="shared" si="22"/>
        <v>1</v>
      </c>
      <c r="I44" s="43">
        <f t="shared" si="22"/>
        <v>1</v>
      </c>
      <c r="J44" s="43">
        <f t="shared" si="22"/>
        <v>1</v>
      </c>
      <c r="K44" s="43">
        <f t="shared" si="22"/>
        <v>1</v>
      </c>
      <c r="L44" s="43">
        <f t="shared" si="22"/>
        <v>1</v>
      </c>
      <c r="M44" s="43">
        <f t="shared" si="22"/>
        <v>1</v>
      </c>
      <c r="N44" s="43">
        <f t="shared" si="22"/>
        <v>1</v>
      </c>
      <c r="O44" s="43">
        <f t="shared" si="22"/>
        <v>1</v>
      </c>
      <c r="P44" s="43">
        <f t="shared" si="22"/>
        <v>1</v>
      </c>
      <c r="Q44" s="43">
        <f t="shared" si="22"/>
        <v>1</v>
      </c>
      <c r="R44" s="43">
        <f t="shared" si="22"/>
        <v>1</v>
      </c>
      <c r="S44" s="43">
        <f t="shared" si="22"/>
        <v>1</v>
      </c>
      <c r="T44" s="43">
        <f t="shared" si="22"/>
        <v>1</v>
      </c>
      <c r="U44" s="43">
        <f t="shared" si="22"/>
        <v>1</v>
      </c>
      <c r="V44" s="43">
        <f t="shared" si="22"/>
        <v>1</v>
      </c>
      <c r="W44" s="43">
        <f t="shared" si="22"/>
        <v>1</v>
      </c>
      <c r="X44" s="43">
        <f t="shared" si="22"/>
        <v>1</v>
      </c>
      <c r="Y44" s="43">
        <f t="shared" si="22"/>
        <v>1</v>
      </c>
      <c r="Z44" s="43">
        <f t="shared" si="22"/>
        <v>1</v>
      </c>
      <c r="AA44" s="43">
        <f t="shared" si="22"/>
        <v>1</v>
      </c>
      <c r="AB44" s="43">
        <f t="shared" si="22"/>
        <v>1</v>
      </c>
      <c r="AC44" s="43">
        <f t="shared" si="22"/>
        <v>1</v>
      </c>
      <c r="AD44" s="43">
        <f t="shared" si="22"/>
        <v>1</v>
      </c>
      <c r="AE44" s="43">
        <f t="shared" si="22"/>
        <v>1</v>
      </c>
      <c r="AF44" s="43">
        <f>AE44</f>
        <v>1</v>
      </c>
      <c r="AG44" s="43">
        <f>AF44</f>
        <v>1</v>
      </c>
      <c r="AH44" s="43">
        <f>AG44</f>
        <v>1</v>
      </c>
      <c r="AI44" s="43">
        <f>AH44</f>
        <v>1</v>
      </c>
      <c r="AJ44" s="43">
        <f>AI44</f>
        <v>1</v>
      </c>
    </row>
    <row r="45" spans="1:36" s="256" customFormat="1" ht="13.15" customHeight="1" x14ac:dyDescent="0.2">
      <c r="A45" s="16" t="s">
        <v>864</v>
      </c>
      <c r="B45" s="452"/>
    </row>
    <row r="46" spans="1:36" s="256" customFormat="1" ht="13.15" customHeight="1" x14ac:dyDescent="0.2">
      <c r="A46" s="32" t="s">
        <v>865</v>
      </c>
      <c r="B46" s="496">
        <f>ROUNDUP((('04 - Veículos e Equipamentos'!B13+'04 - Veículos e Equipamentos'!B14-'04 - Veículos e Equipamentos'!B8-'04 - Veículos e Equipamentos'!B11)*(1+'01 - Dados de Entrada'!$C$190)*'01 - Dados de Entrada'!$C$191),0)</f>
        <v>26</v>
      </c>
      <c r="C46" s="496">
        <f>ROUNDUP((('04 - Veículos e Equipamentos'!C13+'04 - Veículos e Equipamentos'!C14-'04 - Veículos e Equipamentos'!C8-'04 - Veículos e Equipamentos'!C11)*(1+'01 - Dados de Entrada'!$C$190)*'01 - Dados de Entrada'!$C$191),0)</f>
        <v>26</v>
      </c>
      <c r="D46" s="496">
        <f>ROUNDUP((('04 - Veículos e Equipamentos'!D13+'04 - Veículos e Equipamentos'!D14-'04 - Veículos e Equipamentos'!D8-'04 - Veículos e Equipamentos'!D11)*(1+'01 - Dados de Entrada'!$C$190)*'01 - Dados de Entrada'!$C$191),0)</f>
        <v>26</v>
      </c>
      <c r="E46" s="496">
        <f>ROUNDUP((('04 - Veículos e Equipamentos'!E13+'04 - Veículos e Equipamentos'!E14-'04 - Veículos e Equipamentos'!E8-'04 - Veículos e Equipamentos'!E11)*(1+'01 - Dados de Entrada'!$C$190)*'01 - Dados de Entrada'!$C$191),0)</f>
        <v>26</v>
      </c>
      <c r="F46" s="496">
        <f>ROUNDUP((('04 - Veículos e Equipamentos'!F13+'04 - Veículos e Equipamentos'!F14-'04 - Veículos e Equipamentos'!F8-'04 - Veículos e Equipamentos'!F11)*(1+'01 - Dados de Entrada'!$C$190)*'01 - Dados de Entrada'!$C$191),0)</f>
        <v>26</v>
      </c>
      <c r="G46" s="496">
        <f>ROUNDUP((('04 - Veículos e Equipamentos'!G13+'04 - Veículos e Equipamentos'!G14-'04 - Veículos e Equipamentos'!G8-'04 - Veículos e Equipamentos'!G11)*(1+'01 - Dados de Entrada'!$C$190)*'01 - Dados de Entrada'!$C$191),0)</f>
        <v>29</v>
      </c>
      <c r="H46" s="496">
        <f>ROUNDUP((('04 - Veículos e Equipamentos'!H13+'04 - Veículos e Equipamentos'!H14-'04 - Veículos e Equipamentos'!H8-'04 - Veículos e Equipamentos'!H11)*(1+'01 - Dados de Entrada'!$C$190)*'01 - Dados de Entrada'!$C$191),0)</f>
        <v>29</v>
      </c>
      <c r="I46" s="496">
        <f>ROUNDUP((('04 - Veículos e Equipamentos'!I13+'04 - Veículos e Equipamentos'!I14-'04 - Veículos e Equipamentos'!I8-'04 - Veículos e Equipamentos'!I11)*(1+'01 - Dados de Entrada'!$C$190)*'01 - Dados de Entrada'!$C$191),0)</f>
        <v>29</v>
      </c>
      <c r="J46" s="496">
        <f>ROUNDUP((('04 - Veículos e Equipamentos'!J13+'04 - Veículos e Equipamentos'!J14-'04 - Veículos e Equipamentos'!J8-'04 - Veículos e Equipamentos'!J11)*(1+'01 - Dados de Entrada'!$C$190)*'01 - Dados de Entrada'!$C$191),0)</f>
        <v>29</v>
      </c>
      <c r="K46" s="496">
        <f>ROUNDUP((('04 - Veículos e Equipamentos'!K13+'04 - Veículos e Equipamentos'!K14-'04 - Veículos e Equipamentos'!K8-'04 - Veículos e Equipamentos'!K11)*(1+'01 - Dados de Entrada'!$C$190)*'01 - Dados de Entrada'!$C$191),0)</f>
        <v>29</v>
      </c>
      <c r="L46" s="496">
        <f>ROUNDUP((('04 - Veículos e Equipamentos'!L13+'04 - Veículos e Equipamentos'!L14-'04 - Veículos e Equipamentos'!L8-'04 - Veículos e Equipamentos'!L11)*(1+'01 - Dados de Entrada'!$C$190)*'01 - Dados de Entrada'!$C$191),0)</f>
        <v>29</v>
      </c>
      <c r="M46" s="496">
        <f>ROUNDUP((('04 - Veículos e Equipamentos'!M13+'04 - Veículos e Equipamentos'!M14-'04 - Veículos e Equipamentos'!M8-'04 - Veículos e Equipamentos'!M11)*(1+'01 - Dados de Entrada'!$C$190)*'01 - Dados de Entrada'!$C$191),0)</f>
        <v>29</v>
      </c>
      <c r="N46" s="496">
        <f>ROUNDUP((('04 - Veículos e Equipamentos'!N13+'04 - Veículos e Equipamentos'!N14-'04 - Veículos e Equipamentos'!N8-'04 - Veículos e Equipamentos'!N11)*(1+'01 - Dados de Entrada'!$C$190)*'01 - Dados de Entrada'!$C$191),0)</f>
        <v>29</v>
      </c>
      <c r="O46" s="496">
        <f>ROUNDUP((('04 - Veículos e Equipamentos'!O13+'04 - Veículos e Equipamentos'!O14-'04 - Veículos e Equipamentos'!O8-'04 - Veículos e Equipamentos'!O11)*(1+'01 - Dados de Entrada'!$C$190)*'01 - Dados de Entrada'!$C$191),0)</f>
        <v>29</v>
      </c>
      <c r="P46" s="496">
        <f>ROUNDUP((('04 - Veículos e Equipamentos'!P13+'04 - Veículos e Equipamentos'!P14-'04 - Veículos e Equipamentos'!P8-'04 - Veículos e Equipamentos'!P11)*(1+'01 - Dados de Entrada'!$C$190)*'01 - Dados de Entrada'!$C$191),0)</f>
        <v>29</v>
      </c>
      <c r="Q46" s="496">
        <f>ROUNDUP((('04 - Veículos e Equipamentos'!Q13+'04 - Veículos e Equipamentos'!Q14-'04 - Veículos e Equipamentos'!Q8-'04 - Veículos e Equipamentos'!Q11)*(1+'01 - Dados de Entrada'!$C$190)*'01 - Dados de Entrada'!$C$191),0)</f>
        <v>29</v>
      </c>
      <c r="R46" s="496">
        <f>ROUNDUP((('04 - Veículos e Equipamentos'!R13+'04 - Veículos e Equipamentos'!R14-'04 - Veículos e Equipamentos'!R8-'04 - Veículos e Equipamentos'!R11)*(1+'01 - Dados de Entrada'!$C$190)*'01 - Dados de Entrada'!$C$191),0)</f>
        <v>29</v>
      </c>
      <c r="S46" s="496">
        <f>ROUNDUP((('04 - Veículos e Equipamentos'!S13+'04 - Veículos e Equipamentos'!S14-'04 - Veículos e Equipamentos'!S8-'04 - Veículos e Equipamentos'!S11)*(1+'01 - Dados de Entrada'!$C$190)*'01 - Dados de Entrada'!$C$191),0)</f>
        <v>29</v>
      </c>
      <c r="T46" s="496">
        <f>ROUNDUP((('04 - Veículos e Equipamentos'!T13+'04 - Veículos e Equipamentos'!T14-'04 - Veículos e Equipamentos'!T8-'04 - Veículos e Equipamentos'!T11)*(1+'01 - Dados de Entrada'!$C$190)*'01 - Dados de Entrada'!$C$191),0)</f>
        <v>29</v>
      </c>
      <c r="U46" s="496">
        <f>ROUNDUP((('04 - Veículos e Equipamentos'!U13+'04 - Veículos e Equipamentos'!U14-'04 - Veículos e Equipamentos'!U8-'04 - Veículos e Equipamentos'!U11)*(1+'01 - Dados de Entrada'!$C$190)*'01 - Dados de Entrada'!$C$191),0)</f>
        <v>29</v>
      </c>
      <c r="V46" s="496">
        <f>ROUNDUP((('04 - Veículos e Equipamentos'!V13+'04 - Veículos e Equipamentos'!V14-'04 - Veículos e Equipamentos'!V8-'04 - Veículos e Equipamentos'!V11)*(1+'01 - Dados de Entrada'!$C$190)*'01 - Dados de Entrada'!$C$191),0)</f>
        <v>29</v>
      </c>
      <c r="W46" s="496">
        <f>ROUNDUP((('04 - Veículos e Equipamentos'!W13+'04 - Veículos e Equipamentos'!W14-'04 - Veículos e Equipamentos'!W8-'04 - Veículos e Equipamentos'!W11)*(1+'01 - Dados de Entrada'!$C$190)*'01 - Dados de Entrada'!$C$191),0)</f>
        <v>29</v>
      </c>
      <c r="X46" s="496">
        <f>ROUNDUP((('04 - Veículos e Equipamentos'!X13+'04 - Veículos e Equipamentos'!X14-'04 - Veículos e Equipamentos'!X8-'04 - Veículos e Equipamentos'!X11)*(1+'01 - Dados de Entrada'!$C$190)*'01 - Dados de Entrada'!$C$191),0)</f>
        <v>29</v>
      </c>
      <c r="Y46" s="496">
        <f>ROUNDUP((('04 - Veículos e Equipamentos'!Y13+'04 - Veículos e Equipamentos'!Y14-'04 - Veículos e Equipamentos'!Y8-'04 - Veículos e Equipamentos'!Y11)*(1+'01 - Dados de Entrada'!$C$190)*'01 - Dados de Entrada'!$C$191),0)</f>
        <v>29</v>
      </c>
      <c r="Z46" s="496">
        <f>ROUNDUP((('04 - Veículos e Equipamentos'!Z13+'04 - Veículos e Equipamentos'!Z14-'04 - Veículos e Equipamentos'!Z8-'04 - Veículos e Equipamentos'!Z11)*(1+'01 - Dados de Entrada'!$C$190)*'01 - Dados de Entrada'!$C$191),0)</f>
        <v>29</v>
      </c>
      <c r="AA46" s="496">
        <f>ROUNDUP((('04 - Veículos e Equipamentos'!AA13+'04 - Veículos e Equipamentos'!AA14-'04 - Veículos e Equipamentos'!AA8-'04 - Veículos e Equipamentos'!AA11)*(1+'01 - Dados de Entrada'!$C$190)*'01 - Dados de Entrada'!$C$191),0)</f>
        <v>29</v>
      </c>
      <c r="AB46" s="496">
        <f>ROUNDUP((('04 - Veículos e Equipamentos'!AB13+'04 - Veículos e Equipamentos'!AB14-'04 - Veículos e Equipamentos'!AB8-'04 - Veículos e Equipamentos'!AB11)*(1+'01 - Dados de Entrada'!$C$190)*'01 - Dados de Entrada'!$C$191),0)</f>
        <v>29</v>
      </c>
      <c r="AC46" s="496">
        <f>ROUNDUP((('04 - Veículos e Equipamentos'!AC13+'04 - Veículos e Equipamentos'!AC14-'04 - Veículos e Equipamentos'!AC8-'04 - Veículos e Equipamentos'!AC11)*(1+'01 - Dados de Entrada'!$C$190)*'01 - Dados de Entrada'!$C$191),0)</f>
        <v>29</v>
      </c>
      <c r="AD46" s="496">
        <f>ROUNDUP((('04 - Veículos e Equipamentos'!AD13+'04 - Veículos e Equipamentos'!AD14-'04 - Veículos e Equipamentos'!AD8-'04 - Veículos e Equipamentos'!AD11)*(1+'01 - Dados de Entrada'!$C$190)*'01 - Dados de Entrada'!$C$191),0)</f>
        <v>29</v>
      </c>
      <c r="AE46" s="496">
        <f>ROUNDUP((('04 - Veículos e Equipamentos'!AE13+'04 - Veículos e Equipamentos'!AE14-'04 - Veículos e Equipamentos'!AE8-'04 - Veículos e Equipamentos'!AE11)*(1+'01 - Dados de Entrada'!$C$190)*'01 - Dados de Entrada'!$C$191),0)</f>
        <v>29</v>
      </c>
      <c r="AF46" s="496">
        <f>ROUNDUP((('04 - Veículos e Equipamentos'!AF13+'04 - Veículos e Equipamentos'!AF14-'04 - Veículos e Equipamentos'!AF8-'04 - Veículos e Equipamentos'!AF11)*(1+'01 - Dados de Entrada'!$C$190)*'01 - Dados de Entrada'!$C$191),0)</f>
        <v>29</v>
      </c>
      <c r="AG46" s="496">
        <f>ROUNDUP((('04 - Veículos e Equipamentos'!AG13+'04 - Veículos e Equipamentos'!AG14-'04 - Veículos e Equipamentos'!AG8-'04 - Veículos e Equipamentos'!AG11)*(1+'01 - Dados de Entrada'!$C$190)*'01 - Dados de Entrada'!$C$191),0)</f>
        <v>29</v>
      </c>
      <c r="AH46" s="496">
        <f>ROUNDUP((('04 - Veículos e Equipamentos'!AH13+'04 - Veículos e Equipamentos'!AH14-'04 - Veículos e Equipamentos'!AH8-'04 - Veículos e Equipamentos'!AH11)*(1+'01 - Dados de Entrada'!$C$190)*'01 - Dados de Entrada'!$C$191),0)</f>
        <v>29</v>
      </c>
      <c r="AI46" s="496">
        <f>ROUNDUP((('04 - Veículos e Equipamentos'!AI13+'04 - Veículos e Equipamentos'!AI14-'04 - Veículos e Equipamentos'!AI8-'04 - Veículos e Equipamentos'!AI11)*(1+'01 - Dados de Entrada'!$C$190)*'01 - Dados de Entrada'!$C$191),0)</f>
        <v>29</v>
      </c>
      <c r="AJ46" s="496">
        <f>ROUNDUP((('04 - Veículos e Equipamentos'!AJ13+'04 - Veículos e Equipamentos'!AJ14-'04 - Veículos e Equipamentos'!AJ8-'04 - Veículos e Equipamentos'!AJ11)*(1+'01 - Dados de Entrada'!$C$190)*'01 - Dados de Entrada'!$C$191),0)</f>
        <v>29</v>
      </c>
    </row>
    <row r="47" spans="1:36" s="256" customFormat="1" ht="13.15" customHeight="1" x14ac:dyDescent="0.2">
      <c r="A47" s="32" t="s">
        <v>866</v>
      </c>
      <c r="B47" s="496">
        <f>ROUNDUP(('04 - Veículos e Equipamentos'!B7+'04 - Veículos e Equipamentos'!B9+'04 - Veículos e Equipamentos'!B10)*'01 - Dados de Entrada'!$C$186*(1+'01 - Dados de Entrada'!$C$189)*'01 - Dados de Entrada'!$C$191,0)</f>
        <v>44</v>
      </c>
      <c r="C47" s="496">
        <f>ROUNDUP(('04 - Veículos e Equipamentos'!C7+'04 - Veículos e Equipamentos'!C9+'04 - Veículos e Equipamentos'!C10)*'01 - Dados de Entrada'!$C$186*(1+'01 - Dados de Entrada'!$C$189)*'01 - Dados de Entrada'!$C$191,0)</f>
        <v>44</v>
      </c>
      <c r="D47" s="496">
        <f>ROUNDUP(('04 - Veículos e Equipamentos'!D7+'04 - Veículos e Equipamentos'!D9+'04 - Veículos e Equipamentos'!D10)*'01 - Dados de Entrada'!$C$186*(1+'01 - Dados de Entrada'!$C$189)*'01 - Dados de Entrada'!$C$191,0)</f>
        <v>44</v>
      </c>
      <c r="E47" s="496">
        <f>ROUNDUP(('04 - Veículos e Equipamentos'!E7+'04 - Veículos e Equipamentos'!E9+'04 - Veículos e Equipamentos'!E10)*'01 - Dados de Entrada'!$C$186*(1+'01 - Dados de Entrada'!$C$189)*'01 - Dados de Entrada'!$C$191,0)</f>
        <v>44</v>
      </c>
      <c r="F47" s="496">
        <f>ROUNDUP(('04 - Veículos e Equipamentos'!F7+'04 - Veículos e Equipamentos'!F9+'04 - Veículos e Equipamentos'!F10)*'01 - Dados de Entrada'!$C$186*(1+'01 - Dados de Entrada'!$C$189)*'01 - Dados de Entrada'!$C$191,0)</f>
        <v>44</v>
      </c>
      <c r="G47" s="496">
        <f>ROUNDUP(('04 - Veículos e Equipamentos'!G7+'04 - Veículos e Equipamentos'!G9+'04 - Veículos e Equipamentos'!G10)*'01 - Dados de Entrada'!$C$186*(1+'01 - Dados de Entrada'!$C$189)*'01 - Dados de Entrada'!$C$191,0)</f>
        <v>51</v>
      </c>
      <c r="H47" s="496">
        <f>ROUNDUP(('04 - Veículos e Equipamentos'!H7+'04 - Veículos e Equipamentos'!H9+'04 - Veículos e Equipamentos'!H10)*'01 - Dados de Entrada'!$C$186*(1+'01 - Dados de Entrada'!$C$189)*'01 - Dados de Entrada'!$C$191,0)</f>
        <v>51</v>
      </c>
      <c r="I47" s="496">
        <f>ROUNDUP(('04 - Veículos e Equipamentos'!I7+'04 - Veículos e Equipamentos'!I9+'04 - Veículos e Equipamentos'!I10)*'01 - Dados de Entrada'!$C$186*(1+'01 - Dados de Entrada'!$C$189)*'01 - Dados de Entrada'!$C$191,0)</f>
        <v>51</v>
      </c>
      <c r="J47" s="496">
        <f>ROUNDUP(('04 - Veículos e Equipamentos'!J7+'04 - Veículos e Equipamentos'!J9+'04 - Veículos e Equipamentos'!J10)*'01 - Dados de Entrada'!$C$186*(1+'01 - Dados de Entrada'!$C$189)*'01 - Dados de Entrada'!$C$191,0)</f>
        <v>51</v>
      </c>
      <c r="K47" s="496">
        <f>ROUNDUP(('04 - Veículos e Equipamentos'!K7+'04 - Veículos e Equipamentos'!K9+'04 - Veículos e Equipamentos'!K10)*'01 - Dados de Entrada'!$C$186*(1+'01 - Dados de Entrada'!$C$189)*'01 - Dados de Entrada'!$C$191,0)</f>
        <v>51</v>
      </c>
      <c r="L47" s="496">
        <f>ROUNDUP(('04 - Veículos e Equipamentos'!L7+'04 - Veículos e Equipamentos'!L9+'04 - Veículos e Equipamentos'!L10)*'01 - Dados de Entrada'!$C$186*(1+'01 - Dados de Entrada'!$C$189)*'01 - Dados de Entrada'!$C$191,0)</f>
        <v>51</v>
      </c>
      <c r="M47" s="496">
        <f>ROUNDUP(('04 - Veículos e Equipamentos'!M7+'04 - Veículos e Equipamentos'!M9+'04 - Veículos e Equipamentos'!M10)*'01 - Dados de Entrada'!$C$186*(1+'01 - Dados de Entrada'!$C$189)*'01 - Dados de Entrada'!$C$191,0)</f>
        <v>51</v>
      </c>
      <c r="N47" s="496">
        <f>ROUNDUP(('04 - Veículos e Equipamentos'!N7+'04 - Veículos e Equipamentos'!N9+'04 - Veículos e Equipamentos'!N10)*'01 - Dados de Entrada'!$C$186*(1+'01 - Dados de Entrada'!$C$189)*'01 - Dados de Entrada'!$C$191,0)</f>
        <v>51</v>
      </c>
      <c r="O47" s="496">
        <f>ROUNDUP(('04 - Veículos e Equipamentos'!O7+'04 - Veículos e Equipamentos'!O9+'04 - Veículos e Equipamentos'!O10)*'01 - Dados de Entrada'!$C$186*(1+'01 - Dados de Entrada'!$C$189)*'01 - Dados de Entrada'!$C$191,0)</f>
        <v>51</v>
      </c>
      <c r="P47" s="496">
        <f>ROUNDUP(('04 - Veículos e Equipamentos'!P7+'04 - Veículos e Equipamentos'!P9+'04 - Veículos e Equipamentos'!P10)*'01 - Dados de Entrada'!$C$186*(1+'01 - Dados de Entrada'!$C$189)*'01 - Dados de Entrada'!$C$191,0)</f>
        <v>51</v>
      </c>
      <c r="Q47" s="496">
        <f>ROUNDUP(('04 - Veículos e Equipamentos'!Q7+'04 - Veículos e Equipamentos'!Q9+'04 - Veículos e Equipamentos'!Q10)*'01 - Dados de Entrada'!$C$186*(1+'01 - Dados de Entrada'!$C$189)*'01 - Dados de Entrada'!$C$191,0)</f>
        <v>51</v>
      </c>
      <c r="R47" s="496">
        <f>ROUNDUP(('04 - Veículos e Equipamentos'!R7+'04 - Veículos e Equipamentos'!R9+'04 - Veículos e Equipamentos'!R10)*'01 - Dados de Entrada'!$C$186*(1+'01 - Dados de Entrada'!$C$189)*'01 - Dados de Entrada'!$C$191,0)</f>
        <v>51</v>
      </c>
      <c r="S47" s="496">
        <f>ROUNDUP(('04 - Veículos e Equipamentos'!S7+'04 - Veículos e Equipamentos'!S9+'04 - Veículos e Equipamentos'!S10)*'01 - Dados de Entrada'!$C$186*(1+'01 - Dados de Entrada'!$C$189)*'01 - Dados de Entrada'!$C$191,0)</f>
        <v>51</v>
      </c>
      <c r="T47" s="496">
        <f>ROUNDUP(('04 - Veículos e Equipamentos'!T7+'04 - Veículos e Equipamentos'!T9+'04 - Veículos e Equipamentos'!T10)*'01 - Dados de Entrada'!$C$186*(1+'01 - Dados de Entrada'!$C$189)*'01 - Dados de Entrada'!$C$191,0)</f>
        <v>51</v>
      </c>
      <c r="U47" s="496">
        <f>ROUNDUP(('04 - Veículos e Equipamentos'!U7+'04 - Veículos e Equipamentos'!U9+'04 - Veículos e Equipamentos'!U10)*'01 - Dados de Entrada'!$C$186*(1+'01 - Dados de Entrada'!$C$189)*'01 - Dados de Entrada'!$C$191,0)</f>
        <v>51</v>
      </c>
      <c r="V47" s="496">
        <f>ROUNDUP(('04 - Veículos e Equipamentos'!V7+'04 - Veículos e Equipamentos'!V9+'04 - Veículos e Equipamentos'!V10)*'01 - Dados de Entrada'!$C$186*(1+'01 - Dados de Entrada'!$C$189)*'01 - Dados de Entrada'!$C$191,0)</f>
        <v>51</v>
      </c>
      <c r="W47" s="496">
        <f>ROUNDUP(('04 - Veículos e Equipamentos'!W7+'04 - Veículos e Equipamentos'!W9+'04 - Veículos e Equipamentos'!W10)*'01 - Dados de Entrada'!$C$186*(1+'01 - Dados de Entrada'!$C$189)*'01 - Dados de Entrada'!$C$191,0)</f>
        <v>51</v>
      </c>
      <c r="X47" s="496">
        <f>ROUNDUP(('04 - Veículos e Equipamentos'!X7+'04 - Veículos e Equipamentos'!X9+'04 - Veículos e Equipamentos'!X10)*'01 - Dados de Entrada'!$C$186*(1+'01 - Dados de Entrada'!$C$189)*'01 - Dados de Entrada'!$C$191,0)</f>
        <v>51</v>
      </c>
      <c r="Y47" s="496">
        <f>ROUNDUP(('04 - Veículos e Equipamentos'!Y7+'04 - Veículos e Equipamentos'!Y9+'04 - Veículos e Equipamentos'!Y10)*'01 - Dados de Entrada'!$C$186*(1+'01 - Dados de Entrada'!$C$189)*'01 - Dados de Entrada'!$C$191,0)</f>
        <v>51</v>
      </c>
      <c r="Z47" s="496">
        <f>ROUNDUP(('04 - Veículos e Equipamentos'!Z7+'04 - Veículos e Equipamentos'!Z9+'04 - Veículos e Equipamentos'!Z10)*'01 - Dados de Entrada'!$C$186*(1+'01 - Dados de Entrada'!$C$189)*'01 - Dados de Entrada'!$C$191,0)</f>
        <v>51</v>
      </c>
      <c r="AA47" s="496">
        <f>ROUNDUP(('04 - Veículos e Equipamentos'!AA7+'04 - Veículos e Equipamentos'!AA9+'04 - Veículos e Equipamentos'!AA10)*'01 - Dados de Entrada'!$C$186*(1+'01 - Dados de Entrada'!$C$189)*'01 - Dados de Entrada'!$C$191,0)</f>
        <v>51</v>
      </c>
      <c r="AB47" s="496">
        <f>ROUNDUP(('04 - Veículos e Equipamentos'!AB7+'04 - Veículos e Equipamentos'!AB9+'04 - Veículos e Equipamentos'!AB10)*'01 - Dados de Entrada'!$C$186*(1+'01 - Dados de Entrada'!$C$189)*'01 - Dados de Entrada'!$C$191,0)</f>
        <v>51</v>
      </c>
      <c r="AC47" s="496">
        <f>ROUNDUP(('04 - Veículos e Equipamentos'!AC7+'04 - Veículos e Equipamentos'!AC9+'04 - Veículos e Equipamentos'!AC10)*'01 - Dados de Entrada'!$C$186*(1+'01 - Dados de Entrada'!$C$189)*'01 - Dados de Entrada'!$C$191,0)</f>
        <v>51</v>
      </c>
      <c r="AD47" s="496">
        <f>ROUNDUP(('04 - Veículos e Equipamentos'!AD7+'04 - Veículos e Equipamentos'!AD9+'04 - Veículos e Equipamentos'!AD10)*'01 - Dados de Entrada'!$C$186*(1+'01 - Dados de Entrada'!$C$189)*'01 - Dados de Entrada'!$C$191,0)</f>
        <v>51</v>
      </c>
      <c r="AE47" s="496">
        <f>ROUNDUP(('04 - Veículos e Equipamentos'!AE7+'04 - Veículos e Equipamentos'!AE9+'04 - Veículos e Equipamentos'!AE10)*'01 - Dados de Entrada'!$C$186*(1+'01 - Dados de Entrada'!$C$189)*'01 - Dados de Entrada'!$C$191,0)</f>
        <v>51</v>
      </c>
      <c r="AF47" s="496">
        <f>ROUNDUP(('04 - Veículos e Equipamentos'!AF7+'04 - Veículos e Equipamentos'!AF9+'04 - Veículos e Equipamentos'!AF10)*'01 - Dados de Entrada'!$C$186*(1+'01 - Dados de Entrada'!$C$189)*'01 - Dados de Entrada'!$C$191,0)</f>
        <v>51</v>
      </c>
      <c r="AG47" s="496">
        <f>ROUNDUP(('04 - Veículos e Equipamentos'!AG7+'04 - Veículos e Equipamentos'!AG9+'04 - Veículos e Equipamentos'!AG10)*'01 - Dados de Entrada'!$C$186*(1+'01 - Dados de Entrada'!$C$189)*'01 - Dados de Entrada'!$C$191,0)</f>
        <v>51</v>
      </c>
      <c r="AH47" s="496">
        <f>ROUNDUP(('04 - Veículos e Equipamentos'!AH7+'04 - Veículos e Equipamentos'!AH9+'04 - Veículos e Equipamentos'!AH10)*'01 - Dados de Entrada'!$C$186*(1+'01 - Dados de Entrada'!$C$189)*'01 - Dados de Entrada'!$C$191,0)</f>
        <v>51</v>
      </c>
      <c r="AI47" s="496">
        <f>ROUNDUP(('04 - Veículos e Equipamentos'!AI7+'04 - Veículos e Equipamentos'!AI9+'04 - Veículos e Equipamentos'!AI10)*'01 - Dados de Entrada'!$C$186*(1+'01 - Dados de Entrada'!$C$189)*'01 - Dados de Entrada'!$C$191,0)</f>
        <v>51</v>
      </c>
      <c r="AJ47" s="496">
        <f>ROUNDUP(('04 - Veículos e Equipamentos'!AJ7+'04 - Veículos e Equipamentos'!AJ9+'04 - Veículos e Equipamentos'!AJ10)*'01 - Dados de Entrada'!$C$186*(1+'01 - Dados de Entrada'!$C$189)*'01 - Dados de Entrada'!$C$191,0)</f>
        <v>51</v>
      </c>
    </row>
    <row r="48" spans="1:36" s="256" customFormat="1" ht="13.15" customHeight="1" x14ac:dyDescent="0.2">
      <c r="A48" s="32" t="s">
        <v>867</v>
      </c>
      <c r="B48" s="496">
        <f>'01 - Dados de Entrada'!$C$191</f>
        <v>3</v>
      </c>
      <c r="C48" s="496">
        <f>'01 - Dados de Entrada'!$C$191</f>
        <v>3</v>
      </c>
      <c r="D48" s="496">
        <f>'01 - Dados de Entrada'!$C$191</f>
        <v>3</v>
      </c>
      <c r="E48" s="496">
        <f>'01 - Dados de Entrada'!$C$191</f>
        <v>3</v>
      </c>
      <c r="F48" s="496">
        <f>'01 - Dados de Entrada'!$C$191</f>
        <v>3</v>
      </c>
      <c r="G48" s="496">
        <f>'01 - Dados de Entrada'!$C$191</f>
        <v>3</v>
      </c>
      <c r="H48" s="496">
        <f>'01 - Dados de Entrada'!$C$191</f>
        <v>3</v>
      </c>
      <c r="I48" s="496">
        <f>'01 - Dados de Entrada'!$C$191</f>
        <v>3</v>
      </c>
      <c r="J48" s="496">
        <f>'01 - Dados de Entrada'!$C$191</f>
        <v>3</v>
      </c>
      <c r="K48" s="496">
        <f>'01 - Dados de Entrada'!$C$191</f>
        <v>3</v>
      </c>
      <c r="L48" s="496">
        <f>'01 - Dados de Entrada'!$C$191</f>
        <v>3</v>
      </c>
      <c r="M48" s="496">
        <f>'01 - Dados de Entrada'!$C$191</f>
        <v>3</v>
      </c>
      <c r="N48" s="496">
        <f>'01 - Dados de Entrada'!$C$191</f>
        <v>3</v>
      </c>
      <c r="O48" s="496">
        <f>'01 - Dados de Entrada'!$C$191</f>
        <v>3</v>
      </c>
      <c r="P48" s="496">
        <f>'01 - Dados de Entrada'!$C$191</f>
        <v>3</v>
      </c>
      <c r="Q48" s="496">
        <f>'01 - Dados de Entrada'!$C$191</f>
        <v>3</v>
      </c>
      <c r="R48" s="496">
        <f>'01 - Dados de Entrada'!$C$191</f>
        <v>3</v>
      </c>
      <c r="S48" s="496">
        <f>'01 - Dados de Entrada'!$C$191</f>
        <v>3</v>
      </c>
      <c r="T48" s="496">
        <f>'01 - Dados de Entrada'!$C$191</f>
        <v>3</v>
      </c>
      <c r="U48" s="496">
        <f>'01 - Dados de Entrada'!$C$191</f>
        <v>3</v>
      </c>
      <c r="V48" s="496">
        <f>'01 - Dados de Entrada'!$C$191</f>
        <v>3</v>
      </c>
      <c r="W48" s="496">
        <f>'01 - Dados de Entrada'!$C$191</f>
        <v>3</v>
      </c>
      <c r="X48" s="496">
        <f>'01 - Dados de Entrada'!$C$191</f>
        <v>3</v>
      </c>
      <c r="Y48" s="496">
        <f>'01 - Dados de Entrada'!$C$191</f>
        <v>3</v>
      </c>
      <c r="Z48" s="496">
        <f>'01 - Dados de Entrada'!$C$191</f>
        <v>3</v>
      </c>
      <c r="AA48" s="496">
        <f>'01 - Dados de Entrada'!$C$191</f>
        <v>3</v>
      </c>
      <c r="AB48" s="496">
        <f>'01 - Dados de Entrada'!$C$191</f>
        <v>3</v>
      </c>
      <c r="AC48" s="496">
        <f>'01 - Dados de Entrada'!$C$191</f>
        <v>3</v>
      </c>
      <c r="AD48" s="496">
        <f>'01 - Dados de Entrada'!$C$191</f>
        <v>3</v>
      </c>
      <c r="AE48" s="496">
        <f>'01 - Dados de Entrada'!$C$191</f>
        <v>3</v>
      </c>
      <c r="AF48" s="496">
        <f>'01 - Dados de Entrada'!$C$191</f>
        <v>3</v>
      </c>
      <c r="AG48" s="496">
        <f>'01 - Dados de Entrada'!$C$191</f>
        <v>3</v>
      </c>
      <c r="AH48" s="496">
        <f>'01 - Dados de Entrada'!$C$191</f>
        <v>3</v>
      </c>
      <c r="AI48" s="496">
        <f>'01 - Dados de Entrada'!$C$191</f>
        <v>3</v>
      </c>
      <c r="AJ48" s="496">
        <f>'01 - Dados de Entrada'!$C$191</f>
        <v>3</v>
      </c>
    </row>
    <row r="49" spans="1:36" s="256" customFormat="1" ht="13.15" customHeight="1" x14ac:dyDescent="0.2">
      <c r="A49" s="32" t="s">
        <v>868</v>
      </c>
      <c r="B49" s="496">
        <v>1</v>
      </c>
      <c r="C49" s="496">
        <v>1</v>
      </c>
      <c r="D49" s="496">
        <v>1</v>
      </c>
      <c r="E49" s="496">
        <v>1</v>
      </c>
      <c r="F49" s="496">
        <v>1</v>
      </c>
      <c r="G49" s="496">
        <v>1</v>
      </c>
      <c r="H49" s="496">
        <v>1</v>
      </c>
      <c r="I49" s="496">
        <v>1</v>
      </c>
      <c r="J49" s="496">
        <v>1</v>
      </c>
      <c r="K49" s="496">
        <v>1</v>
      </c>
      <c r="L49" s="496">
        <v>1</v>
      </c>
      <c r="M49" s="496">
        <v>1</v>
      </c>
      <c r="N49" s="496">
        <v>1</v>
      </c>
      <c r="O49" s="496">
        <v>1</v>
      </c>
      <c r="P49" s="496">
        <v>1</v>
      </c>
      <c r="Q49" s="496">
        <v>1</v>
      </c>
      <c r="R49" s="496">
        <v>1</v>
      </c>
      <c r="S49" s="496">
        <v>1</v>
      </c>
      <c r="T49" s="496">
        <v>1</v>
      </c>
      <c r="U49" s="496">
        <v>1</v>
      </c>
      <c r="V49" s="496">
        <v>1</v>
      </c>
      <c r="W49" s="496">
        <v>1</v>
      </c>
      <c r="X49" s="496">
        <v>1</v>
      </c>
      <c r="Y49" s="496">
        <v>1</v>
      </c>
      <c r="Z49" s="496">
        <v>1</v>
      </c>
      <c r="AA49" s="496">
        <v>1</v>
      </c>
      <c r="AB49" s="496">
        <v>1</v>
      </c>
      <c r="AC49" s="496">
        <v>1</v>
      </c>
      <c r="AD49" s="496">
        <v>1</v>
      </c>
      <c r="AE49" s="496">
        <v>1</v>
      </c>
      <c r="AF49" s="496">
        <v>1</v>
      </c>
      <c r="AG49" s="496">
        <v>1</v>
      </c>
      <c r="AH49" s="496">
        <v>1</v>
      </c>
      <c r="AI49" s="496">
        <v>1</v>
      </c>
      <c r="AJ49" s="496">
        <v>1</v>
      </c>
    </row>
    <row r="50" spans="1:36" s="256" customFormat="1" ht="13.15" customHeight="1" x14ac:dyDescent="0.2">
      <c r="A50" s="31" t="s">
        <v>869</v>
      </c>
    </row>
    <row r="51" spans="1:36" s="256" customFormat="1" ht="13.15" customHeight="1" x14ac:dyDescent="0.2">
      <c r="A51" s="32" t="s">
        <v>865</v>
      </c>
      <c r="B51" s="496">
        <f>ROUNDUP((('04 - Veículos e Equipamentos'!B18+'04 - Veículos e Equipamentos'!B20)*(1+'01 - Dados de Entrada'!$C$190))*'01 - Dados de Entrada'!$C$193,0)</f>
        <v>9</v>
      </c>
      <c r="C51" s="496">
        <f>ROUNDUP((('04 - Veículos e Equipamentos'!C18+'04 - Veículos e Equipamentos'!C20)*(1+'01 - Dados de Entrada'!$C$190))*'01 - Dados de Entrada'!$C$193,0)</f>
        <v>9</v>
      </c>
      <c r="D51" s="496">
        <f>ROUNDUP((('04 - Veículos e Equipamentos'!D18+'04 - Veículos e Equipamentos'!D20)*(1+'01 - Dados de Entrada'!$C$190))*'01 - Dados de Entrada'!$C$193,0)</f>
        <v>9</v>
      </c>
      <c r="E51" s="496">
        <f>ROUNDUP((('04 - Veículos e Equipamentos'!E18+'04 - Veículos e Equipamentos'!E20)*(1+'01 - Dados de Entrada'!$C$190))*'01 - Dados de Entrada'!$C$193,0)</f>
        <v>9</v>
      </c>
      <c r="F51" s="496">
        <f>ROUNDUP((('04 - Veículos e Equipamentos'!F18+'04 - Veículos e Equipamentos'!F20)*(1+'01 - Dados de Entrada'!$C$190))*'01 - Dados de Entrada'!$C$193,0)</f>
        <v>9</v>
      </c>
      <c r="G51" s="496">
        <f>ROUNDUP((('04 - Veículos e Equipamentos'!G18+'04 - Veículos e Equipamentos'!G20)*(1+'01 - Dados de Entrada'!$C$190))*'01 - Dados de Entrada'!$C$193,0)</f>
        <v>9</v>
      </c>
      <c r="H51" s="496">
        <f>ROUNDUP((('04 - Veículos e Equipamentos'!H18+'04 - Veículos e Equipamentos'!H20)*(1+'01 - Dados de Entrada'!$C$190))*'01 - Dados de Entrada'!$C$193,0)</f>
        <v>9</v>
      </c>
      <c r="I51" s="496">
        <f>ROUNDUP((('04 - Veículos e Equipamentos'!I18+'04 - Veículos e Equipamentos'!I20)*(1+'01 - Dados de Entrada'!$C$190))*'01 - Dados de Entrada'!$C$193,0)</f>
        <v>10</v>
      </c>
      <c r="J51" s="496">
        <f>ROUNDUP((('04 - Veículos e Equipamentos'!J18+'04 - Veículos e Equipamentos'!J20)*(1+'01 - Dados de Entrada'!$C$190))*'01 - Dados de Entrada'!$C$193,0)</f>
        <v>10</v>
      </c>
      <c r="K51" s="496">
        <f>ROUNDUP((('04 - Veículos e Equipamentos'!K18+'04 - Veículos e Equipamentos'!K20)*(1+'01 - Dados de Entrada'!$C$190))*'01 - Dados de Entrada'!$C$193,0)</f>
        <v>10</v>
      </c>
      <c r="L51" s="496">
        <f>ROUNDUP((('04 - Veículos e Equipamentos'!L18+'04 - Veículos e Equipamentos'!L20)*(1+'01 - Dados de Entrada'!$C$190))*'01 - Dados de Entrada'!$C$193,0)</f>
        <v>10</v>
      </c>
      <c r="M51" s="496">
        <f>ROUNDUP((('04 - Veículos e Equipamentos'!M18+'04 - Veículos e Equipamentos'!M20)*(1+'01 - Dados de Entrada'!$C$190))*'01 - Dados de Entrada'!$C$193,0)</f>
        <v>10</v>
      </c>
      <c r="N51" s="496">
        <f>ROUNDUP((('04 - Veículos e Equipamentos'!N18+'04 - Veículos e Equipamentos'!N20)*(1+'01 - Dados de Entrada'!$C$190))*'01 - Dados de Entrada'!$C$193,0)</f>
        <v>10</v>
      </c>
      <c r="O51" s="496">
        <f>ROUNDUP((('04 - Veículos e Equipamentos'!O18+'04 - Veículos e Equipamentos'!O20)*(1+'01 - Dados de Entrada'!$C$190))*'01 - Dados de Entrada'!$C$193,0)</f>
        <v>10</v>
      </c>
      <c r="P51" s="496">
        <f>ROUNDUP((('04 - Veículos e Equipamentos'!P18+'04 - Veículos e Equipamentos'!P20)*(1+'01 - Dados de Entrada'!$C$190))*'01 - Dados de Entrada'!$C$193,0)</f>
        <v>10</v>
      </c>
      <c r="Q51" s="496">
        <f>ROUNDUP((('04 - Veículos e Equipamentos'!Q18+'04 - Veículos e Equipamentos'!Q20)*(1+'01 - Dados de Entrada'!$C$190))*'01 - Dados de Entrada'!$C$193,0)</f>
        <v>10</v>
      </c>
      <c r="R51" s="496">
        <f>ROUNDUP((('04 - Veículos e Equipamentos'!R18+'04 - Veículos e Equipamentos'!R20)*(1+'01 - Dados de Entrada'!$C$190))*'01 - Dados de Entrada'!$C$193,0)</f>
        <v>10</v>
      </c>
      <c r="S51" s="496">
        <f>ROUNDUP((('04 - Veículos e Equipamentos'!S18+'04 - Veículos e Equipamentos'!S20)*(1+'01 - Dados de Entrada'!$C$190))*'01 - Dados de Entrada'!$C$193,0)</f>
        <v>10</v>
      </c>
      <c r="T51" s="496">
        <f>ROUNDUP((('04 - Veículos e Equipamentos'!T18+'04 - Veículos e Equipamentos'!T20)*(1+'01 - Dados de Entrada'!$C$190))*'01 - Dados de Entrada'!$C$193,0)</f>
        <v>10</v>
      </c>
      <c r="U51" s="496">
        <f>ROUNDUP((('04 - Veículos e Equipamentos'!U18+'04 - Veículos e Equipamentos'!U20)*(1+'01 - Dados de Entrada'!$C$190))*'01 - Dados de Entrada'!$C$193,0)</f>
        <v>10</v>
      </c>
      <c r="V51" s="496">
        <f>ROUNDUP((('04 - Veículos e Equipamentos'!V18+'04 - Veículos e Equipamentos'!V20)*(1+'01 - Dados de Entrada'!$C$190))*'01 - Dados de Entrada'!$C$193,0)</f>
        <v>10</v>
      </c>
      <c r="W51" s="496">
        <f>ROUNDUP((('04 - Veículos e Equipamentos'!W18+'04 - Veículos e Equipamentos'!W20)*(1+'01 - Dados de Entrada'!$C$190))*'01 - Dados de Entrada'!$C$193,0)</f>
        <v>10</v>
      </c>
      <c r="X51" s="496">
        <f>ROUNDUP((('04 - Veículos e Equipamentos'!X18+'04 - Veículos e Equipamentos'!X20)*(1+'01 - Dados de Entrada'!$C$190))*'01 - Dados de Entrada'!$C$193,0)</f>
        <v>10</v>
      </c>
      <c r="Y51" s="496">
        <f>ROUNDUP((('04 - Veículos e Equipamentos'!Y18+'04 - Veículos e Equipamentos'!Y20)*(1+'01 - Dados de Entrada'!$C$190))*'01 - Dados de Entrada'!$C$193,0)</f>
        <v>10</v>
      </c>
      <c r="Z51" s="496">
        <f>ROUNDUP((('04 - Veículos e Equipamentos'!Z18+'04 - Veículos e Equipamentos'!Z20)*(1+'01 - Dados de Entrada'!$C$190))*'01 - Dados de Entrada'!$C$193,0)</f>
        <v>10</v>
      </c>
      <c r="AA51" s="496">
        <f>ROUNDUP((('04 - Veículos e Equipamentos'!AA18+'04 - Veículos e Equipamentos'!AA20)*(1+'01 - Dados de Entrada'!$C$190))*'01 - Dados de Entrada'!$C$193,0)</f>
        <v>10</v>
      </c>
      <c r="AB51" s="496">
        <f>ROUNDUP((('04 - Veículos e Equipamentos'!AB18+'04 - Veículos e Equipamentos'!AB20)*(1+'01 - Dados de Entrada'!$C$190))*'01 - Dados de Entrada'!$C$193,0)</f>
        <v>10</v>
      </c>
      <c r="AC51" s="496">
        <f>ROUNDUP((('04 - Veículos e Equipamentos'!AC18+'04 - Veículos e Equipamentos'!AC20)*(1+'01 - Dados de Entrada'!$C$190))*'01 - Dados de Entrada'!$C$193,0)</f>
        <v>10</v>
      </c>
      <c r="AD51" s="496">
        <f>ROUNDUP((('04 - Veículos e Equipamentos'!AD18+'04 - Veículos e Equipamentos'!AD20)*(1+'01 - Dados de Entrada'!$C$190))*'01 - Dados de Entrada'!$C$193,0)</f>
        <v>10</v>
      </c>
      <c r="AE51" s="496">
        <f>ROUNDUP((('04 - Veículos e Equipamentos'!AE18+'04 - Veículos e Equipamentos'!AE20)*(1+'01 - Dados de Entrada'!$C$190))*'01 - Dados de Entrada'!$C$193,0)</f>
        <v>10</v>
      </c>
      <c r="AF51" s="496">
        <f>ROUNDUP((('04 - Veículos e Equipamentos'!AF18+'04 - Veículos e Equipamentos'!AF20)*(1+'01 - Dados de Entrada'!$C$190))*'01 - Dados de Entrada'!$C$193,0)</f>
        <v>10</v>
      </c>
      <c r="AG51" s="496">
        <f>ROUNDUP((('04 - Veículos e Equipamentos'!AG18+'04 - Veículos e Equipamentos'!AG20)*(1+'01 - Dados de Entrada'!$C$190))*'01 - Dados de Entrada'!$C$193,0)</f>
        <v>10</v>
      </c>
      <c r="AH51" s="496">
        <f>ROUNDUP((('04 - Veículos e Equipamentos'!AH18+'04 - Veículos e Equipamentos'!AH20)*(1+'01 - Dados de Entrada'!$C$190))*'01 - Dados de Entrada'!$C$193,0)</f>
        <v>10</v>
      </c>
      <c r="AI51" s="496">
        <f>ROUNDUP((('04 - Veículos e Equipamentos'!AI18+'04 - Veículos e Equipamentos'!AI20)*(1+'01 - Dados de Entrada'!$C$190))*'01 - Dados de Entrada'!$C$193,0)</f>
        <v>10</v>
      </c>
      <c r="AJ51" s="496">
        <f>ROUNDUP((('04 - Veículos e Equipamentos'!AJ18+'04 - Veículos e Equipamentos'!AJ20)*(1+'01 - Dados de Entrada'!$C$190))*'01 - Dados de Entrada'!$C$193,0)</f>
        <v>10</v>
      </c>
    </row>
    <row r="52" spans="1:36" s="256" customFormat="1" ht="13.15" customHeight="1" x14ac:dyDescent="0.2">
      <c r="A52" s="32" t="s">
        <v>870</v>
      </c>
      <c r="B52" s="496">
        <f>ROUNDUP(((('04 - Veículos e Equipamentos'!B18+'04 - Veículos e Equipamentos'!B20)*'01 - Dados de Entrada'!$C$193*'01 - Dados de Entrada'!$C$188)*(1+'01 - Dados de Entrada'!$C$189)),0)</f>
        <v>17</v>
      </c>
      <c r="C52" s="496">
        <f>ROUNDUP(((('04 - Veículos e Equipamentos'!C18+'04 - Veículos e Equipamentos'!C20)*'01 - Dados de Entrada'!$C$193*'01 - Dados de Entrada'!$C$188)*(1+'01 - Dados de Entrada'!$C$189)),0)</f>
        <v>17</v>
      </c>
      <c r="D52" s="496">
        <f>ROUNDUP(((('04 - Veículos e Equipamentos'!D18+'04 - Veículos e Equipamentos'!D20)*'01 - Dados de Entrada'!$C$193*'01 - Dados de Entrada'!$C$188)*(1+'01 - Dados de Entrada'!$C$189)),0)</f>
        <v>17</v>
      </c>
      <c r="E52" s="496">
        <f>ROUNDUP(((('04 - Veículos e Equipamentos'!E18+'04 - Veículos e Equipamentos'!E20)*'01 - Dados de Entrada'!$C$193*'01 - Dados de Entrada'!$C$188)*(1+'01 - Dados de Entrada'!$C$189)),0)</f>
        <v>17</v>
      </c>
      <c r="F52" s="496">
        <f>ROUNDUP(((('04 - Veículos e Equipamentos'!F18+'04 - Veículos e Equipamentos'!F20)*'01 - Dados de Entrada'!$C$193*'01 - Dados de Entrada'!$C$188)*(1+'01 - Dados de Entrada'!$C$189)),0)</f>
        <v>17</v>
      </c>
      <c r="G52" s="496">
        <f>ROUNDUP(((('04 - Veículos e Equipamentos'!G18+'04 - Veículos e Equipamentos'!G20)*'01 - Dados de Entrada'!$C$193*'01 - Dados de Entrada'!$C$188)*(1+'01 - Dados de Entrada'!$C$189)),0)</f>
        <v>17</v>
      </c>
      <c r="H52" s="496">
        <f>ROUNDUP(((('04 - Veículos e Equipamentos'!H18+'04 - Veículos e Equipamentos'!H20)*'01 - Dados de Entrada'!$C$193*'01 - Dados de Entrada'!$C$188)*(1+'01 - Dados de Entrada'!$C$189)),0)</f>
        <v>17</v>
      </c>
      <c r="I52" s="496">
        <f>ROUNDUP(((('04 - Veículos e Equipamentos'!I18+'04 - Veículos e Equipamentos'!I20)*'01 - Dados de Entrada'!$C$193*'01 - Dados de Entrada'!$C$188)*(1+'01 - Dados de Entrada'!$C$189)),0)</f>
        <v>20</v>
      </c>
      <c r="J52" s="496">
        <f>ROUNDUP(((('04 - Veículos e Equipamentos'!J18+'04 - Veículos e Equipamentos'!J20)*'01 - Dados de Entrada'!$C$193*'01 - Dados de Entrada'!$C$188)*(1+'01 - Dados de Entrada'!$C$189)),0)</f>
        <v>20</v>
      </c>
      <c r="K52" s="496">
        <f>ROUNDUP(((('04 - Veículos e Equipamentos'!K18+'04 - Veículos e Equipamentos'!K20)*'01 - Dados de Entrada'!$C$193*'01 - Dados de Entrada'!$C$188)*(1+'01 - Dados de Entrada'!$C$189)),0)</f>
        <v>20</v>
      </c>
      <c r="L52" s="496">
        <f>ROUNDUP(((('04 - Veículos e Equipamentos'!L18+'04 - Veículos e Equipamentos'!L20)*'01 - Dados de Entrada'!$C$193*'01 - Dados de Entrada'!$C$188)*(1+'01 - Dados de Entrada'!$C$189)),0)</f>
        <v>20</v>
      </c>
      <c r="M52" s="496">
        <f>ROUNDUP(((('04 - Veículos e Equipamentos'!M18+'04 - Veículos e Equipamentos'!M20)*'01 - Dados de Entrada'!$C$193*'01 - Dados de Entrada'!$C$188)*(1+'01 - Dados de Entrada'!$C$189)),0)</f>
        <v>20</v>
      </c>
      <c r="N52" s="496">
        <f>ROUNDUP(((('04 - Veículos e Equipamentos'!N18+'04 - Veículos e Equipamentos'!N20)*'01 - Dados de Entrada'!$C$193*'01 - Dados de Entrada'!$C$188)*(1+'01 - Dados de Entrada'!$C$189)),0)</f>
        <v>20</v>
      </c>
      <c r="O52" s="496">
        <f>ROUNDUP(((('04 - Veículos e Equipamentos'!O18+'04 - Veículos e Equipamentos'!O20)*'01 - Dados de Entrada'!$C$193*'01 - Dados de Entrada'!$C$188)*(1+'01 - Dados de Entrada'!$C$189)),0)</f>
        <v>20</v>
      </c>
      <c r="P52" s="496">
        <f>ROUNDUP(((('04 - Veículos e Equipamentos'!P18+'04 - Veículos e Equipamentos'!P20)*'01 - Dados de Entrada'!$C$193*'01 - Dados de Entrada'!$C$188)*(1+'01 - Dados de Entrada'!$C$189)),0)</f>
        <v>20</v>
      </c>
      <c r="Q52" s="496">
        <f>ROUNDUP(((('04 - Veículos e Equipamentos'!Q18+'04 - Veículos e Equipamentos'!Q20)*'01 - Dados de Entrada'!$C$193*'01 - Dados de Entrada'!$C$188)*(1+'01 - Dados de Entrada'!$C$189)),0)</f>
        <v>20</v>
      </c>
      <c r="R52" s="496">
        <f>ROUNDUP(((('04 - Veículos e Equipamentos'!R18+'04 - Veículos e Equipamentos'!R20)*'01 - Dados de Entrada'!$C$193*'01 - Dados de Entrada'!$C$188)*(1+'01 - Dados de Entrada'!$C$189)),0)</f>
        <v>20</v>
      </c>
      <c r="S52" s="496">
        <f>ROUNDUP(((('04 - Veículos e Equipamentos'!S18+'04 - Veículos e Equipamentos'!S20)*'01 - Dados de Entrada'!$C$193*'01 - Dados de Entrada'!$C$188)*(1+'01 - Dados de Entrada'!$C$189)),0)</f>
        <v>20</v>
      </c>
      <c r="T52" s="496">
        <f>ROUNDUP(((('04 - Veículos e Equipamentos'!T18+'04 - Veículos e Equipamentos'!T20)*'01 - Dados de Entrada'!$C$193*'01 - Dados de Entrada'!$C$188)*(1+'01 - Dados de Entrada'!$C$189)),0)</f>
        <v>20</v>
      </c>
      <c r="U52" s="496">
        <f>ROUNDUP(((('04 - Veículos e Equipamentos'!U18+'04 - Veículos e Equipamentos'!U20)*'01 - Dados de Entrada'!$C$193*'01 - Dados de Entrada'!$C$188)*(1+'01 - Dados de Entrada'!$C$189)),0)</f>
        <v>20</v>
      </c>
      <c r="V52" s="496">
        <f>ROUNDUP(((('04 - Veículos e Equipamentos'!V18+'04 - Veículos e Equipamentos'!V20)*'01 - Dados de Entrada'!$C$193*'01 - Dados de Entrada'!$C$188)*(1+'01 - Dados de Entrada'!$C$189)),0)</f>
        <v>20</v>
      </c>
      <c r="W52" s="496">
        <f>ROUNDUP(((('04 - Veículos e Equipamentos'!W18+'04 - Veículos e Equipamentos'!W20)*'01 - Dados de Entrada'!$C$193*'01 - Dados de Entrada'!$C$188)*(1+'01 - Dados de Entrada'!$C$189)),0)</f>
        <v>20</v>
      </c>
      <c r="X52" s="496">
        <f>ROUNDUP(((('04 - Veículos e Equipamentos'!X18+'04 - Veículos e Equipamentos'!X20)*'01 - Dados de Entrada'!$C$193*'01 - Dados de Entrada'!$C$188)*(1+'01 - Dados de Entrada'!$C$189)),0)</f>
        <v>20</v>
      </c>
      <c r="Y52" s="496">
        <f>ROUNDUP(((('04 - Veículos e Equipamentos'!Y18+'04 - Veículos e Equipamentos'!Y20)*'01 - Dados de Entrada'!$C$193*'01 - Dados de Entrada'!$C$188)*(1+'01 - Dados de Entrada'!$C$189)),0)</f>
        <v>20</v>
      </c>
      <c r="Z52" s="496">
        <f>ROUNDUP(((('04 - Veículos e Equipamentos'!Z18+'04 - Veículos e Equipamentos'!Z20)*'01 - Dados de Entrada'!$C$193*'01 - Dados de Entrada'!$C$188)*(1+'01 - Dados de Entrada'!$C$189)),0)</f>
        <v>20</v>
      </c>
      <c r="AA52" s="496">
        <f>ROUNDUP(((('04 - Veículos e Equipamentos'!AA18+'04 - Veículos e Equipamentos'!AA20)*'01 - Dados de Entrada'!$C$193*'01 - Dados de Entrada'!$C$188)*(1+'01 - Dados de Entrada'!$C$189)),0)</f>
        <v>20</v>
      </c>
      <c r="AB52" s="496">
        <f>ROUNDUP(((('04 - Veículos e Equipamentos'!AB18+'04 - Veículos e Equipamentos'!AB20)*'01 - Dados de Entrada'!$C$193*'01 - Dados de Entrada'!$C$188)*(1+'01 - Dados de Entrada'!$C$189)),0)</f>
        <v>20</v>
      </c>
      <c r="AC52" s="496">
        <f>ROUNDUP(((('04 - Veículos e Equipamentos'!AC18+'04 - Veículos e Equipamentos'!AC20)*'01 - Dados de Entrada'!$C$193*'01 - Dados de Entrada'!$C$188)*(1+'01 - Dados de Entrada'!$C$189)),0)</f>
        <v>20</v>
      </c>
      <c r="AD52" s="496">
        <f>ROUNDUP(((('04 - Veículos e Equipamentos'!AD18+'04 - Veículos e Equipamentos'!AD20)*'01 - Dados de Entrada'!$C$193*'01 - Dados de Entrada'!$C$188)*(1+'01 - Dados de Entrada'!$C$189)),0)</f>
        <v>20</v>
      </c>
      <c r="AE52" s="496">
        <f>ROUNDUP(((('04 - Veículos e Equipamentos'!AE18+'04 - Veículos e Equipamentos'!AE20)*'01 - Dados de Entrada'!$C$193*'01 - Dados de Entrada'!$C$188)*(1+'01 - Dados de Entrada'!$C$189)),0)</f>
        <v>20</v>
      </c>
      <c r="AF52" s="496">
        <f>ROUNDUP(((('04 - Veículos e Equipamentos'!AF18+'04 - Veículos e Equipamentos'!AF20)*'01 - Dados de Entrada'!$C$193*'01 - Dados de Entrada'!$C$188)*(1+'01 - Dados de Entrada'!$C$189)),0)</f>
        <v>20</v>
      </c>
      <c r="AG52" s="496">
        <f>ROUNDUP(((('04 - Veículos e Equipamentos'!AG18+'04 - Veículos e Equipamentos'!AG20)*'01 - Dados de Entrada'!$C$193*'01 - Dados de Entrada'!$C$188)*(1+'01 - Dados de Entrada'!$C$189)),0)</f>
        <v>20</v>
      </c>
      <c r="AH52" s="496">
        <f>ROUNDUP(((('04 - Veículos e Equipamentos'!AH18+'04 - Veículos e Equipamentos'!AH20)*'01 - Dados de Entrada'!$C$193*'01 - Dados de Entrada'!$C$188)*(1+'01 - Dados de Entrada'!$C$189)),0)</f>
        <v>20</v>
      </c>
      <c r="AI52" s="496">
        <f>ROUNDUP(((('04 - Veículos e Equipamentos'!AI18+'04 - Veículos e Equipamentos'!AI20)*'01 - Dados de Entrada'!$C$193*'01 - Dados de Entrada'!$C$188)*(1+'01 - Dados de Entrada'!$C$189)),0)</f>
        <v>20</v>
      </c>
      <c r="AJ52" s="496">
        <f>ROUNDUP(((('04 - Veículos e Equipamentos'!AJ18+'04 - Veículos e Equipamentos'!AJ20)*'01 - Dados de Entrada'!$C$193*'01 - Dados de Entrada'!$C$188)*(1+'01 - Dados de Entrada'!$C$189)),0)</f>
        <v>20</v>
      </c>
    </row>
    <row r="53" spans="1:36" s="256" customFormat="1" ht="13.15" customHeight="1" x14ac:dyDescent="0.2">
      <c r="A53" s="32" t="s">
        <v>867</v>
      </c>
      <c r="B53" s="496">
        <f>'04 - Veículos e Equipamentos'!B22+'04 - Veículos e Equipamentos'!B23</f>
        <v>2</v>
      </c>
      <c r="C53" s="496">
        <f>'04 - Veículos e Equipamentos'!C22+'04 - Veículos e Equipamentos'!C23</f>
        <v>2</v>
      </c>
      <c r="D53" s="496">
        <f>'04 - Veículos e Equipamentos'!D22+'04 - Veículos e Equipamentos'!D23</f>
        <v>2</v>
      </c>
      <c r="E53" s="496">
        <f>'04 - Veículos e Equipamentos'!E22+'04 - Veículos e Equipamentos'!E23</f>
        <v>2</v>
      </c>
      <c r="F53" s="496">
        <f>'04 - Veículos e Equipamentos'!F22+'04 - Veículos e Equipamentos'!F23</f>
        <v>2</v>
      </c>
      <c r="G53" s="496">
        <f>'04 - Veículos e Equipamentos'!G22+'04 - Veículos e Equipamentos'!G23</f>
        <v>2</v>
      </c>
      <c r="H53" s="496">
        <f>'04 - Veículos e Equipamentos'!H22+'04 - Veículos e Equipamentos'!H23</f>
        <v>2</v>
      </c>
      <c r="I53" s="496">
        <f>'04 - Veículos e Equipamentos'!I22+'04 - Veículos e Equipamentos'!I23</f>
        <v>2</v>
      </c>
      <c r="J53" s="496">
        <f>'04 - Veículos e Equipamentos'!J22+'04 - Veículos e Equipamentos'!J23</f>
        <v>2</v>
      </c>
      <c r="K53" s="496">
        <f>'04 - Veículos e Equipamentos'!K22+'04 - Veículos e Equipamentos'!K23</f>
        <v>2</v>
      </c>
      <c r="L53" s="496">
        <f>'04 - Veículos e Equipamentos'!L22+'04 - Veículos e Equipamentos'!L23</f>
        <v>2</v>
      </c>
      <c r="M53" s="496">
        <f>'04 - Veículos e Equipamentos'!M22+'04 - Veículos e Equipamentos'!M23</f>
        <v>2</v>
      </c>
      <c r="N53" s="496">
        <f>'04 - Veículos e Equipamentos'!N22+'04 - Veículos e Equipamentos'!N23</f>
        <v>2</v>
      </c>
      <c r="O53" s="496">
        <f>'04 - Veículos e Equipamentos'!O22+'04 - Veículos e Equipamentos'!O23</f>
        <v>2</v>
      </c>
      <c r="P53" s="496">
        <f>'04 - Veículos e Equipamentos'!P22+'04 - Veículos e Equipamentos'!P23</f>
        <v>2</v>
      </c>
      <c r="Q53" s="496">
        <f>'04 - Veículos e Equipamentos'!Q22+'04 - Veículos e Equipamentos'!Q23</f>
        <v>2</v>
      </c>
      <c r="R53" s="496">
        <f>'04 - Veículos e Equipamentos'!R22+'04 - Veículos e Equipamentos'!R23</f>
        <v>2</v>
      </c>
      <c r="S53" s="496">
        <f>'04 - Veículos e Equipamentos'!S22+'04 - Veículos e Equipamentos'!S23</f>
        <v>2</v>
      </c>
      <c r="T53" s="496">
        <f>'04 - Veículos e Equipamentos'!T22+'04 - Veículos e Equipamentos'!T23</f>
        <v>2</v>
      </c>
      <c r="U53" s="496">
        <f>'04 - Veículos e Equipamentos'!U22+'04 - Veículos e Equipamentos'!U23</f>
        <v>2</v>
      </c>
      <c r="V53" s="496">
        <f>'04 - Veículos e Equipamentos'!V22+'04 - Veículos e Equipamentos'!V23</f>
        <v>2</v>
      </c>
      <c r="W53" s="496">
        <f>'04 - Veículos e Equipamentos'!W22+'04 - Veículos e Equipamentos'!W23</f>
        <v>2</v>
      </c>
      <c r="X53" s="496">
        <f>'04 - Veículos e Equipamentos'!X22+'04 - Veículos e Equipamentos'!X23</f>
        <v>2</v>
      </c>
      <c r="Y53" s="496">
        <f>'04 - Veículos e Equipamentos'!Y22+'04 - Veículos e Equipamentos'!Y23</f>
        <v>2</v>
      </c>
      <c r="Z53" s="496">
        <f>'04 - Veículos e Equipamentos'!Z22+'04 - Veículos e Equipamentos'!Z23</f>
        <v>2</v>
      </c>
      <c r="AA53" s="496">
        <f>'04 - Veículos e Equipamentos'!AA22+'04 - Veículos e Equipamentos'!AA23</f>
        <v>2</v>
      </c>
      <c r="AB53" s="496">
        <f>'04 - Veículos e Equipamentos'!AB22+'04 - Veículos e Equipamentos'!AB23</f>
        <v>2</v>
      </c>
      <c r="AC53" s="496">
        <f>'04 - Veículos e Equipamentos'!AC22+'04 - Veículos e Equipamentos'!AC23</f>
        <v>2</v>
      </c>
      <c r="AD53" s="496">
        <f>'04 - Veículos e Equipamentos'!AD22+'04 - Veículos e Equipamentos'!AD23</f>
        <v>2</v>
      </c>
      <c r="AE53" s="496">
        <f>'04 - Veículos e Equipamentos'!AE22+'04 - Veículos e Equipamentos'!AE23</f>
        <v>2</v>
      </c>
      <c r="AF53" s="496">
        <f>'04 - Veículos e Equipamentos'!AF22+'04 - Veículos e Equipamentos'!AF23</f>
        <v>2</v>
      </c>
      <c r="AG53" s="496">
        <f>'04 - Veículos e Equipamentos'!AG22+'04 - Veículos e Equipamentos'!AG23</f>
        <v>2</v>
      </c>
      <c r="AH53" s="496">
        <f>'04 - Veículos e Equipamentos'!AH22+'04 - Veículos e Equipamentos'!AH23</f>
        <v>2</v>
      </c>
      <c r="AI53" s="496">
        <f>'04 - Veículos e Equipamentos'!AI22+'04 - Veículos e Equipamentos'!AI23</f>
        <v>2</v>
      </c>
      <c r="AJ53" s="496">
        <f>'04 - Veículos e Equipamentos'!AJ22+'04 - Veículos e Equipamentos'!AJ23</f>
        <v>2</v>
      </c>
    </row>
    <row r="54" spans="1:36" s="256" customFormat="1" ht="13.15" customHeight="1" x14ac:dyDescent="0.2">
      <c r="A54" s="31" t="s">
        <v>871</v>
      </c>
    </row>
    <row r="55" spans="1:36" s="256" customFormat="1" ht="13.15" customHeight="1" x14ac:dyDescent="0.2">
      <c r="A55" s="460" t="s">
        <v>872</v>
      </c>
      <c r="B55" s="343">
        <f>ROUNDUP(('01 - Dados de Entrada'!$C$332+'01 - Dados de Entrada'!$C$333)*(1+'01 - Dados de Entrada'!$C$189),0)</f>
        <v>5</v>
      </c>
      <c r="C55" s="343">
        <f>ROUNDUP(('01 - Dados de Entrada'!$C$332+'01 - Dados de Entrada'!$C$333)*(1+'01 - Dados de Entrada'!$C$189),0)</f>
        <v>5</v>
      </c>
      <c r="D55" s="343">
        <f>ROUNDUP(('01 - Dados de Entrada'!$C$332+'01 - Dados de Entrada'!$C$333)*(1+'01 - Dados de Entrada'!$C$189),0)</f>
        <v>5</v>
      </c>
      <c r="E55" s="343">
        <f>ROUNDUP(('01 - Dados de Entrada'!$C$332+'01 - Dados de Entrada'!$C$333)*(1+'01 - Dados de Entrada'!$C$189),0)</f>
        <v>5</v>
      </c>
      <c r="F55" s="343">
        <f>ROUNDUP(('01 - Dados de Entrada'!$C$332+'01 - Dados de Entrada'!$C$333)*(1+'01 - Dados de Entrada'!$C$189),0)</f>
        <v>5</v>
      </c>
      <c r="G55" s="343">
        <f>ROUNDUP(('01 - Dados de Entrada'!$C$332+'01 - Dados de Entrada'!$C$333)*(1+'01 - Dados de Entrada'!$C$189),0)</f>
        <v>5</v>
      </c>
      <c r="H55" s="343">
        <f>ROUNDUP(('01 - Dados de Entrada'!$C$332+'01 - Dados de Entrada'!$C$333)*(1+'01 - Dados de Entrada'!$C$189),0)</f>
        <v>5</v>
      </c>
      <c r="I55" s="343">
        <f>ROUNDUP(('01 - Dados de Entrada'!$C$332+'01 - Dados de Entrada'!$C$333)*(1+'01 - Dados de Entrada'!$C$189),0)</f>
        <v>5</v>
      </c>
      <c r="J55" s="343">
        <f>ROUNDUP(('01 - Dados de Entrada'!$C$332+'01 - Dados de Entrada'!$C$333)*(1+'01 - Dados de Entrada'!$C$189),0)</f>
        <v>5</v>
      </c>
      <c r="K55" s="343">
        <f>ROUNDUP(('01 - Dados de Entrada'!$C$332+'01 - Dados de Entrada'!$C$333)*(1+'01 - Dados de Entrada'!$C$189),0)</f>
        <v>5</v>
      </c>
      <c r="L55" s="343">
        <f>ROUNDUP(('01 - Dados de Entrada'!$C$332+'01 - Dados de Entrada'!$C$333)*(1+'01 - Dados de Entrada'!$C$189),0)</f>
        <v>5</v>
      </c>
      <c r="M55" s="343">
        <f>ROUNDUP(('01 - Dados de Entrada'!$C$332+'01 - Dados de Entrada'!$C$333)*(1+'01 - Dados de Entrada'!$C$189),0)</f>
        <v>5</v>
      </c>
      <c r="N55" s="343">
        <f>ROUNDUP(('01 - Dados de Entrada'!$C$332+'01 - Dados de Entrada'!$C$333)*(1+'01 - Dados de Entrada'!$C$189),0)</f>
        <v>5</v>
      </c>
      <c r="O55" s="343">
        <f>ROUNDUP(('01 - Dados de Entrada'!$C$332+'01 - Dados de Entrada'!$C$333)*(1+'01 - Dados de Entrada'!$C$189),0)</f>
        <v>5</v>
      </c>
      <c r="P55" s="343">
        <f>ROUNDUP(('01 - Dados de Entrada'!$C$332+'01 - Dados de Entrada'!$C$333)*(1+'01 - Dados de Entrada'!$C$189),0)</f>
        <v>5</v>
      </c>
      <c r="Q55" s="343">
        <f>ROUNDUP(('01 - Dados de Entrada'!$C$332+'01 - Dados de Entrada'!$C$333)*(1+'01 - Dados de Entrada'!$C$189),0)</f>
        <v>5</v>
      </c>
      <c r="R55" s="343">
        <f>ROUNDUP(('01 - Dados de Entrada'!$C$332+'01 - Dados de Entrada'!$C$333)*(1+'01 - Dados de Entrada'!$C$189),0)</f>
        <v>5</v>
      </c>
      <c r="S55" s="343">
        <f>ROUNDUP(('01 - Dados de Entrada'!$C$332+'01 - Dados de Entrada'!$C$333)*(1+'01 - Dados de Entrada'!$C$189),0)</f>
        <v>5</v>
      </c>
      <c r="T55" s="343">
        <f>ROUNDUP(('01 - Dados de Entrada'!$C$332+'01 - Dados de Entrada'!$C$333)*(1+'01 - Dados de Entrada'!$C$189),0)</f>
        <v>5</v>
      </c>
      <c r="U55" s="343">
        <f>ROUNDUP(('01 - Dados de Entrada'!$C$332+'01 - Dados de Entrada'!$C$333)*(1+'01 - Dados de Entrada'!$C$189),0)</f>
        <v>5</v>
      </c>
      <c r="V55" s="343">
        <f>ROUNDUP(('01 - Dados de Entrada'!$C$332+'01 - Dados de Entrada'!$C$333)*(1+'01 - Dados de Entrada'!$C$189),0)</f>
        <v>5</v>
      </c>
      <c r="W55" s="343">
        <f>ROUNDUP(('01 - Dados de Entrada'!$C$332+'01 - Dados de Entrada'!$C$333)*(1+'01 - Dados de Entrada'!$C$189),0)</f>
        <v>5</v>
      </c>
      <c r="X55" s="343">
        <f>ROUNDUP(('01 - Dados de Entrada'!$C$332+'01 - Dados de Entrada'!$C$333)*(1+'01 - Dados de Entrada'!$C$189),0)</f>
        <v>5</v>
      </c>
      <c r="Y55" s="343">
        <f>ROUNDUP(('01 - Dados de Entrada'!$C$332+'01 - Dados de Entrada'!$C$333)*(1+'01 - Dados de Entrada'!$C$189),0)</f>
        <v>5</v>
      </c>
      <c r="Z55" s="343">
        <f>ROUNDUP(('01 - Dados de Entrada'!$C$332+'01 - Dados de Entrada'!$C$333)*(1+'01 - Dados de Entrada'!$C$189),0)</f>
        <v>5</v>
      </c>
      <c r="AA55" s="343">
        <f>ROUNDUP(('01 - Dados de Entrada'!$C$332+'01 - Dados de Entrada'!$C$333)*(1+'01 - Dados de Entrada'!$C$189),0)</f>
        <v>5</v>
      </c>
      <c r="AB55" s="343">
        <f>ROUNDUP(('01 - Dados de Entrada'!$C$332+'01 - Dados de Entrada'!$C$333)*(1+'01 - Dados de Entrada'!$C$189),0)</f>
        <v>5</v>
      </c>
      <c r="AC55" s="343">
        <f>ROUNDUP(('01 - Dados de Entrada'!$C$332+'01 - Dados de Entrada'!$C$333)*(1+'01 - Dados de Entrada'!$C$189),0)</f>
        <v>5</v>
      </c>
      <c r="AD55" s="343">
        <f>ROUNDUP(('01 - Dados de Entrada'!$C$332+'01 - Dados de Entrada'!$C$333)*(1+'01 - Dados de Entrada'!$C$189),0)</f>
        <v>5</v>
      </c>
      <c r="AE55" s="343">
        <f>ROUNDUP(('01 - Dados de Entrada'!$C$332+'01 - Dados de Entrada'!$C$333)*(1+'01 - Dados de Entrada'!$C$189),0)</f>
        <v>5</v>
      </c>
      <c r="AF55" s="343">
        <f>ROUNDUP(('01 - Dados de Entrada'!$C$332+'01 - Dados de Entrada'!$C$333)*(1+'01 - Dados de Entrada'!$C$189),0)</f>
        <v>5</v>
      </c>
      <c r="AG55" s="343">
        <f>ROUNDUP(('01 - Dados de Entrada'!$C$332+'01 - Dados de Entrada'!$C$333)*(1+'01 - Dados de Entrada'!$C$189),0)</f>
        <v>5</v>
      </c>
      <c r="AH55" s="343">
        <f>ROUNDUP(('01 - Dados de Entrada'!$C$332+'01 - Dados de Entrada'!$C$333)*(1+'01 - Dados de Entrada'!$C$189),0)</f>
        <v>5</v>
      </c>
      <c r="AI55" s="343">
        <f>ROUNDUP(('01 - Dados de Entrada'!$C$332+'01 - Dados de Entrada'!$C$333)*(1+'01 - Dados de Entrada'!$C$189),0)</f>
        <v>5</v>
      </c>
      <c r="AJ55" s="343">
        <f>ROUNDUP(('01 - Dados de Entrada'!$C$332+'01 - Dados de Entrada'!$C$333)*(1+'01 - Dados de Entrada'!$C$189),0)</f>
        <v>5</v>
      </c>
    </row>
    <row r="56" spans="1:36" s="256" customFormat="1" ht="13.15" customHeight="1" x14ac:dyDescent="0.2">
      <c r="A56" s="460" t="s">
        <v>873</v>
      </c>
      <c r="B56" s="343">
        <f>ROUNDUP('04 - Veículos e Equipamentos'!B38*(1+'01 - Dados de Entrada'!$C$189),0)</f>
        <v>0</v>
      </c>
      <c r="C56" s="343">
        <f>ROUNDUP('04 - Veículos e Equipamentos'!C38*(1+'01 - Dados de Entrada'!$C$189),0)</f>
        <v>2</v>
      </c>
      <c r="D56" s="343">
        <f>ROUNDUP('04 - Veículos e Equipamentos'!D38*(1+'01 - Dados de Entrada'!$C$189),0)</f>
        <v>3</v>
      </c>
      <c r="E56" s="343">
        <f>ROUNDUP('04 - Veículos e Equipamentos'!E38*(1+'01 - Dados de Entrada'!$C$189),0)</f>
        <v>3</v>
      </c>
      <c r="F56" s="343">
        <f>ROUNDUP('04 - Veículos e Equipamentos'!F38*(1+'01 - Dados de Entrada'!$C$189),0)</f>
        <v>4</v>
      </c>
      <c r="G56" s="343">
        <f>ROUNDUP('04 - Veículos e Equipamentos'!G38*(1+'01 - Dados de Entrada'!$C$189),0)</f>
        <v>4</v>
      </c>
      <c r="H56" s="343">
        <f>ROUNDUP('04 - Veículos e Equipamentos'!H38*(1+'01 - Dados de Entrada'!$C$189),0)</f>
        <v>4</v>
      </c>
      <c r="I56" s="343">
        <f>ROUNDUP('04 - Veículos e Equipamentos'!I38*(1+'01 - Dados de Entrada'!$C$189),0)</f>
        <v>4</v>
      </c>
      <c r="J56" s="343">
        <f>ROUNDUP('04 - Veículos e Equipamentos'!J38*(1+'01 - Dados de Entrada'!$C$189),0)</f>
        <v>4</v>
      </c>
      <c r="K56" s="343">
        <f>ROUNDUP('04 - Veículos e Equipamentos'!K38*(1+'01 - Dados de Entrada'!$C$189),0)</f>
        <v>4</v>
      </c>
      <c r="L56" s="343">
        <f>ROUNDUP('04 - Veículos e Equipamentos'!L38*(1+'01 - Dados de Entrada'!$C$189),0)</f>
        <v>4</v>
      </c>
      <c r="M56" s="343">
        <f>ROUNDUP('04 - Veículos e Equipamentos'!M38*(1+'01 - Dados de Entrada'!$C$189),0)</f>
        <v>4</v>
      </c>
      <c r="N56" s="343">
        <f>ROUNDUP('04 - Veículos e Equipamentos'!N38*(1+'01 - Dados de Entrada'!$C$189),0)</f>
        <v>4</v>
      </c>
      <c r="O56" s="343">
        <f>ROUNDUP('04 - Veículos e Equipamentos'!O38*(1+'01 - Dados de Entrada'!$C$189),0)</f>
        <v>4</v>
      </c>
      <c r="P56" s="343">
        <f>ROUNDUP('04 - Veículos e Equipamentos'!P38*(1+'01 - Dados de Entrada'!$C$189),0)</f>
        <v>4</v>
      </c>
      <c r="Q56" s="343">
        <f>ROUNDUP('04 - Veículos e Equipamentos'!Q38*(1+'01 - Dados de Entrada'!$C$189),0)</f>
        <v>4</v>
      </c>
      <c r="R56" s="343">
        <f>ROUNDUP('04 - Veículos e Equipamentos'!R38*(1+'01 - Dados de Entrada'!$C$189),0)</f>
        <v>4</v>
      </c>
      <c r="S56" s="343">
        <f>ROUNDUP('04 - Veículos e Equipamentos'!S38*(1+'01 - Dados de Entrada'!$C$189),0)</f>
        <v>4</v>
      </c>
      <c r="T56" s="343">
        <f>ROUNDUP('04 - Veículos e Equipamentos'!T38*(1+'01 - Dados de Entrada'!$C$189),0)</f>
        <v>4</v>
      </c>
      <c r="U56" s="343">
        <f>ROUNDUP('04 - Veículos e Equipamentos'!U38*(1+'01 - Dados de Entrada'!$C$189),0)</f>
        <v>4</v>
      </c>
      <c r="V56" s="343">
        <f>ROUNDUP('04 - Veículos e Equipamentos'!V38*(1+'01 - Dados de Entrada'!$C$189),0)</f>
        <v>4</v>
      </c>
      <c r="W56" s="343">
        <f>ROUNDUP('04 - Veículos e Equipamentos'!W38*(1+'01 - Dados de Entrada'!$C$189),0)</f>
        <v>4</v>
      </c>
      <c r="X56" s="343">
        <f>ROUNDUP('04 - Veículos e Equipamentos'!X38*(1+'01 - Dados de Entrada'!$C$189),0)</f>
        <v>4</v>
      </c>
      <c r="Y56" s="343">
        <f>ROUNDUP('04 - Veículos e Equipamentos'!Y38*(1+'01 - Dados de Entrada'!$C$189),0)</f>
        <v>4</v>
      </c>
      <c r="Z56" s="343">
        <f>ROUNDUP('04 - Veículos e Equipamentos'!Z38*(1+'01 - Dados de Entrada'!$C$189),0)</f>
        <v>4</v>
      </c>
      <c r="AA56" s="343">
        <f>ROUNDUP('04 - Veículos e Equipamentos'!AA38*(1+'01 - Dados de Entrada'!$C$189),0)</f>
        <v>4</v>
      </c>
      <c r="AB56" s="343">
        <f>ROUNDUP('04 - Veículos e Equipamentos'!AB38*(1+'01 - Dados de Entrada'!$C$189),0)</f>
        <v>4</v>
      </c>
      <c r="AC56" s="343">
        <f>ROUNDUP('04 - Veículos e Equipamentos'!AC38*(1+'01 - Dados de Entrada'!$C$189),0)</f>
        <v>4</v>
      </c>
      <c r="AD56" s="343">
        <f>ROUNDUP('04 - Veículos e Equipamentos'!AD38*(1+'01 - Dados de Entrada'!$C$189),0)</f>
        <v>4</v>
      </c>
      <c r="AE56" s="343">
        <f>ROUNDUP('04 - Veículos e Equipamentos'!AE38*(1+'01 - Dados de Entrada'!$C$189),0)</f>
        <v>4</v>
      </c>
      <c r="AF56" s="343">
        <f>ROUNDUP('04 - Veículos e Equipamentos'!AF38*(1+'01 - Dados de Entrada'!$C$189),0)</f>
        <v>4</v>
      </c>
      <c r="AG56" s="343">
        <f>ROUNDUP('04 - Veículos e Equipamentos'!AG38*(1+'01 - Dados de Entrada'!$C$189),0)</f>
        <v>4</v>
      </c>
      <c r="AH56" s="343">
        <f>ROUNDUP('04 - Veículos e Equipamentos'!AH38*(1+'01 - Dados de Entrada'!$C$189),0)</f>
        <v>4</v>
      </c>
      <c r="AI56" s="343">
        <f>ROUNDUP('04 - Veículos e Equipamentos'!AI38*(1+'01 - Dados de Entrada'!$C$189),0)</f>
        <v>4</v>
      </c>
      <c r="AJ56" s="343">
        <f>ROUNDUP('04 - Veículos e Equipamentos'!AJ38*(1+'01 - Dados de Entrada'!$C$189),0)</f>
        <v>4</v>
      </c>
    </row>
    <row r="57" spans="1:36" s="256" customFormat="1" ht="13.15" customHeight="1" x14ac:dyDescent="0.2">
      <c r="A57" s="31" t="s">
        <v>837</v>
      </c>
      <c r="B57" s="501"/>
      <c r="C57" s="501"/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G57" s="501"/>
      <c r="AH57" s="501"/>
      <c r="AI57" s="501"/>
      <c r="AJ57" s="501"/>
    </row>
    <row r="58" spans="1:36" s="256" customFormat="1" ht="13.15" customHeight="1" x14ac:dyDescent="0.2">
      <c r="A58" s="32" t="s">
        <v>865</v>
      </c>
      <c r="B58" s="496">
        <f>ROUNDUP((('01 - Dados de Entrada'!$C$346*'01 - Dados de Entrada'!$C$345))*(1+'01 - Dados de Entrada'!$C$190),0)</f>
        <v>2</v>
      </c>
      <c r="C58" s="496">
        <f>ROUNDUP((('01 - Dados de Entrada'!$C$346*'01 - Dados de Entrada'!$C$345))*(1+'01 - Dados de Entrada'!$C$190),0)</f>
        <v>2</v>
      </c>
      <c r="D58" s="496">
        <f>ROUNDUP((('01 - Dados de Entrada'!$C$346*'01 - Dados de Entrada'!$C$345))*(1+'01 - Dados de Entrada'!$C$190),0)</f>
        <v>2</v>
      </c>
      <c r="E58" s="496">
        <f>ROUNDUP((('01 - Dados de Entrada'!$C$346*'01 - Dados de Entrada'!$C$345))*(1+'01 - Dados de Entrada'!$C$190),0)</f>
        <v>2</v>
      </c>
      <c r="F58" s="496">
        <f>ROUNDUP((('01 - Dados de Entrada'!$C$346*'01 - Dados de Entrada'!$C$345))*(1+'01 - Dados de Entrada'!$C$190),0)</f>
        <v>2</v>
      </c>
      <c r="G58" s="496">
        <f>ROUNDUP((('01 - Dados de Entrada'!$C$346*'01 - Dados de Entrada'!$C$345))*(1+'01 - Dados de Entrada'!$C$190),0)</f>
        <v>2</v>
      </c>
      <c r="H58" s="496">
        <f>ROUNDUP((('01 - Dados de Entrada'!$C$346*'01 - Dados de Entrada'!$C$345))*(1+'01 - Dados de Entrada'!$C$190),0)</f>
        <v>2</v>
      </c>
      <c r="I58" s="496">
        <f>ROUNDUP((('01 - Dados de Entrada'!$C$346*'01 - Dados de Entrada'!$C$345))*(1+'01 - Dados de Entrada'!$C$190),0)</f>
        <v>2</v>
      </c>
      <c r="J58" s="496">
        <f>ROUNDUP((('01 - Dados de Entrada'!$C$346*'01 - Dados de Entrada'!$C$345))*(1+'01 - Dados de Entrada'!$C$190),0)</f>
        <v>2</v>
      </c>
      <c r="K58" s="496">
        <f>ROUNDUP((('01 - Dados de Entrada'!$C$346*'01 - Dados de Entrada'!$C$345))*(1+'01 - Dados de Entrada'!$C$190),0)</f>
        <v>2</v>
      </c>
      <c r="L58" s="496">
        <f>ROUNDUP((('01 - Dados de Entrada'!$C$346*'01 - Dados de Entrada'!$C$345))*(1+'01 - Dados de Entrada'!$C$190),0)</f>
        <v>2</v>
      </c>
      <c r="M58" s="496">
        <f>ROUNDUP((('01 - Dados de Entrada'!$C$346*'01 - Dados de Entrada'!$C$345))*(1+'01 - Dados de Entrada'!$C$190),0)</f>
        <v>2</v>
      </c>
      <c r="N58" s="496">
        <f>ROUNDUP((('01 - Dados de Entrada'!$C$346*'01 - Dados de Entrada'!$C$345))*(1+'01 - Dados de Entrada'!$C$190),0)</f>
        <v>2</v>
      </c>
      <c r="O58" s="496">
        <f>ROUNDUP((('01 - Dados de Entrada'!$C$346*'01 - Dados de Entrada'!$C$345))*(1+'01 - Dados de Entrada'!$C$190),0)</f>
        <v>2</v>
      </c>
      <c r="P58" s="496">
        <f>ROUNDUP((('01 - Dados de Entrada'!$C$346*'01 - Dados de Entrada'!$C$345))*(1+'01 - Dados de Entrada'!$C$190),0)</f>
        <v>2</v>
      </c>
      <c r="Q58" s="496">
        <f>ROUNDUP((('01 - Dados de Entrada'!$C$346*'01 - Dados de Entrada'!$C$345))*(1+'01 - Dados de Entrada'!$C$190),0)</f>
        <v>2</v>
      </c>
      <c r="R58" s="496">
        <f>ROUNDUP((('01 - Dados de Entrada'!$C$346*'01 - Dados de Entrada'!$C$345))*(1+'01 - Dados de Entrada'!$C$190),0)</f>
        <v>2</v>
      </c>
      <c r="S58" s="496">
        <f>ROUNDUP((('01 - Dados de Entrada'!$C$346*'01 - Dados de Entrada'!$C$345))*(1+'01 - Dados de Entrada'!$C$190),0)</f>
        <v>2</v>
      </c>
      <c r="T58" s="496">
        <f>ROUNDUP((('01 - Dados de Entrada'!$C$346*'01 - Dados de Entrada'!$C$345))*(1+'01 - Dados de Entrada'!$C$190),0)</f>
        <v>2</v>
      </c>
      <c r="U58" s="496">
        <f>ROUNDUP((('01 - Dados de Entrada'!$C$346*'01 - Dados de Entrada'!$C$345))*(1+'01 - Dados de Entrada'!$C$190),0)</f>
        <v>2</v>
      </c>
      <c r="V58" s="496">
        <f>ROUNDUP((('01 - Dados de Entrada'!$C$346*'01 - Dados de Entrada'!$C$345))*(1+'01 - Dados de Entrada'!$C$190),0)</f>
        <v>2</v>
      </c>
      <c r="W58" s="496">
        <f>ROUNDUP((('01 - Dados de Entrada'!$C$346*'01 - Dados de Entrada'!$C$345))*(1+'01 - Dados de Entrada'!$C$190),0)</f>
        <v>2</v>
      </c>
      <c r="X58" s="496">
        <f>ROUNDUP((('01 - Dados de Entrada'!$C$346*'01 - Dados de Entrada'!$C$345))*(1+'01 - Dados de Entrada'!$C$190),0)</f>
        <v>2</v>
      </c>
      <c r="Y58" s="496">
        <f>ROUNDUP((('01 - Dados de Entrada'!$C$346*'01 - Dados de Entrada'!$C$345))*(1+'01 - Dados de Entrada'!$C$190),0)</f>
        <v>2</v>
      </c>
      <c r="Z58" s="496">
        <f>ROUNDUP((('01 - Dados de Entrada'!$C$346*'01 - Dados de Entrada'!$C$345))*(1+'01 - Dados de Entrada'!$C$190),0)</f>
        <v>2</v>
      </c>
      <c r="AA58" s="496">
        <f>ROUNDUP((('01 - Dados de Entrada'!$C$346*'01 - Dados de Entrada'!$C$345))*(1+'01 - Dados de Entrada'!$C$190),0)</f>
        <v>2</v>
      </c>
      <c r="AB58" s="496">
        <f>ROUNDUP((('01 - Dados de Entrada'!$C$346*'01 - Dados de Entrada'!$C$345))*(1+'01 - Dados de Entrada'!$C$190),0)</f>
        <v>2</v>
      </c>
      <c r="AC58" s="496">
        <f>ROUNDUP((('01 - Dados de Entrada'!$C$346*'01 - Dados de Entrada'!$C$345))*(1+'01 - Dados de Entrada'!$C$190),0)</f>
        <v>2</v>
      </c>
      <c r="AD58" s="496">
        <f>ROUNDUP((('01 - Dados de Entrada'!$C$346*'01 - Dados de Entrada'!$C$345))*(1+'01 - Dados de Entrada'!$C$190),0)</f>
        <v>2</v>
      </c>
      <c r="AE58" s="496">
        <f>ROUNDUP((('01 - Dados de Entrada'!$C$346*'01 - Dados de Entrada'!$C$345))*(1+'01 - Dados de Entrada'!$C$190),0)</f>
        <v>2</v>
      </c>
      <c r="AF58" s="496">
        <f>ROUNDUP((('01 - Dados de Entrada'!$C$346*'01 - Dados de Entrada'!$C$345))*(1+'01 - Dados de Entrada'!$C$190),0)</f>
        <v>2</v>
      </c>
      <c r="AG58" s="496">
        <f>ROUNDUP((('01 - Dados de Entrada'!$C$346*'01 - Dados de Entrada'!$C$345))*(1+'01 - Dados de Entrada'!$C$190),0)</f>
        <v>2</v>
      </c>
      <c r="AH58" s="496">
        <f>ROUNDUP((('01 - Dados de Entrada'!$C$346*'01 - Dados de Entrada'!$C$345))*(1+'01 - Dados de Entrada'!$C$190),0)</f>
        <v>2</v>
      </c>
      <c r="AI58" s="496">
        <f>ROUNDUP((('01 - Dados de Entrada'!$C$346*'01 - Dados de Entrada'!$C$345))*(1+'01 - Dados de Entrada'!$C$190),0)</f>
        <v>2</v>
      </c>
      <c r="AJ58" s="496">
        <f>ROUNDUP((('01 - Dados de Entrada'!$C$346*'01 - Dados de Entrada'!$C$345))*(1+'01 - Dados de Entrada'!$C$190),0)</f>
        <v>2</v>
      </c>
    </row>
    <row r="59" spans="1:36" s="256" customFormat="1" ht="13.15" customHeight="1" x14ac:dyDescent="0.2">
      <c r="A59" s="322" t="s">
        <v>874</v>
      </c>
    </row>
    <row r="60" spans="1:36" ht="13.15" customHeight="1" x14ac:dyDescent="0.2">
      <c r="A60" s="32" t="s">
        <v>875</v>
      </c>
      <c r="B60" s="499">
        <v>1</v>
      </c>
      <c r="C60" s="499">
        <v>1</v>
      </c>
      <c r="D60" s="499">
        <v>1</v>
      </c>
      <c r="E60" s="499">
        <v>1</v>
      </c>
      <c r="F60" s="499">
        <v>1</v>
      </c>
      <c r="G60" s="499">
        <v>1</v>
      </c>
      <c r="H60" s="499">
        <v>1</v>
      </c>
      <c r="I60" s="499">
        <v>1</v>
      </c>
      <c r="J60" s="499">
        <v>1</v>
      </c>
      <c r="K60" s="499">
        <v>1</v>
      </c>
      <c r="L60" s="499">
        <v>1</v>
      </c>
      <c r="M60" s="499">
        <v>1</v>
      </c>
      <c r="N60" s="499">
        <v>1</v>
      </c>
      <c r="O60" s="499">
        <v>1</v>
      </c>
      <c r="P60" s="499">
        <v>1</v>
      </c>
      <c r="Q60" s="499">
        <v>1</v>
      </c>
      <c r="R60" s="499">
        <v>1</v>
      </c>
      <c r="S60" s="499">
        <v>1</v>
      </c>
      <c r="T60" s="499">
        <v>1</v>
      </c>
      <c r="U60" s="499">
        <v>1</v>
      </c>
      <c r="V60" s="499">
        <v>1</v>
      </c>
      <c r="W60" s="499">
        <v>1</v>
      </c>
      <c r="X60" s="499">
        <v>1</v>
      </c>
      <c r="Y60" s="499">
        <v>1</v>
      </c>
      <c r="Z60" s="499">
        <v>1</v>
      </c>
      <c r="AA60" s="499">
        <v>1</v>
      </c>
      <c r="AB60" s="499">
        <v>1</v>
      </c>
      <c r="AC60" s="499">
        <v>1</v>
      </c>
      <c r="AD60" s="499">
        <v>1</v>
      </c>
      <c r="AE60" s="499">
        <v>1</v>
      </c>
      <c r="AF60" s="499">
        <v>1</v>
      </c>
      <c r="AG60" s="499">
        <v>1</v>
      </c>
      <c r="AH60" s="499">
        <v>1</v>
      </c>
      <c r="AI60" s="499">
        <v>1</v>
      </c>
      <c r="AJ60" s="499">
        <v>1</v>
      </c>
    </row>
    <row r="61" spans="1:36" ht="13.15" customHeight="1" x14ac:dyDescent="0.2">
      <c r="A61" s="32" t="s">
        <v>876</v>
      </c>
      <c r="B61" s="499">
        <v>2</v>
      </c>
      <c r="C61" s="499">
        <v>2</v>
      </c>
      <c r="D61" s="499">
        <v>2</v>
      </c>
      <c r="E61" s="499">
        <v>2</v>
      </c>
      <c r="F61" s="499">
        <v>2</v>
      </c>
      <c r="G61" s="499">
        <v>2</v>
      </c>
      <c r="H61" s="499">
        <v>2</v>
      </c>
      <c r="I61" s="499">
        <v>2</v>
      </c>
      <c r="J61" s="499">
        <v>2</v>
      </c>
      <c r="K61" s="499">
        <v>2</v>
      </c>
      <c r="L61" s="499">
        <v>2</v>
      </c>
      <c r="M61" s="499">
        <v>2</v>
      </c>
      <c r="N61" s="499">
        <v>2</v>
      </c>
      <c r="O61" s="499">
        <v>2</v>
      </c>
      <c r="P61" s="499">
        <v>2</v>
      </c>
      <c r="Q61" s="499">
        <v>2</v>
      </c>
      <c r="R61" s="499">
        <v>2</v>
      </c>
      <c r="S61" s="499">
        <v>2</v>
      </c>
      <c r="T61" s="499">
        <v>2</v>
      </c>
      <c r="U61" s="499">
        <v>2</v>
      </c>
      <c r="V61" s="499">
        <v>2</v>
      </c>
      <c r="W61" s="499">
        <v>2</v>
      </c>
      <c r="X61" s="499">
        <v>2</v>
      </c>
      <c r="Y61" s="499">
        <v>2</v>
      </c>
      <c r="Z61" s="499">
        <v>2</v>
      </c>
      <c r="AA61" s="499">
        <v>2</v>
      </c>
      <c r="AB61" s="499">
        <v>2</v>
      </c>
      <c r="AC61" s="499">
        <v>2</v>
      </c>
      <c r="AD61" s="499">
        <v>2</v>
      </c>
      <c r="AE61" s="499">
        <v>2</v>
      </c>
      <c r="AF61" s="499">
        <v>2</v>
      </c>
      <c r="AG61" s="499">
        <v>2</v>
      </c>
      <c r="AH61" s="499">
        <v>2</v>
      </c>
      <c r="AI61" s="499">
        <v>2</v>
      </c>
      <c r="AJ61" s="499">
        <v>2</v>
      </c>
    </row>
    <row r="62" spans="1:36" ht="13.15" customHeight="1" x14ac:dyDescent="0.2">
      <c r="A62" s="32" t="s">
        <v>877</v>
      </c>
      <c r="B62" s="499">
        <f>B61</f>
        <v>2</v>
      </c>
      <c r="C62" s="499">
        <f t="shared" ref="C62:AE62" si="23">C61</f>
        <v>2</v>
      </c>
      <c r="D62" s="499">
        <f t="shared" si="23"/>
        <v>2</v>
      </c>
      <c r="E62" s="499">
        <f t="shared" si="23"/>
        <v>2</v>
      </c>
      <c r="F62" s="499">
        <f t="shared" si="23"/>
        <v>2</v>
      </c>
      <c r="G62" s="499">
        <f t="shared" si="23"/>
        <v>2</v>
      </c>
      <c r="H62" s="499">
        <f t="shared" si="23"/>
        <v>2</v>
      </c>
      <c r="I62" s="499">
        <f t="shared" si="23"/>
        <v>2</v>
      </c>
      <c r="J62" s="499">
        <f t="shared" si="23"/>
        <v>2</v>
      </c>
      <c r="K62" s="499">
        <f t="shared" si="23"/>
        <v>2</v>
      </c>
      <c r="L62" s="499">
        <f t="shared" si="23"/>
        <v>2</v>
      </c>
      <c r="M62" s="499">
        <f t="shared" si="23"/>
        <v>2</v>
      </c>
      <c r="N62" s="499">
        <f t="shared" si="23"/>
        <v>2</v>
      </c>
      <c r="O62" s="499">
        <f t="shared" si="23"/>
        <v>2</v>
      </c>
      <c r="P62" s="499">
        <f t="shared" si="23"/>
        <v>2</v>
      </c>
      <c r="Q62" s="499">
        <f t="shared" si="23"/>
        <v>2</v>
      </c>
      <c r="R62" s="499">
        <f t="shared" si="23"/>
        <v>2</v>
      </c>
      <c r="S62" s="499">
        <f t="shared" si="23"/>
        <v>2</v>
      </c>
      <c r="T62" s="499">
        <f t="shared" si="23"/>
        <v>2</v>
      </c>
      <c r="U62" s="499">
        <f t="shared" si="23"/>
        <v>2</v>
      </c>
      <c r="V62" s="499">
        <f t="shared" si="23"/>
        <v>2</v>
      </c>
      <c r="W62" s="499">
        <f t="shared" si="23"/>
        <v>2</v>
      </c>
      <c r="X62" s="499">
        <f t="shared" si="23"/>
        <v>2</v>
      </c>
      <c r="Y62" s="499">
        <f t="shared" si="23"/>
        <v>2</v>
      </c>
      <c r="Z62" s="499">
        <f t="shared" si="23"/>
        <v>2</v>
      </c>
      <c r="AA62" s="499">
        <f t="shared" si="23"/>
        <v>2</v>
      </c>
      <c r="AB62" s="499">
        <f t="shared" si="23"/>
        <v>2</v>
      </c>
      <c r="AC62" s="499">
        <f t="shared" si="23"/>
        <v>2</v>
      </c>
      <c r="AD62" s="499">
        <f t="shared" si="23"/>
        <v>2</v>
      </c>
      <c r="AE62" s="499">
        <f t="shared" si="23"/>
        <v>2</v>
      </c>
      <c r="AF62" s="499">
        <f>AF61</f>
        <v>2</v>
      </c>
      <c r="AG62" s="499">
        <f>AG61</f>
        <v>2</v>
      </c>
      <c r="AH62" s="499">
        <f>AH61</f>
        <v>2</v>
      </c>
      <c r="AI62" s="499">
        <f>AI61</f>
        <v>2</v>
      </c>
      <c r="AJ62" s="499">
        <f>AJ61</f>
        <v>2</v>
      </c>
    </row>
    <row r="63" spans="1:36" ht="13.15" customHeight="1" x14ac:dyDescent="0.2">
      <c r="A63" s="32" t="s">
        <v>878</v>
      </c>
      <c r="B63" s="499">
        <v>1</v>
      </c>
      <c r="C63" s="499">
        <v>1</v>
      </c>
      <c r="D63" s="499">
        <v>1</v>
      </c>
      <c r="E63" s="499">
        <v>1</v>
      </c>
      <c r="F63" s="499">
        <v>1</v>
      </c>
      <c r="G63" s="499">
        <v>1</v>
      </c>
      <c r="H63" s="499">
        <v>1</v>
      </c>
      <c r="I63" s="499">
        <v>1</v>
      </c>
      <c r="J63" s="499">
        <v>1</v>
      </c>
      <c r="K63" s="499">
        <v>1</v>
      </c>
      <c r="L63" s="499">
        <v>1</v>
      </c>
      <c r="M63" s="499">
        <v>1</v>
      </c>
      <c r="N63" s="499">
        <v>1</v>
      </c>
      <c r="O63" s="499">
        <v>1</v>
      </c>
      <c r="P63" s="499">
        <v>1</v>
      </c>
      <c r="Q63" s="499">
        <v>1</v>
      </c>
      <c r="R63" s="499">
        <v>1</v>
      </c>
      <c r="S63" s="499">
        <v>1</v>
      </c>
      <c r="T63" s="499">
        <v>1</v>
      </c>
      <c r="U63" s="499">
        <v>1</v>
      </c>
      <c r="V63" s="499">
        <v>1</v>
      </c>
      <c r="W63" s="499">
        <v>1</v>
      </c>
      <c r="X63" s="499">
        <v>1</v>
      </c>
      <c r="Y63" s="499">
        <v>1</v>
      </c>
      <c r="Z63" s="499">
        <v>1</v>
      </c>
      <c r="AA63" s="499">
        <v>1</v>
      </c>
      <c r="AB63" s="499">
        <v>1</v>
      </c>
      <c r="AC63" s="499">
        <v>1</v>
      </c>
      <c r="AD63" s="499">
        <v>1</v>
      </c>
      <c r="AE63" s="499">
        <v>1</v>
      </c>
      <c r="AF63" s="499">
        <v>1</v>
      </c>
      <c r="AG63" s="499">
        <v>1</v>
      </c>
      <c r="AH63" s="499">
        <v>1</v>
      </c>
      <c r="AI63" s="499">
        <v>1</v>
      </c>
      <c r="AJ63" s="499">
        <v>1</v>
      </c>
    </row>
    <row r="64" spans="1:36" ht="13.15" customHeight="1" x14ac:dyDescent="0.2">
      <c r="A64" s="32" t="s">
        <v>879</v>
      </c>
      <c r="B64" s="499">
        <v>2</v>
      </c>
      <c r="C64" s="499">
        <v>2</v>
      </c>
      <c r="D64" s="499">
        <v>2</v>
      </c>
      <c r="E64" s="499">
        <v>2</v>
      </c>
      <c r="F64" s="499">
        <v>2</v>
      </c>
      <c r="G64" s="499">
        <v>2</v>
      </c>
      <c r="H64" s="499">
        <v>2</v>
      </c>
      <c r="I64" s="499">
        <v>2</v>
      </c>
      <c r="J64" s="499">
        <v>2</v>
      </c>
      <c r="K64" s="499">
        <v>2</v>
      </c>
      <c r="L64" s="499">
        <v>2</v>
      </c>
      <c r="M64" s="499">
        <v>2</v>
      </c>
      <c r="N64" s="499">
        <v>2</v>
      </c>
      <c r="O64" s="499">
        <v>2</v>
      </c>
      <c r="P64" s="499">
        <v>2</v>
      </c>
      <c r="Q64" s="499">
        <v>2</v>
      </c>
      <c r="R64" s="499">
        <v>2</v>
      </c>
      <c r="S64" s="499">
        <v>2</v>
      </c>
      <c r="T64" s="499">
        <v>2</v>
      </c>
      <c r="U64" s="499">
        <v>2</v>
      </c>
      <c r="V64" s="499">
        <v>2</v>
      </c>
      <c r="W64" s="499">
        <v>2</v>
      </c>
      <c r="X64" s="499">
        <v>2</v>
      </c>
      <c r="Y64" s="499">
        <v>2</v>
      </c>
      <c r="Z64" s="499">
        <v>2</v>
      </c>
      <c r="AA64" s="499">
        <v>2</v>
      </c>
      <c r="AB64" s="499">
        <v>2</v>
      </c>
      <c r="AC64" s="499">
        <v>2</v>
      </c>
      <c r="AD64" s="499">
        <v>2</v>
      </c>
      <c r="AE64" s="499">
        <v>2</v>
      </c>
      <c r="AF64" s="499">
        <v>2</v>
      </c>
      <c r="AG64" s="499">
        <v>2</v>
      </c>
      <c r="AH64" s="499">
        <v>2</v>
      </c>
      <c r="AI64" s="499">
        <v>2</v>
      </c>
      <c r="AJ64" s="499">
        <v>2</v>
      </c>
    </row>
    <row r="66" spans="1:36" s="258" customFormat="1" ht="13.15" customHeight="1" x14ac:dyDescent="0.2">
      <c r="A66" s="257" t="s">
        <v>880</v>
      </c>
    </row>
    <row r="67" spans="1:36" s="258" customFormat="1" ht="13.15" customHeight="1" x14ac:dyDescent="0.2">
      <c r="A67" s="15" t="s">
        <v>881</v>
      </c>
      <c r="B67" s="342">
        <f>ROUNDUP(('01 - Dados de Entrada'!$C$305*(1+'01 - Dados de Entrada'!$C$190)),0)</f>
        <v>4</v>
      </c>
      <c r="C67" s="342">
        <f>ROUNDUP(('01 - Dados de Entrada'!$C$305*(1+'01 - Dados de Entrada'!$C$190)),0)</f>
        <v>4</v>
      </c>
      <c r="D67" s="342">
        <f>ROUNDUP(('01 - Dados de Entrada'!$C$305*(1+'01 - Dados de Entrada'!$C$190)),0)</f>
        <v>4</v>
      </c>
      <c r="E67" s="342">
        <f>ROUNDUP(('01 - Dados de Entrada'!$C$305*(1+'01 - Dados de Entrada'!$C$190)),0)</f>
        <v>4</v>
      </c>
      <c r="F67" s="342">
        <f>ROUNDUP(('01 - Dados de Entrada'!$C$305*(1+'01 - Dados de Entrada'!$C$190)),0)</f>
        <v>4</v>
      </c>
      <c r="G67" s="342">
        <f>ROUNDUP(('01 - Dados de Entrada'!$C$305*(1+'01 - Dados de Entrada'!$C$190)),0)</f>
        <v>4</v>
      </c>
      <c r="H67" s="342">
        <f>ROUNDUP(('01 - Dados de Entrada'!$C$305*(1+'01 - Dados de Entrada'!$C$190)),0)</f>
        <v>4</v>
      </c>
      <c r="I67" s="342">
        <f>ROUNDUP(('01 - Dados de Entrada'!$C$305*(1+'01 - Dados de Entrada'!$C$190)),0)</f>
        <v>4</v>
      </c>
      <c r="J67" s="342">
        <f>ROUNDUP(('01 - Dados de Entrada'!$C$305*(1+'01 - Dados de Entrada'!$C$190)),0)</f>
        <v>4</v>
      </c>
      <c r="K67" s="342">
        <f>ROUNDUP(('01 - Dados de Entrada'!$C$305*(1+'01 - Dados de Entrada'!$C$190)),0)</f>
        <v>4</v>
      </c>
      <c r="L67" s="342">
        <f>ROUNDUP(('01 - Dados de Entrada'!$C$305*(1+'01 - Dados de Entrada'!$C$190)),0)</f>
        <v>4</v>
      </c>
      <c r="M67" s="342">
        <f>ROUNDUP(('01 - Dados de Entrada'!$C$305*(1+'01 - Dados de Entrada'!$C$190)),0)</f>
        <v>4</v>
      </c>
      <c r="N67" s="342">
        <f>ROUNDUP(('01 - Dados de Entrada'!$C$305*(1+'01 - Dados de Entrada'!$C$190)),0)</f>
        <v>4</v>
      </c>
      <c r="O67" s="342">
        <f>ROUNDUP(('01 - Dados de Entrada'!$C$305*(1+'01 - Dados de Entrada'!$C$190)),0)</f>
        <v>4</v>
      </c>
      <c r="P67" s="342">
        <f>ROUNDUP(('01 - Dados de Entrada'!$C$305*(1+'01 - Dados de Entrada'!$C$190)),0)</f>
        <v>4</v>
      </c>
      <c r="Q67" s="342">
        <f>ROUNDUP(('01 - Dados de Entrada'!$C$305*(1+'01 - Dados de Entrada'!$C$190)),0)</f>
        <v>4</v>
      </c>
      <c r="R67" s="342">
        <f>ROUNDUP(('01 - Dados de Entrada'!$C$305*(1+'01 - Dados de Entrada'!$C$190)),0)</f>
        <v>4</v>
      </c>
      <c r="S67" s="342">
        <f>ROUNDUP(('01 - Dados de Entrada'!$C$305*(1+'01 - Dados de Entrada'!$C$190)),0)</f>
        <v>4</v>
      </c>
      <c r="T67" s="342">
        <f>ROUNDUP(('01 - Dados de Entrada'!$C$305*(1+'01 - Dados de Entrada'!$C$190)),0)</f>
        <v>4</v>
      </c>
      <c r="U67" s="342">
        <f>ROUNDUP(('01 - Dados de Entrada'!$C$305*(1+'01 - Dados de Entrada'!$C$190)),0)</f>
        <v>4</v>
      </c>
      <c r="V67" s="342">
        <f>ROUNDUP(('01 - Dados de Entrada'!$C$305*(1+'01 - Dados de Entrada'!$C$190)),0)</f>
        <v>4</v>
      </c>
      <c r="W67" s="342">
        <f>ROUNDUP(('01 - Dados de Entrada'!$C$305*(1+'01 - Dados de Entrada'!$C$190)),0)</f>
        <v>4</v>
      </c>
      <c r="X67" s="342">
        <f>ROUNDUP(('01 - Dados de Entrada'!$C$305*(1+'01 - Dados de Entrada'!$C$190)),0)</f>
        <v>4</v>
      </c>
      <c r="Y67" s="342">
        <f>ROUNDUP(('01 - Dados de Entrada'!$C$305*(1+'01 - Dados de Entrada'!$C$190)),0)</f>
        <v>4</v>
      </c>
      <c r="Z67" s="342">
        <f>ROUNDUP(('01 - Dados de Entrada'!$C$305*(1+'01 - Dados de Entrada'!$C$190)),0)</f>
        <v>4</v>
      </c>
      <c r="AA67" s="342">
        <f>ROUNDUP(('01 - Dados de Entrada'!$C$305*(1+'01 - Dados de Entrada'!$C$190)),0)</f>
        <v>4</v>
      </c>
      <c r="AB67" s="342">
        <f>ROUNDUP(('01 - Dados de Entrada'!$C$305*(1+'01 - Dados de Entrada'!$C$190)),0)</f>
        <v>4</v>
      </c>
      <c r="AC67" s="342">
        <f>ROUNDUP(('01 - Dados de Entrada'!$C$305*(1+'01 - Dados de Entrada'!$C$190)),0)</f>
        <v>4</v>
      </c>
      <c r="AD67" s="342">
        <f>ROUNDUP(('01 - Dados de Entrada'!$C$305*(1+'01 - Dados de Entrada'!$C$190)),0)</f>
        <v>4</v>
      </c>
      <c r="AE67" s="342">
        <f>ROUNDUP(('01 - Dados de Entrada'!$C$305*(1+'01 - Dados de Entrada'!$C$190)),0)</f>
        <v>4</v>
      </c>
      <c r="AF67" s="342">
        <f>ROUNDUP(('01 - Dados de Entrada'!$C$305*(1+'01 - Dados de Entrada'!$C$190)),0)</f>
        <v>4</v>
      </c>
      <c r="AG67" s="342">
        <f>ROUNDUP(('01 - Dados de Entrada'!$C$305*(1+'01 - Dados de Entrada'!$C$190)),0)</f>
        <v>4</v>
      </c>
      <c r="AH67" s="342">
        <f>ROUNDUP(('01 - Dados de Entrada'!$C$305*(1+'01 - Dados de Entrada'!$C$190)),0)</f>
        <v>4</v>
      </c>
      <c r="AI67" s="342">
        <f>ROUNDUP(('01 - Dados de Entrada'!$C$305*(1+'01 - Dados de Entrada'!$C$190)),0)</f>
        <v>4</v>
      </c>
      <c r="AJ67" s="342">
        <f>ROUNDUP(('01 - Dados de Entrada'!$C$305*(1+'01 - Dados de Entrada'!$C$190)),0)</f>
        <v>4</v>
      </c>
    </row>
    <row r="68" spans="1:36" s="258" customFormat="1" ht="13.15" customHeight="1" x14ac:dyDescent="0.2">
      <c r="A68" s="15" t="s">
        <v>882</v>
      </c>
      <c r="B68" s="259">
        <f>ROUNDUP('01 - Dados de Entrada'!$C$306+'01 - Dados de Entrada'!$C$296*'01 - Dados de Entrada'!$C$306,0)</f>
        <v>42</v>
      </c>
      <c r="C68" s="259">
        <f>ROUNDUP('01 - Dados de Entrada'!$C$306+'01 - Dados de Entrada'!$C$296*'01 - Dados de Entrada'!$C$306,0)</f>
        <v>42</v>
      </c>
      <c r="D68" s="259">
        <f>ROUNDUP('01 - Dados de Entrada'!$C$306+'01 - Dados de Entrada'!$C$296*'01 - Dados de Entrada'!$C$306,0)</f>
        <v>42</v>
      </c>
      <c r="E68" s="259">
        <f>ROUNDUP('01 - Dados de Entrada'!$C$306+'01 - Dados de Entrada'!$C$296*'01 - Dados de Entrada'!$C$306,0)</f>
        <v>42</v>
      </c>
      <c r="F68" s="259">
        <f>ROUNDUP('01 - Dados de Entrada'!$C$306+'01 - Dados de Entrada'!$C$296*'01 - Dados de Entrada'!$C$306,0)</f>
        <v>42</v>
      </c>
      <c r="G68" s="259">
        <f>ROUNDUP('01 - Dados de Entrada'!$C$306+'01 - Dados de Entrada'!$C$296*'01 - Dados de Entrada'!$C$306,0)</f>
        <v>42</v>
      </c>
      <c r="H68" s="259">
        <f>ROUNDUP('01 - Dados de Entrada'!$C$306+'01 - Dados de Entrada'!$C$296*'01 - Dados de Entrada'!$C$306,0)</f>
        <v>42</v>
      </c>
      <c r="I68" s="259">
        <f>ROUNDUP('01 - Dados de Entrada'!$C$306+'01 - Dados de Entrada'!$C$296*'01 - Dados de Entrada'!$C$306,0)</f>
        <v>42</v>
      </c>
      <c r="J68" s="259">
        <f>ROUNDUP('01 - Dados de Entrada'!$C$306+'01 - Dados de Entrada'!$C$296*'01 - Dados de Entrada'!$C$306,0)</f>
        <v>42</v>
      </c>
      <c r="K68" s="259">
        <f>ROUNDUP('01 - Dados de Entrada'!$C$306+'01 - Dados de Entrada'!$C$296*'01 - Dados de Entrada'!$C$306,0)</f>
        <v>42</v>
      </c>
      <c r="L68" s="259">
        <f>ROUNDUP('01 - Dados de Entrada'!$C$306+'01 - Dados de Entrada'!$C$296*'01 - Dados de Entrada'!$C$306,0)</f>
        <v>42</v>
      </c>
      <c r="M68" s="259">
        <f>ROUNDUP('01 - Dados de Entrada'!$C$306+'01 - Dados de Entrada'!$C$296*'01 - Dados de Entrada'!$C$306,0)</f>
        <v>42</v>
      </c>
      <c r="N68" s="259">
        <f>ROUNDUP('01 - Dados de Entrada'!$C$306+'01 - Dados de Entrada'!$C$296*'01 - Dados de Entrada'!$C$306,0)</f>
        <v>42</v>
      </c>
      <c r="O68" s="259">
        <f>ROUNDUP('01 - Dados de Entrada'!$C$306+'01 - Dados de Entrada'!$C$296*'01 - Dados de Entrada'!$C$306,0)</f>
        <v>42</v>
      </c>
      <c r="P68" s="259">
        <f>ROUNDUP('01 - Dados de Entrada'!$C$306+'01 - Dados de Entrada'!$C$296*'01 - Dados de Entrada'!$C$306,0)</f>
        <v>42</v>
      </c>
      <c r="Q68" s="259">
        <f>ROUNDUP('01 - Dados de Entrada'!$C$306+'01 - Dados de Entrada'!$C$296*'01 - Dados de Entrada'!$C$306,0)</f>
        <v>42</v>
      </c>
      <c r="R68" s="259">
        <f>ROUNDUP('01 - Dados de Entrada'!$C$306+'01 - Dados de Entrada'!$C$296*'01 - Dados de Entrada'!$C$306,0)</f>
        <v>42</v>
      </c>
      <c r="S68" s="259">
        <f>ROUNDUP('01 - Dados de Entrada'!$C$306+'01 - Dados de Entrada'!$C$296*'01 - Dados de Entrada'!$C$306,0)</f>
        <v>42</v>
      </c>
      <c r="T68" s="259">
        <f>ROUNDUP('01 - Dados de Entrada'!$C$306+'01 - Dados de Entrada'!$C$296*'01 - Dados de Entrada'!$C$306,0)</f>
        <v>42</v>
      </c>
      <c r="U68" s="259">
        <f>ROUNDUP('01 - Dados de Entrada'!$C$306+'01 - Dados de Entrada'!$C$296*'01 - Dados de Entrada'!$C$306,0)</f>
        <v>42</v>
      </c>
      <c r="V68" s="259">
        <f>ROUNDUP('01 - Dados de Entrada'!$C$306+'01 - Dados de Entrada'!$C$296*'01 - Dados de Entrada'!$C$306,0)</f>
        <v>42</v>
      </c>
      <c r="W68" s="259">
        <f>ROUNDUP('01 - Dados de Entrada'!$C$306+'01 - Dados de Entrada'!$C$296*'01 - Dados de Entrada'!$C$306,0)</f>
        <v>42</v>
      </c>
      <c r="X68" s="259">
        <f>ROUNDUP('01 - Dados de Entrada'!$C$306+'01 - Dados de Entrada'!$C$296*'01 - Dados de Entrada'!$C$306,0)</f>
        <v>42</v>
      </c>
      <c r="Y68" s="259">
        <f>ROUNDUP('01 - Dados de Entrada'!$C$306+'01 - Dados de Entrada'!$C$296*'01 - Dados de Entrada'!$C$306,0)</f>
        <v>42</v>
      </c>
      <c r="Z68" s="259">
        <f>ROUNDUP('01 - Dados de Entrada'!$C$306+'01 - Dados de Entrada'!$C$296*'01 - Dados de Entrada'!$C$306,0)</f>
        <v>42</v>
      </c>
      <c r="AA68" s="259">
        <f>ROUNDUP('01 - Dados de Entrada'!$C$306+'01 - Dados de Entrada'!$C$296*'01 - Dados de Entrada'!$C$306,0)</f>
        <v>42</v>
      </c>
      <c r="AB68" s="259">
        <f>ROUNDUP('01 - Dados de Entrada'!$C$306+'01 - Dados de Entrada'!$C$296*'01 - Dados de Entrada'!$C$306,0)</f>
        <v>42</v>
      </c>
      <c r="AC68" s="259">
        <f>ROUNDUP('01 - Dados de Entrada'!$C$306+'01 - Dados de Entrada'!$C$296*'01 - Dados de Entrada'!$C$306,0)</f>
        <v>42</v>
      </c>
      <c r="AD68" s="259">
        <f>ROUNDUP('01 - Dados de Entrada'!$C$306+'01 - Dados de Entrada'!$C$296*'01 - Dados de Entrada'!$C$306,0)</f>
        <v>42</v>
      </c>
      <c r="AE68" s="259">
        <f>ROUNDUP('01 - Dados de Entrada'!$C$306+'01 - Dados de Entrada'!$C$296*'01 - Dados de Entrada'!$C$306,0)</f>
        <v>42</v>
      </c>
      <c r="AF68" s="259">
        <f>ROUNDUP('01 - Dados de Entrada'!$C$306+'01 - Dados de Entrada'!$C$296*'01 - Dados de Entrada'!$C$306,0)</f>
        <v>42</v>
      </c>
      <c r="AG68" s="259">
        <f>ROUNDUP('01 - Dados de Entrada'!$C$306+'01 - Dados de Entrada'!$C$296*'01 - Dados de Entrada'!$C$306,0)</f>
        <v>42</v>
      </c>
      <c r="AH68" s="259">
        <f>ROUNDUP('01 - Dados de Entrada'!$C$306+'01 - Dados de Entrada'!$C$296*'01 - Dados de Entrada'!$C$306,0)</f>
        <v>42</v>
      </c>
      <c r="AI68" s="259">
        <f>ROUNDUP('01 - Dados de Entrada'!$C$306+'01 - Dados de Entrada'!$C$296*'01 - Dados de Entrada'!$C$306,0)</f>
        <v>42</v>
      </c>
      <c r="AJ68" s="259">
        <f>ROUNDUP('01 - Dados de Entrada'!$C$306+'01 - Dados de Entrada'!$C$296*'01 - Dados de Entrada'!$C$306,0)</f>
        <v>42</v>
      </c>
    </row>
    <row r="69" spans="1:36" s="258" customFormat="1" ht="13.15" customHeight="1" x14ac:dyDescent="0.2">
      <c r="A69" s="15" t="s">
        <v>867</v>
      </c>
      <c r="B69" s="342">
        <f>'01 - Dados de Entrada'!$C$307</f>
        <v>1</v>
      </c>
      <c r="C69" s="342">
        <f>'01 - Dados de Entrada'!$C$307</f>
        <v>1</v>
      </c>
      <c r="D69" s="342">
        <f>'01 - Dados de Entrada'!$C$307</f>
        <v>1</v>
      </c>
      <c r="E69" s="342">
        <f>'01 - Dados de Entrada'!$C$307</f>
        <v>1</v>
      </c>
      <c r="F69" s="342">
        <f>'01 - Dados de Entrada'!$C$307</f>
        <v>1</v>
      </c>
      <c r="G69" s="342">
        <f>'01 - Dados de Entrada'!$C$307</f>
        <v>1</v>
      </c>
      <c r="H69" s="342">
        <f>'01 - Dados de Entrada'!$C$307</f>
        <v>1</v>
      </c>
      <c r="I69" s="342">
        <f>'01 - Dados de Entrada'!$C$307</f>
        <v>1</v>
      </c>
      <c r="J69" s="342">
        <f>'01 - Dados de Entrada'!$C$307</f>
        <v>1</v>
      </c>
      <c r="K69" s="342">
        <f>'01 - Dados de Entrada'!$C$307</f>
        <v>1</v>
      </c>
      <c r="L69" s="342">
        <f>'01 - Dados de Entrada'!$C$307</f>
        <v>1</v>
      </c>
      <c r="M69" s="342">
        <f>'01 - Dados de Entrada'!$C$307</f>
        <v>1</v>
      </c>
      <c r="N69" s="342">
        <f>'01 - Dados de Entrada'!$C$307</f>
        <v>1</v>
      </c>
      <c r="O69" s="342">
        <f>'01 - Dados de Entrada'!$C$307</f>
        <v>1</v>
      </c>
      <c r="P69" s="342">
        <f>'01 - Dados de Entrada'!$C$307</f>
        <v>1</v>
      </c>
      <c r="Q69" s="342">
        <f>'01 - Dados de Entrada'!$C$307</f>
        <v>1</v>
      </c>
      <c r="R69" s="342">
        <f>'01 - Dados de Entrada'!$C$307</f>
        <v>1</v>
      </c>
      <c r="S69" s="342">
        <f>'01 - Dados de Entrada'!$C$307</f>
        <v>1</v>
      </c>
      <c r="T69" s="342">
        <f>'01 - Dados de Entrada'!$C$307</f>
        <v>1</v>
      </c>
      <c r="U69" s="342">
        <f>'01 - Dados de Entrada'!$C$307</f>
        <v>1</v>
      </c>
      <c r="V69" s="342">
        <f>'01 - Dados de Entrada'!$C$307</f>
        <v>1</v>
      </c>
      <c r="W69" s="342">
        <f>'01 - Dados de Entrada'!$C$307</f>
        <v>1</v>
      </c>
      <c r="X69" s="342">
        <f>'01 - Dados de Entrada'!$C$307</f>
        <v>1</v>
      </c>
      <c r="Y69" s="342">
        <f>'01 - Dados de Entrada'!$C$307</f>
        <v>1</v>
      </c>
      <c r="Z69" s="342">
        <f>'01 - Dados de Entrada'!$C$307</f>
        <v>1</v>
      </c>
      <c r="AA69" s="342">
        <f>'01 - Dados de Entrada'!$C$307</f>
        <v>1</v>
      </c>
      <c r="AB69" s="342">
        <f>'01 - Dados de Entrada'!$C$307</f>
        <v>1</v>
      </c>
      <c r="AC69" s="342">
        <f>'01 - Dados de Entrada'!$C$307</f>
        <v>1</v>
      </c>
      <c r="AD69" s="342">
        <f>'01 - Dados de Entrada'!$C$307</f>
        <v>1</v>
      </c>
      <c r="AE69" s="342">
        <f>'01 - Dados de Entrada'!$C$307</f>
        <v>1</v>
      </c>
      <c r="AF69" s="342">
        <f>'01 - Dados de Entrada'!$C$307</f>
        <v>1</v>
      </c>
      <c r="AG69" s="342">
        <f>'01 - Dados de Entrada'!$C$307</f>
        <v>1</v>
      </c>
      <c r="AH69" s="342">
        <f>'01 - Dados de Entrada'!$C$307</f>
        <v>1</v>
      </c>
      <c r="AI69" s="342">
        <f>'01 - Dados de Entrada'!$C$307</f>
        <v>1</v>
      </c>
      <c r="AJ69" s="342">
        <f>'01 - Dados de Entrada'!$C$307</f>
        <v>1</v>
      </c>
    </row>
    <row r="70" spans="1:36" s="258" customFormat="1" ht="13.15" customHeight="1" x14ac:dyDescent="0.2">
      <c r="A70" s="42"/>
      <c r="B70" s="259"/>
      <c r="C70" s="259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59"/>
      <c r="S70" s="259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/>
      <c r="AI70" s="259"/>
      <c r="AJ70" s="259"/>
    </row>
    <row r="71" spans="1:36" s="258" customFormat="1" ht="13.15" customHeight="1" x14ac:dyDescent="0.2">
      <c r="A71" s="257" t="s">
        <v>839</v>
      </c>
      <c r="B71" s="259"/>
      <c r="C71" s="259"/>
      <c r="D71" s="259"/>
      <c r="E71" s="259"/>
      <c r="F71" s="259"/>
      <c r="G71" s="259"/>
      <c r="H71" s="259"/>
      <c r="I71" s="259"/>
      <c r="J71" s="259"/>
      <c r="K71" s="259"/>
      <c r="L71" s="259"/>
      <c r="M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59"/>
      <c r="AG71" s="259"/>
      <c r="AH71" s="259"/>
      <c r="AI71" s="259"/>
      <c r="AJ71" s="259"/>
    </row>
    <row r="72" spans="1:36" s="258" customFormat="1" ht="13.15" customHeight="1" x14ac:dyDescent="0.2">
      <c r="A72" s="15" t="s">
        <v>883</v>
      </c>
      <c r="B72" s="393">
        <f>'01 - Dados de Entrada'!$C$315</f>
        <v>3</v>
      </c>
      <c r="C72" s="342">
        <f>'01 - Dados de Entrada'!$C$315</f>
        <v>3</v>
      </c>
      <c r="D72" s="342">
        <f>'01 - Dados de Entrada'!$C$315</f>
        <v>3</v>
      </c>
      <c r="E72" s="342">
        <f>'01 - Dados de Entrada'!$C$315</f>
        <v>3</v>
      </c>
      <c r="F72" s="342">
        <f>'01 - Dados de Entrada'!$C$315</f>
        <v>3</v>
      </c>
      <c r="G72" s="342">
        <f>'01 - Dados de Entrada'!$C$315</f>
        <v>3</v>
      </c>
      <c r="H72" s="342">
        <f>'01 - Dados de Entrada'!$C$315</f>
        <v>3</v>
      </c>
      <c r="I72" s="342">
        <f>'01 - Dados de Entrada'!$C$315</f>
        <v>3</v>
      </c>
      <c r="J72" s="342">
        <f>'01 - Dados de Entrada'!$C$315</f>
        <v>3</v>
      </c>
      <c r="K72" s="342">
        <f>'01 - Dados de Entrada'!$C$315</f>
        <v>3</v>
      </c>
      <c r="L72" s="342">
        <f>'01 - Dados de Entrada'!$C$315</f>
        <v>3</v>
      </c>
      <c r="M72" s="342">
        <f>'01 - Dados de Entrada'!$C$315</f>
        <v>3</v>
      </c>
      <c r="N72" s="342">
        <f>'01 - Dados de Entrada'!$C$315</f>
        <v>3</v>
      </c>
      <c r="O72" s="342">
        <f>'01 - Dados de Entrada'!$C$315</f>
        <v>3</v>
      </c>
      <c r="P72" s="342">
        <f>'01 - Dados de Entrada'!$C$315</f>
        <v>3</v>
      </c>
      <c r="Q72" s="342">
        <f>'01 - Dados de Entrada'!$C$315</f>
        <v>3</v>
      </c>
      <c r="R72" s="342">
        <f>'01 - Dados de Entrada'!$C$315</f>
        <v>3</v>
      </c>
      <c r="S72" s="342">
        <f>'01 - Dados de Entrada'!$C$315</f>
        <v>3</v>
      </c>
      <c r="T72" s="342">
        <f>'01 - Dados de Entrada'!$C$315</f>
        <v>3</v>
      </c>
      <c r="U72" s="342">
        <f>'01 - Dados de Entrada'!$C$315</f>
        <v>3</v>
      </c>
      <c r="V72" s="342">
        <f>'01 - Dados de Entrada'!$C$315</f>
        <v>3</v>
      </c>
      <c r="W72" s="342">
        <f>'01 - Dados de Entrada'!$C$315</f>
        <v>3</v>
      </c>
      <c r="X72" s="342">
        <f>'01 - Dados de Entrada'!$C$315</f>
        <v>3</v>
      </c>
      <c r="Y72" s="342">
        <f>'01 - Dados de Entrada'!$C$315</f>
        <v>3</v>
      </c>
      <c r="Z72" s="342">
        <f>'01 - Dados de Entrada'!$C$315</f>
        <v>3</v>
      </c>
      <c r="AA72" s="342">
        <f>'01 - Dados de Entrada'!$C$315</f>
        <v>3</v>
      </c>
      <c r="AB72" s="342">
        <f>'01 - Dados de Entrada'!$C$315</f>
        <v>3</v>
      </c>
      <c r="AC72" s="342">
        <f>'01 - Dados de Entrada'!$C$315</f>
        <v>3</v>
      </c>
      <c r="AD72" s="342">
        <f>'01 - Dados de Entrada'!$C$315</f>
        <v>3</v>
      </c>
      <c r="AE72" s="342">
        <f>'01 - Dados de Entrada'!$C$315</f>
        <v>3</v>
      </c>
      <c r="AF72" s="342">
        <f>'01 - Dados de Entrada'!$C$315</f>
        <v>3</v>
      </c>
      <c r="AG72" s="342">
        <f>'01 - Dados de Entrada'!$C$315</f>
        <v>3</v>
      </c>
      <c r="AH72" s="342">
        <f>'01 - Dados de Entrada'!$C$315</f>
        <v>3</v>
      </c>
      <c r="AI72" s="342">
        <f>'01 - Dados de Entrada'!$C$315</f>
        <v>3</v>
      </c>
      <c r="AJ72" s="342">
        <f>'01 - Dados de Entrada'!$C$315</f>
        <v>3</v>
      </c>
    </row>
    <row r="73" spans="1:36" s="256" customFormat="1" ht="13.15" customHeight="1" x14ac:dyDescent="0.2">
      <c r="A73" s="15" t="s">
        <v>882</v>
      </c>
      <c r="B73" s="259">
        <f>ROUNDUP('01 - Dados de Entrada'!$C$316+'01 - Dados de Entrada'!$C$296*'01 - Dados de Entrada'!$C$316,0)</f>
        <v>21</v>
      </c>
      <c r="C73" s="259">
        <f>ROUNDUP('01 - Dados de Entrada'!$C$316+'01 - Dados de Entrada'!$C$296*'01 - Dados de Entrada'!$C$316,0)</f>
        <v>21</v>
      </c>
      <c r="D73" s="259">
        <f>ROUNDUP('01 - Dados de Entrada'!$C$316+'01 - Dados de Entrada'!$C$296*'01 - Dados de Entrada'!$C$316,0)</f>
        <v>21</v>
      </c>
      <c r="E73" s="259">
        <f>ROUNDUP('01 - Dados de Entrada'!$C$316+'01 - Dados de Entrada'!$C$296*'01 - Dados de Entrada'!$C$316,0)</f>
        <v>21</v>
      </c>
      <c r="F73" s="259">
        <f>ROUNDUP('01 - Dados de Entrada'!$C$316+'01 - Dados de Entrada'!$C$296*'01 - Dados de Entrada'!$C$316,0)</f>
        <v>21</v>
      </c>
      <c r="G73" s="259">
        <f>ROUNDUP('01 - Dados de Entrada'!$C$316+'01 - Dados de Entrada'!$C$296*'01 - Dados de Entrada'!$C$316,0)</f>
        <v>21</v>
      </c>
      <c r="H73" s="259">
        <f>ROUNDUP('01 - Dados de Entrada'!$C$316+'01 - Dados de Entrada'!$C$296*'01 - Dados de Entrada'!$C$316,0)</f>
        <v>21</v>
      </c>
      <c r="I73" s="259">
        <f>ROUNDUP('01 - Dados de Entrada'!$C$316+'01 - Dados de Entrada'!$C$296*'01 - Dados de Entrada'!$C$316,0)</f>
        <v>21</v>
      </c>
      <c r="J73" s="259">
        <f>ROUNDUP('01 - Dados de Entrada'!$C$316+'01 - Dados de Entrada'!$C$296*'01 - Dados de Entrada'!$C$316,0)</f>
        <v>21</v>
      </c>
      <c r="K73" s="259">
        <f>ROUNDUP('01 - Dados de Entrada'!$C$316+'01 - Dados de Entrada'!$C$296*'01 - Dados de Entrada'!$C$316,0)</f>
        <v>21</v>
      </c>
      <c r="L73" s="259">
        <f>ROUNDUP('01 - Dados de Entrada'!$C$316+'01 - Dados de Entrada'!$C$296*'01 - Dados de Entrada'!$C$316,0)</f>
        <v>21</v>
      </c>
      <c r="M73" s="259">
        <f>ROUNDUP('01 - Dados de Entrada'!$C$316+'01 - Dados de Entrada'!$C$296*'01 - Dados de Entrada'!$C$316,0)</f>
        <v>21</v>
      </c>
      <c r="N73" s="259">
        <f>ROUNDUP('01 - Dados de Entrada'!$C$316+'01 - Dados de Entrada'!$C$296*'01 - Dados de Entrada'!$C$316,0)</f>
        <v>21</v>
      </c>
      <c r="O73" s="259">
        <f>ROUNDUP('01 - Dados de Entrada'!$C$316+'01 - Dados de Entrada'!$C$296*'01 - Dados de Entrada'!$C$316,0)</f>
        <v>21</v>
      </c>
      <c r="P73" s="259">
        <f>ROUNDUP('01 - Dados de Entrada'!$C$316+'01 - Dados de Entrada'!$C$296*'01 - Dados de Entrada'!$C$316,0)</f>
        <v>21</v>
      </c>
      <c r="Q73" s="259">
        <f>ROUNDUP('01 - Dados de Entrada'!$C$316+'01 - Dados de Entrada'!$C$296*'01 - Dados de Entrada'!$C$316,0)</f>
        <v>21</v>
      </c>
      <c r="R73" s="259">
        <f>ROUNDUP('01 - Dados de Entrada'!$C$316+'01 - Dados de Entrada'!$C$296*'01 - Dados de Entrada'!$C$316,0)</f>
        <v>21</v>
      </c>
      <c r="S73" s="259">
        <f>ROUNDUP('01 - Dados de Entrada'!$C$316+'01 - Dados de Entrada'!$C$296*'01 - Dados de Entrada'!$C$316,0)</f>
        <v>21</v>
      </c>
      <c r="T73" s="259">
        <f>ROUNDUP('01 - Dados de Entrada'!$C$316+'01 - Dados de Entrada'!$C$296*'01 - Dados de Entrada'!$C$316,0)</f>
        <v>21</v>
      </c>
      <c r="U73" s="259">
        <f>ROUNDUP('01 - Dados de Entrada'!$C$316+'01 - Dados de Entrada'!$C$296*'01 - Dados de Entrada'!$C$316,0)</f>
        <v>21</v>
      </c>
      <c r="V73" s="259">
        <f>ROUNDUP('01 - Dados de Entrada'!$C$316+'01 - Dados de Entrada'!$C$296*'01 - Dados de Entrada'!$C$316,0)</f>
        <v>21</v>
      </c>
      <c r="W73" s="259">
        <f>ROUNDUP('01 - Dados de Entrada'!$C$316+'01 - Dados de Entrada'!$C$296*'01 - Dados de Entrada'!$C$316,0)</f>
        <v>21</v>
      </c>
      <c r="X73" s="259">
        <f>ROUNDUP('01 - Dados de Entrada'!$C$316+'01 - Dados de Entrada'!$C$296*'01 - Dados de Entrada'!$C$316,0)</f>
        <v>21</v>
      </c>
      <c r="Y73" s="259">
        <f>ROUNDUP('01 - Dados de Entrada'!$C$316+'01 - Dados de Entrada'!$C$296*'01 - Dados de Entrada'!$C$316,0)</f>
        <v>21</v>
      </c>
      <c r="Z73" s="259">
        <f>ROUNDUP('01 - Dados de Entrada'!$C$316+'01 - Dados de Entrada'!$C$296*'01 - Dados de Entrada'!$C$316,0)</f>
        <v>21</v>
      </c>
      <c r="AA73" s="259">
        <f>ROUNDUP('01 - Dados de Entrada'!$C$316+'01 - Dados de Entrada'!$C$296*'01 - Dados de Entrada'!$C$316,0)</f>
        <v>21</v>
      </c>
      <c r="AB73" s="259">
        <f>ROUNDUP('01 - Dados de Entrada'!$C$316+'01 - Dados de Entrada'!$C$296*'01 - Dados de Entrada'!$C$316,0)</f>
        <v>21</v>
      </c>
      <c r="AC73" s="259">
        <f>ROUNDUP('01 - Dados de Entrada'!$C$316+'01 - Dados de Entrada'!$C$296*'01 - Dados de Entrada'!$C$316,0)</f>
        <v>21</v>
      </c>
      <c r="AD73" s="259">
        <f>ROUNDUP('01 - Dados de Entrada'!$C$316+'01 - Dados de Entrada'!$C$296*'01 - Dados de Entrada'!$C$316,0)</f>
        <v>21</v>
      </c>
      <c r="AE73" s="259">
        <f>ROUNDUP('01 - Dados de Entrada'!$C$316+'01 - Dados de Entrada'!$C$296*'01 - Dados de Entrada'!$C$316,0)</f>
        <v>21</v>
      </c>
      <c r="AF73" s="259">
        <f>ROUNDUP('01 - Dados de Entrada'!$C$316+'01 - Dados de Entrada'!$C$296*'01 - Dados de Entrada'!$C$316,0)</f>
        <v>21</v>
      </c>
      <c r="AG73" s="259">
        <f>ROUNDUP('01 - Dados de Entrada'!$C$316+'01 - Dados de Entrada'!$C$296*'01 - Dados de Entrada'!$C$316,0)</f>
        <v>21</v>
      </c>
      <c r="AH73" s="259">
        <f>ROUNDUP('01 - Dados de Entrada'!$C$316+'01 - Dados de Entrada'!$C$296*'01 - Dados de Entrada'!$C$316,0)</f>
        <v>21</v>
      </c>
      <c r="AI73" s="259">
        <f>ROUNDUP('01 - Dados de Entrada'!$C$316+'01 - Dados de Entrada'!$C$296*'01 - Dados de Entrada'!$C$316,0)</f>
        <v>21</v>
      </c>
      <c r="AJ73" s="259">
        <f>ROUNDUP('01 - Dados de Entrada'!$C$316+'01 - Dados de Entrada'!$C$296*'01 - Dados de Entrada'!$C$316,0)</f>
        <v>21</v>
      </c>
    </row>
    <row r="74" spans="1:36" s="340" customFormat="1" ht="13.15" customHeight="1" x14ac:dyDescent="0.2">
      <c r="A74" s="15" t="s">
        <v>867</v>
      </c>
      <c r="B74" s="342">
        <f>'01 - Dados de Entrada'!$C$317</f>
        <v>1</v>
      </c>
      <c r="C74" s="342">
        <f>'01 - Dados de Entrada'!$C$317</f>
        <v>1</v>
      </c>
      <c r="D74" s="342">
        <f>'01 - Dados de Entrada'!$C$317</f>
        <v>1</v>
      </c>
      <c r="E74" s="342">
        <f>'01 - Dados de Entrada'!$C$317</f>
        <v>1</v>
      </c>
      <c r="F74" s="342">
        <f>'01 - Dados de Entrada'!$C$317</f>
        <v>1</v>
      </c>
      <c r="G74" s="342">
        <f>'01 - Dados de Entrada'!$C$317</f>
        <v>1</v>
      </c>
      <c r="H74" s="342">
        <f>'01 - Dados de Entrada'!$C$317</f>
        <v>1</v>
      </c>
      <c r="I74" s="342">
        <f>'01 - Dados de Entrada'!$C$317</f>
        <v>1</v>
      </c>
      <c r="J74" s="342">
        <f>'01 - Dados de Entrada'!$C$317</f>
        <v>1</v>
      </c>
      <c r="K74" s="342">
        <f>'01 - Dados de Entrada'!$C$317</f>
        <v>1</v>
      </c>
      <c r="L74" s="342">
        <f>'01 - Dados de Entrada'!$C$317</f>
        <v>1</v>
      </c>
      <c r="M74" s="342">
        <f>'01 - Dados de Entrada'!$C$317</f>
        <v>1</v>
      </c>
      <c r="N74" s="342">
        <f>'01 - Dados de Entrada'!$C$317</f>
        <v>1</v>
      </c>
      <c r="O74" s="342">
        <f>'01 - Dados de Entrada'!$C$317</f>
        <v>1</v>
      </c>
      <c r="P74" s="342">
        <f>'01 - Dados de Entrada'!$C$317</f>
        <v>1</v>
      </c>
      <c r="Q74" s="342">
        <f>'01 - Dados de Entrada'!$C$317</f>
        <v>1</v>
      </c>
      <c r="R74" s="342">
        <f>'01 - Dados de Entrada'!$C$317</f>
        <v>1</v>
      </c>
      <c r="S74" s="342">
        <f>'01 - Dados de Entrada'!$C$317</f>
        <v>1</v>
      </c>
      <c r="T74" s="342">
        <f>'01 - Dados de Entrada'!$C$317</f>
        <v>1</v>
      </c>
      <c r="U74" s="342">
        <f>'01 - Dados de Entrada'!$C$317</f>
        <v>1</v>
      </c>
      <c r="V74" s="342">
        <f>'01 - Dados de Entrada'!$C$317</f>
        <v>1</v>
      </c>
      <c r="W74" s="342">
        <f>'01 - Dados de Entrada'!$C$317</f>
        <v>1</v>
      </c>
      <c r="X74" s="342">
        <f>'01 - Dados de Entrada'!$C$317</f>
        <v>1</v>
      </c>
      <c r="Y74" s="342">
        <f>'01 - Dados de Entrada'!$C$317</f>
        <v>1</v>
      </c>
      <c r="Z74" s="342">
        <f>'01 - Dados de Entrada'!$C$317</f>
        <v>1</v>
      </c>
      <c r="AA74" s="342">
        <f>'01 - Dados de Entrada'!$C$317</f>
        <v>1</v>
      </c>
      <c r="AB74" s="342">
        <f>'01 - Dados de Entrada'!$C$317</f>
        <v>1</v>
      </c>
      <c r="AC74" s="342">
        <f>'01 - Dados de Entrada'!$C$317</f>
        <v>1</v>
      </c>
      <c r="AD74" s="342">
        <f>'01 - Dados de Entrada'!$C$317</f>
        <v>1</v>
      </c>
      <c r="AE74" s="342">
        <f>'01 - Dados de Entrada'!$C$317</f>
        <v>1</v>
      </c>
      <c r="AF74" s="342">
        <f>'01 - Dados de Entrada'!$C$317</f>
        <v>1</v>
      </c>
      <c r="AG74" s="342">
        <f>'01 - Dados de Entrada'!$C$317</f>
        <v>1</v>
      </c>
      <c r="AH74" s="342">
        <f>'01 - Dados de Entrada'!$C$317</f>
        <v>1</v>
      </c>
      <c r="AI74" s="342">
        <f>'01 - Dados de Entrada'!$C$317</f>
        <v>1</v>
      </c>
      <c r="AJ74" s="342">
        <f>'01 - Dados de Entrada'!$C$317</f>
        <v>1</v>
      </c>
    </row>
    <row r="75" spans="1:36" s="256" customFormat="1" ht="13.15" customHeight="1" x14ac:dyDescent="0.2">
      <c r="A75" s="145"/>
    </row>
    <row r="76" spans="1:36" s="256" customFormat="1" ht="13.15" customHeight="1" x14ac:dyDescent="0.2">
      <c r="A76" s="257" t="s">
        <v>884</v>
      </c>
    </row>
    <row r="77" spans="1:36" s="256" customFormat="1" ht="13.15" customHeight="1" x14ac:dyDescent="0.2">
      <c r="A77" s="15" t="s">
        <v>883</v>
      </c>
      <c r="B77" s="343">
        <f>'01 - Dados de Entrada'!$C$325</f>
        <v>1</v>
      </c>
      <c r="C77" s="343">
        <f>'01 - Dados de Entrada'!$C$325</f>
        <v>1</v>
      </c>
      <c r="D77" s="343">
        <f>'01 - Dados de Entrada'!$C$325</f>
        <v>1</v>
      </c>
      <c r="E77" s="343">
        <f>'01 - Dados de Entrada'!$C$325</f>
        <v>1</v>
      </c>
      <c r="F77" s="343">
        <f>'01 - Dados de Entrada'!$C$325</f>
        <v>1</v>
      </c>
      <c r="G77" s="343">
        <f>'01 - Dados de Entrada'!$C$325</f>
        <v>1</v>
      </c>
      <c r="H77" s="343">
        <f>'01 - Dados de Entrada'!$C$325</f>
        <v>1</v>
      </c>
      <c r="I77" s="343">
        <f>'01 - Dados de Entrada'!$C$325</f>
        <v>1</v>
      </c>
      <c r="J77" s="343">
        <f>'01 - Dados de Entrada'!$C$325</f>
        <v>1</v>
      </c>
      <c r="K77" s="343">
        <f>'01 - Dados de Entrada'!$C$325</f>
        <v>1</v>
      </c>
      <c r="L77" s="343">
        <f>'01 - Dados de Entrada'!$C$325</f>
        <v>1</v>
      </c>
      <c r="M77" s="343">
        <f>'01 - Dados de Entrada'!$C$325</f>
        <v>1</v>
      </c>
      <c r="N77" s="343">
        <f>'01 - Dados de Entrada'!$C$325</f>
        <v>1</v>
      </c>
      <c r="O77" s="343">
        <f>'01 - Dados de Entrada'!$C$325</f>
        <v>1</v>
      </c>
      <c r="P77" s="343">
        <f>'01 - Dados de Entrada'!$C$325</f>
        <v>1</v>
      </c>
      <c r="Q77" s="343">
        <f>'01 - Dados de Entrada'!$C$325</f>
        <v>1</v>
      </c>
      <c r="R77" s="343">
        <f>'01 - Dados de Entrada'!$C$325</f>
        <v>1</v>
      </c>
      <c r="S77" s="343">
        <f>'01 - Dados de Entrada'!$C$325</f>
        <v>1</v>
      </c>
      <c r="T77" s="343">
        <f>'01 - Dados de Entrada'!$C$325</f>
        <v>1</v>
      </c>
      <c r="U77" s="343">
        <f>'01 - Dados de Entrada'!$C$325</f>
        <v>1</v>
      </c>
      <c r="V77" s="343">
        <f>'01 - Dados de Entrada'!$C$325</f>
        <v>1</v>
      </c>
      <c r="W77" s="343">
        <f>'01 - Dados de Entrada'!$C$325</f>
        <v>1</v>
      </c>
      <c r="X77" s="343">
        <f>'01 - Dados de Entrada'!$C$325</f>
        <v>1</v>
      </c>
      <c r="Y77" s="343">
        <f>'01 - Dados de Entrada'!$C$325</f>
        <v>1</v>
      </c>
      <c r="Z77" s="343">
        <f>'01 - Dados de Entrada'!$C$325</f>
        <v>1</v>
      </c>
      <c r="AA77" s="343">
        <f>'01 - Dados de Entrada'!$C$325</f>
        <v>1</v>
      </c>
      <c r="AB77" s="343">
        <f>'01 - Dados de Entrada'!$C$325</f>
        <v>1</v>
      </c>
      <c r="AC77" s="343">
        <f>'01 - Dados de Entrada'!$C$325</f>
        <v>1</v>
      </c>
      <c r="AD77" s="343">
        <f>'01 - Dados de Entrada'!$C$325</f>
        <v>1</v>
      </c>
      <c r="AE77" s="343">
        <f>'01 - Dados de Entrada'!$C$325</f>
        <v>1</v>
      </c>
      <c r="AF77" s="343">
        <f>'01 - Dados de Entrada'!$C$325</f>
        <v>1</v>
      </c>
      <c r="AG77" s="343">
        <f>'01 - Dados de Entrada'!$C$325</f>
        <v>1</v>
      </c>
      <c r="AH77" s="343">
        <f>'01 - Dados de Entrada'!$C$325</f>
        <v>1</v>
      </c>
      <c r="AI77" s="343">
        <f>'01 - Dados de Entrada'!$C$325</f>
        <v>1</v>
      </c>
      <c r="AJ77" s="343">
        <f>'01 - Dados de Entrada'!$C$325</f>
        <v>1</v>
      </c>
    </row>
    <row r="78" spans="1:36" s="256" customFormat="1" ht="13.15" customHeight="1" x14ac:dyDescent="0.2">
      <c r="A78" s="15" t="s">
        <v>882</v>
      </c>
      <c r="B78" s="259">
        <f>ROUNDUP('01 - Dados de Entrada'!$C$326+'01 - Dados de Entrada'!$C$296*'01 - Dados de Entrada'!$C$326,0)</f>
        <v>10</v>
      </c>
      <c r="C78" s="259">
        <f>ROUNDUP('01 - Dados de Entrada'!$C$326+'01 - Dados de Entrada'!$C$296*'01 - Dados de Entrada'!$C$326,0)</f>
        <v>10</v>
      </c>
      <c r="D78" s="259">
        <f>ROUNDUP('01 - Dados de Entrada'!$C$326+'01 - Dados de Entrada'!$C$296*'01 - Dados de Entrada'!$C$326,0)</f>
        <v>10</v>
      </c>
      <c r="E78" s="259">
        <f>ROUNDUP('01 - Dados de Entrada'!$C$326+'01 - Dados de Entrada'!$C$296*'01 - Dados de Entrada'!$C$326,0)</f>
        <v>10</v>
      </c>
      <c r="F78" s="259">
        <f>ROUNDUP('01 - Dados de Entrada'!$C$326+'01 - Dados de Entrada'!$C$296*'01 - Dados de Entrada'!$C$326,0)</f>
        <v>10</v>
      </c>
      <c r="G78" s="259">
        <f>ROUNDUP('01 - Dados de Entrada'!$C$326+'01 - Dados de Entrada'!$C$296*'01 - Dados de Entrada'!$C$326,0)</f>
        <v>10</v>
      </c>
      <c r="H78" s="259">
        <f>ROUNDUP('01 - Dados de Entrada'!$C$326+'01 - Dados de Entrada'!$C$296*'01 - Dados de Entrada'!$C$326,0)</f>
        <v>10</v>
      </c>
      <c r="I78" s="259">
        <f>ROUNDUP('01 - Dados de Entrada'!$C$326+'01 - Dados de Entrada'!$C$296*'01 - Dados de Entrada'!$C$326,0)</f>
        <v>10</v>
      </c>
      <c r="J78" s="259">
        <f>ROUNDUP('01 - Dados de Entrada'!$C$326+'01 - Dados de Entrada'!$C$296*'01 - Dados de Entrada'!$C$326,0)</f>
        <v>10</v>
      </c>
      <c r="K78" s="259">
        <f>ROUNDUP('01 - Dados de Entrada'!$C$326+'01 - Dados de Entrada'!$C$296*'01 - Dados de Entrada'!$C$326,0)</f>
        <v>10</v>
      </c>
      <c r="L78" s="259">
        <f>ROUNDUP('01 - Dados de Entrada'!$C$326+'01 - Dados de Entrada'!$C$296*'01 - Dados de Entrada'!$C$326,0)</f>
        <v>10</v>
      </c>
      <c r="M78" s="259">
        <f>ROUNDUP('01 - Dados de Entrada'!$C$326+'01 - Dados de Entrada'!$C$296*'01 - Dados de Entrada'!$C$326,0)</f>
        <v>10</v>
      </c>
      <c r="N78" s="259">
        <f>ROUNDUP('01 - Dados de Entrada'!$C$326+'01 - Dados de Entrada'!$C$296*'01 - Dados de Entrada'!$C$326,0)</f>
        <v>10</v>
      </c>
      <c r="O78" s="259">
        <f>ROUNDUP('01 - Dados de Entrada'!$C$326+'01 - Dados de Entrada'!$C$296*'01 - Dados de Entrada'!$C$326,0)</f>
        <v>10</v>
      </c>
      <c r="P78" s="259">
        <f>ROUNDUP('01 - Dados de Entrada'!$C$326+'01 - Dados de Entrada'!$C$296*'01 - Dados de Entrada'!$C$326,0)</f>
        <v>10</v>
      </c>
      <c r="Q78" s="259">
        <f>ROUNDUP('01 - Dados de Entrada'!$C$326+'01 - Dados de Entrada'!$C$296*'01 - Dados de Entrada'!$C$326,0)</f>
        <v>10</v>
      </c>
      <c r="R78" s="259">
        <f>ROUNDUP('01 - Dados de Entrada'!$C$326+'01 - Dados de Entrada'!$C$296*'01 - Dados de Entrada'!$C$326,0)</f>
        <v>10</v>
      </c>
      <c r="S78" s="259">
        <f>ROUNDUP('01 - Dados de Entrada'!$C$326+'01 - Dados de Entrada'!$C$296*'01 - Dados de Entrada'!$C$326,0)</f>
        <v>10</v>
      </c>
      <c r="T78" s="259">
        <f>ROUNDUP('01 - Dados de Entrada'!$C$326+'01 - Dados de Entrada'!$C$296*'01 - Dados de Entrada'!$C$326,0)</f>
        <v>10</v>
      </c>
      <c r="U78" s="259">
        <f>ROUNDUP('01 - Dados de Entrada'!$C$326+'01 - Dados de Entrada'!$C$296*'01 - Dados de Entrada'!$C$326,0)</f>
        <v>10</v>
      </c>
      <c r="V78" s="259">
        <f>ROUNDUP('01 - Dados de Entrada'!$C$326+'01 - Dados de Entrada'!$C$296*'01 - Dados de Entrada'!$C$326,0)</f>
        <v>10</v>
      </c>
      <c r="W78" s="259">
        <f>ROUNDUP('01 - Dados de Entrada'!$C$326+'01 - Dados de Entrada'!$C$296*'01 - Dados de Entrada'!$C$326,0)</f>
        <v>10</v>
      </c>
      <c r="X78" s="259">
        <f>ROUNDUP('01 - Dados de Entrada'!$C$326+'01 - Dados de Entrada'!$C$296*'01 - Dados de Entrada'!$C$326,0)</f>
        <v>10</v>
      </c>
      <c r="Y78" s="259">
        <f>ROUNDUP('01 - Dados de Entrada'!$C$326+'01 - Dados de Entrada'!$C$296*'01 - Dados de Entrada'!$C$326,0)</f>
        <v>10</v>
      </c>
      <c r="Z78" s="259">
        <f>ROUNDUP('01 - Dados de Entrada'!$C$326+'01 - Dados de Entrada'!$C$296*'01 - Dados de Entrada'!$C$326,0)</f>
        <v>10</v>
      </c>
      <c r="AA78" s="259">
        <f>ROUNDUP('01 - Dados de Entrada'!$C$326+'01 - Dados de Entrada'!$C$296*'01 - Dados de Entrada'!$C$326,0)</f>
        <v>10</v>
      </c>
      <c r="AB78" s="259">
        <f>ROUNDUP('01 - Dados de Entrada'!$C$326+'01 - Dados de Entrada'!$C$296*'01 - Dados de Entrada'!$C$326,0)</f>
        <v>10</v>
      </c>
      <c r="AC78" s="259">
        <f>ROUNDUP('01 - Dados de Entrada'!$C$326+'01 - Dados de Entrada'!$C$296*'01 - Dados de Entrada'!$C$326,0)</f>
        <v>10</v>
      </c>
      <c r="AD78" s="259">
        <f>ROUNDUP('01 - Dados de Entrada'!$C$326+'01 - Dados de Entrada'!$C$296*'01 - Dados de Entrada'!$C$326,0)</f>
        <v>10</v>
      </c>
      <c r="AE78" s="259">
        <f>ROUNDUP('01 - Dados de Entrada'!$C$326+'01 - Dados de Entrada'!$C$296*'01 - Dados de Entrada'!$C$326,0)</f>
        <v>10</v>
      </c>
      <c r="AF78" s="259">
        <f>ROUNDUP('01 - Dados de Entrada'!$C$326+'01 - Dados de Entrada'!$C$296*'01 - Dados de Entrada'!$C$326,0)</f>
        <v>10</v>
      </c>
      <c r="AG78" s="259">
        <f>ROUNDUP('01 - Dados de Entrada'!$C$326+'01 - Dados de Entrada'!$C$296*'01 - Dados de Entrada'!$C$326,0)</f>
        <v>10</v>
      </c>
      <c r="AH78" s="259">
        <f>ROUNDUP('01 - Dados de Entrada'!$C$326+'01 - Dados de Entrada'!$C$296*'01 - Dados de Entrada'!$C$326,0)</f>
        <v>10</v>
      </c>
      <c r="AI78" s="259">
        <f>ROUNDUP('01 - Dados de Entrada'!$C$326+'01 - Dados de Entrada'!$C$296*'01 - Dados de Entrada'!$C$326,0)</f>
        <v>10</v>
      </c>
      <c r="AJ78" s="259">
        <f>ROUNDUP('01 - Dados de Entrada'!$C$326+'01 - Dados de Entrada'!$C$296*'01 - Dados de Entrada'!$C$326,0)</f>
        <v>10</v>
      </c>
    </row>
    <row r="79" spans="1:36" s="258" customFormat="1" ht="13.15" customHeight="1" x14ac:dyDescent="0.2">
      <c r="A79" s="15" t="s">
        <v>867</v>
      </c>
      <c r="B79" s="342">
        <f>'01 - Dados de Entrada'!$C$327</f>
        <v>1</v>
      </c>
      <c r="C79" s="342">
        <f>'01 - Dados de Entrada'!$C$327</f>
        <v>1</v>
      </c>
      <c r="D79" s="342">
        <f>'01 - Dados de Entrada'!$C$327</f>
        <v>1</v>
      </c>
      <c r="E79" s="342">
        <f>'01 - Dados de Entrada'!$C$327</f>
        <v>1</v>
      </c>
      <c r="F79" s="342">
        <f>'01 - Dados de Entrada'!$C$327</f>
        <v>1</v>
      </c>
      <c r="G79" s="342">
        <f>'01 - Dados de Entrada'!$C$327</f>
        <v>1</v>
      </c>
      <c r="H79" s="342">
        <f>'01 - Dados de Entrada'!$C$327</f>
        <v>1</v>
      </c>
      <c r="I79" s="342">
        <f>'01 - Dados de Entrada'!$C$327</f>
        <v>1</v>
      </c>
      <c r="J79" s="342">
        <f>'01 - Dados de Entrada'!$C$327</f>
        <v>1</v>
      </c>
      <c r="K79" s="342">
        <f>'01 - Dados de Entrada'!$C$327</f>
        <v>1</v>
      </c>
      <c r="L79" s="342">
        <f>'01 - Dados de Entrada'!$C$327</f>
        <v>1</v>
      </c>
      <c r="M79" s="342">
        <f>'01 - Dados de Entrada'!$C$327</f>
        <v>1</v>
      </c>
      <c r="N79" s="342">
        <f>'01 - Dados de Entrada'!$C$327</f>
        <v>1</v>
      </c>
      <c r="O79" s="342">
        <f>'01 - Dados de Entrada'!$C$327</f>
        <v>1</v>
      </c>
      <c r="P79" s="342">
        <f>'01 - Dados de Entrada'!$C$327</f>
        <v>1</v>
      </c>
      <c r="Q79" s="342">
        <f>'01 - Dados de Entrada'!$C$327</f>
        <v>1</v>
      </c>
      <c r="R79" s="342">
        <f>'01 - Dados de Entrada'!$C$327</f>
        <v>1</v>
      </c>
      <c r="S79" s="342">
        <f>'01 - Dados de Entrada'!$C$327</f>
        <v>1</v>
      </c>
      <c r="T79" s="342">
        <f>'01 - Dados de Entrada'!$C$327</f>
        <v>1</v>
      </c>
      <c r="U79" s="342">
        <f>'01 - Dados de Entrada'!$C$327</f>
        <v>1</v>
      </c>
      <c r="V79" s="342">
        <f>'01 - Dados de Entrada'!$C$327</f>
        <v>1</v>
      </c>
      <c r="W79" s="342">
        <f>'01 - Dados de Entrada'!$C$327</f>
        <v>1</v>
      </c>
      <c r="X79" s="342">
        <f>'01 - Dados de Entrada'!$C$327</f>
        <v>1</v>
      </c>
      <c r="Y79" s="342">
        <f>'01 - Dados de Entrada'!$C$327</f>
        <v>1</v>
      </c>
      <c r="Z79" s="342">
        <f>'01 - Dados de Entrada'!$C$327</f>
        <v>1</v>
      </c>
      <c r="AA79" s="342">
        <f>'01 - Dados de Entrada'!$C$327</f>
        <v>1</v>
      </c>
      <c r="AB79" s="342">
        <f>'01 - Dados de Entrada'!$C$327</f>
        <v>1</v>
      </c>
      <c r="AC79" s="342">
        <f>'01 - Dados de Entrada'!$C$327</f>
        <v>1</v>
      </c>
      <c r="AD79" s="342">
        <f>'01 - Dados de Entrada'!$C$327</f>
        <v>1</v>
      </c>
      <c r="AE79" s="342">
        <f>'01 - Dados de Entrada'!$C$327</f>
        <v>1</v>
      </c>
      <c r="AF79" s="342">
        <f>'01 - Dados de Entrada'!$C$327</f>
        <v>1</v>
      </c>
      <c r="AG79" s="342">
        <f>'01 - Dados de Entrada'!$C$327</f>
        <v>1</v>
      </c>
      <c r="AH79" s="342">
        <f>'01 - Dados de Entrada'!$C$327</f>
        <v>1</v>
      </c>
      <c r="AI79" s="342">
        <f>'01 - Dados de Entrada'!$C$327</f>
        <v>1</v>
      </c>
      <c r="AJ79" s="342">
        <f>'01 - Dados de Entrada'!$C$327</f>
        <v>1</v>
      </c>
    </row>
    <row r="81" spans="1:36" s="258" customFormat="1" ht="13.15" customHeight="1" x14ac:dyDescent="0.2">
      <c r="A81" s="257" t="s">
        <v>885</v>
      </c>
    </row>
    <row r="82" spans="1:36" s="258" customFormat="1" ht="13.15" customHeight="1" x14ac:dyDescent="0.2">
      <c r="A82" s="15" t="s">
        <v>867</v>
      </c>
      <c r="B82" s="259">
        <f>ROUND(B86/'01 - Dados de Entrada'!$C$293,0)</f>
        <v>1</v>
      </c>
      <c r="C82" s="259">
        <f>ROUND(C86/'01 - Dados de Entrada'!$C$293,0)</f>
        <v>1</v>
      </c>
      <c r="D82" s="259">
        <f>ROUND(D86/'01 - Dados de Entrada'!$C$293,0)</f>
        <v>1</v>
      </c>
      <c r="E82" s="259">
        <f>ROUND(E86/'01 - Dados de Entrada'!$C$293,0)</f>
        <v>1</v>
      </c>
      <c r="F82" s="259">
        <f>ROUND(F86/'01 - Dados de Entrada'!$C$293,0)</f>
        <v>1</v>
      </c>
      <c r="G82" s="259">
        <f>ROUND(G86/'01 - Dados de Entrada'!$C$293,0)</f>
        <v>1</v>
      </c>
      <c r="H82" s="259">
        <f>ROUND(H86/'01 - Dados de Entrada'!$C$293,0)</f>
        <v>1</v>
      </c>
      <c r="I82" s="259">
        <f>ROUND(I86/'01 - Dados de Entrada'!$C$293,0)</f>
        <v>1</v>
      </c>
      <c r="J82" s="259">
        <f>ROUND(J86/'01 - Dados de Entrada'!$C$293,0)</f>
        <v>1</v>
      </c>
      <c r="K82" s="259">
        <f>ROUND(K86/'01 - Dados de Entrada'!$C$293,0)</f>
        <v>1</v>
      </c>
      <c r="L82" s="259">
        <f>ROUND(L86/'01 - Dados de Entrada'!$C$293,0)</f>
        <v>1</v>
      </c>
      <c r="M82" s="259">
        <f>ROUND(M86/'01 - Dados de Entrada'!$C$293,0)</f>
        <v>1</v>
      </c>
      <c r="N82" s="259">
        <f>ROUND(N86/'01 - Dados de Entrada'!$C$293,0)</f>
        <v>1</v>
      </c>
      <c r="O82" s="259">
        <f>ROUND(O86/'01 - Dados de Entrada'!$C$293,0)</f>
        <v>1</v>
      </c>
      <c r="P82" s="259">
        <f>ROUND(P86/'01 - Dados de Entrada'!$C$293,0)</f>
        <v>1</v>
      </c>
      <c r="Q82" s="259">
        <f>ROUND(Q86/'01 - Dados de Entrada'!$C$293,0)</f>
        <v>1</v>
      </c>
      <c r="R82" s="259">
        <f>ROUND(R86/'01 - Dados de Entrada'!$C$293,0)</f>
        <v>1</v>
      </c>
      <c r="S82" s="259">
        <f>ROUND(S86/'01 - Dados de Entrada'!$C$293,0)</f>
        <v>1</v>
      </c>
      <c r="T82" s="259">
        <f>ROUND(T86/'01 - Dados de Entrada'!$C$293,0)</f>
        <v>1</v>
      </c>
      <c r="U82" s="259">
        <f>ROUND(U86/'01 - Dados de Entrada'!$C$293,0)</f>
        <v>1</v>
      </c>
      <c r="V82" s="259">
        <f>ROUND(V86/'01 - Dados de Entrada'!$C$293,0)</f>
        <v>1</v>
      </c>
      <c r="W82" s="259">
        <f>ROUND(W86/'01 - Dados de Entrada'!$C$293,0)</f>
        <v>1</v>
      </c>
      <c r="X82" s="259">
        <f>ROUND(X86/'01 - Dados de Entrada'!$C$293,0)</f>
        <v>1</v>
      </c>
      <c r="Y82" s="259">
        <f>ROUND(Y86/'01 - Dados de Entrada'!$C$293,0)</f>
        <v>1</v>
      </c>
      <c r="Z82" s="259">
        <f>ROUND(Z86/'01 - Dados de Entrada'!$C$293,0)</f>
        <v>1</v>
      </c>
      <c r="AA82" s="259">
        <f>ROUND(AA86/'01 - Dados de Entrada'!$C$293,0)</f>
        <v>1</v>
      </c>
      <c r="AB82" s="259">
        <f>ROUND(AB86/'01 - Dados de Entrada'!$C$293,0)</f>
        <v>1</v>
      </c>
      <c r="AC82" s="259">
        <f>ROUND(AC86/'01 - Dados de Entrada'!$C$293,0)</f>
        <v>1</v>
      </c>
      <c r="AD82" s="259">
        <f>ROUND(AD86/'01 - Dados de Entrada'!$C$293,0)</f>
        <v>1</v>
      </c>
      <c r="AE82" s="259">
        <f>ROUND(AE86/'01 - Dados de Entrada'!$C$293,0)</f>
        <v>1</v>
      </c>
      <c r="AF82" s="259">
        <f>ROUND(AF86/'01 - Dados de Entrada'!$C$293,0)</f>
        <v>1</v>
      </c>
      <c r="AG82" s="259">
        <f>ROUND(AG86/'01 - Dados de Entrada'!$C$293,0)</f>
        <v>1</v>
      </c>
      <c r="AH82" s="259">
        <f>ROUND(AH86/'01 - Dados de Entrada'!$C$293,0)</f>
        <v>1</v>
      </c>
      <c r="AI82" s="259">
        <f>ROUND(AI86/'01 - Dados de Entrada'!$C$293,0)</f>
        <v>1</v>
      </c>
      <c r="AJ82" s="259">
        <f>ROUND(AJ86/'01 - Dados de Entrada'!$C$293,0)</f>
        <v>1</v>
      </c>
    </row>
    <row r="83" spans="1:36" s="258" customFormat="1" ht="13.15" customHeight="1" x14ac:dyDescent="0.2">
      <c r="A83" s="15" t="s">
        <v>868</v>
      </c>
      <c r="B83" s="259">
        <f>ROUND(B86/'01 - Dados de Entrada'!$C$294,0)</f>
        <v>1</v>
      </c>
      <c r="C83" s="259">
        <f>ROUND(C86/'01 - Dados de Entrada'!$C$294,0)</f>
        <v>1</v>
      </c>
      <c r="D83" s="259">
        <f>ROUND(D86/'01 - Dados de Entrada'!$C$294,0)</f>
        <v>1</v>
      </c>
      <c r="E83" s="259">
        <f>ROUND(E86/'01 - Dados de Entrada'!$C$294,0)</f>
        <v>1</v>
      </c>
      <c r="F83" s="259">
        <f>ROUND(F86/'01 - Dados de Entrada'!$C$294,0)</f>
        <v>1</v>
      </c>
      <c r="G83" s="259">
        <f>ROUND(G86/'01 - Dados de Entrada'!$C$294,0)</f>
        <v>1</v>
      </c>
      <c r="H83" s="259">
        <f>ROUND(H86/'01 - Dados de Entrada'!$C$294,0)</f>
        <v>1</v>
      </c>
      <c r="I83" s="259">
        <f>ROUND(I86/'01 - Dados de Entrada'!$C$294,0)</f>
        <v>1</v>
      </c>
      <c r="J83" s="259">
        <f>ROUND(J86/'01 - Dados de Entrada'!$C$294,0)</f>
        <v>1</v>
      </c>
      <c r="K83" s="259">
        <f>ROUND(K86/'01 - Dados de Entrada'!$C$294,0)</f>
        <v>1</v>
      </c>
      <c r="L83" s="259">
        <f>ROUND(L86/'01 - Dados de Entrada'!$C$294,0)</f>
        <v>1</v>
      </c>
      <c r="M83" s="259">
        <f>ROUND(M86/'01 - Dados de Entrada'!$C$294,0)</f>
        <v>1</v>
      </c>
      <c r="N83" s="259">
        <f>ROUND(N86/'01 - Dados de Entrada'!$C$294,0)</f>
        <v>1</v>
      </c>
      <c r="O83" s="259">
        <f>ROUND(O86/'01 - Dados de Entrada'!$C$294,0)</f>
        <v>1</v>
      </c>
      <c r="P83" s="259">
        <f>ROUND(P86/'01 - Dados de Entrada'!$C$294,0)</f>
        <v>1</v>
      </c>
      <c r="Q83" s="259">
        <f>ROUND(Q86/'01 - Dados de Entrada'!$C$294,0)</f>
        <v>1</v>
      </c>
      <c r="R83" s="259">
        <f>ROUND(R86/'01 - Dados de Entrada'!$C$294,0)</f>
        <v>1</v>
      </c>
      <c r="S83" s="259">
        <f>ROUND(S86/'01 - Dados de Entrada'!$C$294,0)</f>
        <v>1</v>
      </c>
      <c r="T83" s="259">
        <f>ROUND(T86/'01 - Dados de Entrada'!$C$294,0)</f>
        <v>1</v>
      </c>
      <c r="U83" s="259">
        <f>ROUND(U86/'01 - Dados de Entrada'!$C$294,0)</f>
        <v>1</v>
      </c>
      <c r="V83" s="259">
        <f>ROUND(V86/'01 - Dados de Entrada'!$C$294,0)</f>
        <v>1</v>
      </c>
      <c r="W83" s="259">
        <f>ROUND(W86/'01 - Dados de Entrada'!$C$294,0)</f>
        <v>1</v>
      </c>
      <c r="X83" s="259">
        <f>ROUND(X86/'01 - Dados de Entrada'!$C$294,0)</f>
        <v>1</v>
      </c>
      <c r="Y83" s="259">
        <f>ROUND(Y86/'01 - Dados de Entrada'!$C$294,0)</f>
        <v>1</v>
      </c>
      <c r="Z83" s="259">
        <f>ROUND(Z86/'01 - Dados de Entrada'!$C$294,0)</f>
        <v>1</v>
      </c>
      <c r="AA83" s="259">
        <f>ROUND(AA86/'01 - Dados de Entrada'!$C$294,0)</f>
        <v>1</v>
      </c>
      <c r="AB83" s="259">
        <f>ROUND(AB86/'01 - Dados de Entrada'!$C$294,0)</f>
        <v>1</v>
      </c>
      <c r="AC83" s="259">
        <f>ROUND(AC86/'01 - Dados de Entrada'!$C$294,0)</f>
        <v>1</v>
      </c>
      <c r="AD83" s="259">
        <f>ROUND(AD86/'01 - Dados de Entrada'!$C$294,0)</f>
        <v>1</v>
      </c>
      <c r="AE83" s="259">
        <f>ROUND(AE86/'01 - Dados de Entrada'!$C$294,0)</f>
        <v>1</v>
      </c>
      <c r="AF83" s="259">
        <f>ROUND(AF86/'01 - Dados de Entrada'!$C$294,0)</f>
        <v>1</v>
      </c>
      <c r="AG83" s="259">
        <f>ROUND(AG86/'01 - Dados de Entrada'!$C$294,0)</f>
        <v>1</v>
      </c>
      <c r="AH83" s="259">
        <f>ROUND(AH86/'01 - Dados de Entrada'!$C$294,0)</f>
        <v>1</v>
      </c>
      <c r="AI83" s="259">
        <f>ROUND(AI86/'01 - Dados de Entrada'!$C$294,0)</f>
        <v>1</v>
      </c>
      <c r="AJ83" s="259">
        <f>ROUND(AJ86/'01 - Dados de Entrada'!$C$294,0)</f>
        <v>1</v>
      </c>
    </row>
    <row r="84" spans="1:36" s="258" customFormat="1" ht="13.15" customHeight="1" x14ac:dyDescent="0.2">
      <c r="A84" s="15" t="s">
        <v>886</v>
      </c>
      <c r="B84" s="259">
        <f>ROUND('01 - Dados de Entrada'!$C$292*'02 - Evolução Populacional'!B47,0)</f>
        <v>48</v>
      </c>
      <c r="C84" s="259">
        <f>ROUND('01 - Dados de Entrada'!$C$292*'02 - Evolução Populacional'!C47,0)</f>
        <v>48</v>
      </c>
      <c r="D84" s="259">
        <f>ROUND('01 - Dados de Entrada'!$C$292*'02 - Evolução Populacional'!D47,0)</f>
        <v>48</v>
      </c>
      <c r="E84" s="259">
        <f>ROUND('01 - Dados de Entrada'!$C$292*'02 - Evolução Populacional'!E47,0)</f>
        <v>49</v>
      </c>
      <c r="F84" s="259">
        <f>ROUND('01 - Dados de Entrada'!$C$292*'02 - Evolução Populacional'!F47,0)</f>
        <v>49</v>
      </c>
      <c r="G84" s="259">
        <f>ROUND('01 - Dados de Entrada'!$C$292*'02 - Evolução Populacional'!G47,0)</f>
        <v>49</v>
      </c>
      <c r="H84" s="259">
        <f>ROUND('01 - Dados de Entrada'!$C$292*'02 - Evolução Populacional'!H47,0)</f>
        <v>50</v>
      </c>
      <c r="I84" s="259">
        <f>ROUND('01 - Dados de Entrada'!$C$292*'02 - Evolução Populacional'!I47,0)</f>
        <v>50</v>
      </c>
      <c r="J84" s="259">
        <f>ROUND('01 - Dados de Entrada'!$C$292*'02 - Evolução Populacional'!J47,0)</f>
        <v>50</v>
      </c>
      <c r="K84" s="259">
        <f>ROUND('01 - Dados de Entrada'!$C$292*'02 - Evolução Populacional'!K47,0)</f>
        <v>50</v>
      </c>
      <c r="L84" s="259">
        <f>ROUND('01 - Dados de Entrada'!$C$292*'02 - Evolução Populacional'!L47,0)</f>
        <v>50</v>
      </c>
      <c r="M84" s="259">
        <f>ROUND('01 - Dados de Entrada'!$C$292*'02 - Evolução Populacional'!M47,0)</f>
        <v>51</v>
      </c>
      <c r="N84" s="259">
        <f>ROUND('01 - Dados de Entrada'!$C$292*'02 - Evolução Populacional'!N47,0)</f>
        <v>51</v>
      </c>
      <c r="O84" s="259">
        <f>ROUND('01 - Dados de Entrada'!$C$292*'02 - Evolução Populacional'!O47,0)</f>
        <v>51</v>
      </c>
      <c r="P84" s="259">
        <f>ROUND('01 - Dados de Entrada'!$C$292*'02 - Evolução Populacional'!P47,0)</f>
        <v>51</v>
      </c>
      <c r="Q84" s="259">
        <f>ROUND('01 - Dados de Entrada'!$C$292*'02 - Evolução Populacional'!Q47,0)</f>
        <v>51</v>
      </c>
      <c r="R84" s="259">
        <f>ROUND('01 - Dados de Entrada'!$C$292*'02 - Evolução Populacional'!R47,0)</f>
        <v>51</v>
      </c>
      <c r="S84" s="259">
        <f>ROUND('01 - Dados de Entrada'!$C$292*'02 - Evolução Populacional'!S47,0)</f>
        <v>51</v>
      </c>
      <c r="T84" s="259">
        <f>ROUND('01 - Dados de Entrada'!$C$292*'02 - Evolução Populacional'!T47,0)</f>
        <v>51</v>
      </c>
      <c r="U84" s="259">
        <f>ROUND('01 - Dados de Entrada'!$C$292*'02 - Evolução Populacional'!U47,0)</f>
        <v>51</v>
      </c>
      <c r="V84" s="259">
        <f>ROUND('01 - Dados de Entrada'!$C$292*'02 - Evolução Populacional'!V47,0)</f>
        <v>51</v>
      </c>
      <c r="W84" s="259">
        <f>ROUND('01 - Dados de Entrada'!$C$292*'02 - Evolução Populacional'!W47,0)</f>
        <v>51</v>
      </c>
      <c r="X84" s="259">
        <f>ROUND('01 - Dados de Entrada'!$C$292*'02 - Evolução Populacional'!X47,0)</f>
        <v>51</v>
      </c>
      <c r="Y84" s="259">
        <f>ROUND('01 - Dados de Entrada'!$C$292*'02 - Evolução Populacional'!Y47,0)</f>
        <v>51</v>
      </c>
      <c r="Z84" s="259">
        <f>ROUND('01 - Dados de Entrada'!$C$292*'02 - Evolução Populacional'!Z47,0)</f>
        <v>51</v>
      </c>
      <c r="AA84" s="259">
        <f>ROUND('01 - Dados de Entrada'!$C$292*'02 - Evolução Populacional'!AA47,0)</f>
        <v>51</v>
      </c>
      <c r="AB84" s="259">
        <f>ROUND('01 - Dados de Entrada'!$C$292*'02 - Evolução Populacional'!AB47,0)</f>
        <v>50</v>
      </c>
      <c r="AC84" s="259">
        <f>ROUND('01 - Dados de Entrada'!$C$292*'02 - Evolução Populacional'!AC47,0)</f>
        <v>50</v>
      </c>
      <c r="AD84" s="259">
        <f>ROUND('01 - Dados de Entrada'!$C$292*'02 - Evolução Populacional'!AD47,0)</f>
        <v>50</v>
      </c>
      <c r="AE84" s="259">
        <f>ROUND('01 - Dados de Entrada'!$C$292*'02 - Evolução Populacional'!AE47,0)</f>
        <v>50</v>
      </c>
      <c r="AF84" s="259">
        <f>ROUND('01 - Dados de Entrada'!$C$292*'02 - Evolução Populacional'!AF47,0)</f>
        <v>50</v>
      </c>
      <c r="AG84" s="259">
        <f>ROUND('01 - Dados de Entrada'!$C$292*'02 - Evolução Populacional'!AG47,0)</f>
        <v>50</v>
      </c>
      <c r="AH84" s="259">
        <f>ROUND('01 - Dados de Entrada'!$C$292*'02 - Evolução Populacional'!AH47,0)</f>
        <v>49</v>
      </c>
      <c r="AI84" s="259">
        <f>ROUND('01 - Dados de Entrada'!$C$292*'02 - Evolução Populacional'!AI47,0)</f>
        <v>49</v>
      </c>
      <c r="AJ84" s="259">
        <f>ROUND('01 - Dados de Entrada'!$C$292*'02 - Evolução Populacional'!AJ47,0)</f>
        <v>49</v>
      </c>
    </row>
    <row r="85" spans="1:36" s="258" customFormat="1" ht="13.15" customHeight="1" x14ac:dyDescent="0.2">
      <c r="A85" s="15" t="s">
        <v>887</v>
      </c>
      <c r="B85" s="259">
        <f>ROUND(B84*'01 - Dados de Entrada'!$C$295,0)</f>
        <v>10</v>
      </c>
      <c r="C85" s="259">
        <f>ROUND(C84*'01 - Dados de Entrada'!$C$295,0)</f>
        <v>10</v>
      </c>
      <c r="D85" s="259">
        <f>ROUND(D84*'01 - Dados de Entrada'!$C$295,0)</f>
        <v>10</v>
      </c>
      <c r="E85" s="259">
        <f>ROUND(E84*'01 - Dados de Entrada'!$C$295,0)</f>
        <v>10</v>
      </c>
      <c r="F85" s="259">
        <f>ROUND(F84*'01 - Dados de Entrada'!$C$295,0)</f>
        <v>10</v>
      </c>
      <c r="G85" s="259">
        <f>ROUND(G84*'01 - Dados de Entrada'!$C$295,0)</f>
        <v>10</v>
      </c>
      <c r="H85" s="259">
        <f>ROUND(H84*'01 - Dados de Entrada'!$C$295,0)</f>
        <v>10</v>
      </c>
      <c r="I85" s="259">
        <f>ROUND(I84*'01 - Dados de Entrada'!$C$295,0)</f>
        <v>10</v>
      </c>
      <c r="J85" s="259">
        <f>ROUND(J84*'01 - Dados de Entrada'!$C$295,0)</f>
        <v>10</v>
      </c>
      <c r="K85" s="259">
        <f>ROUND(K84*'01 - Dados de Entrada'!$C$295,0)</f>
        <v>10</v>
      </c>
      <c r="L85" s="259">
        <f>ROUND(L84*'01 - Dados de Entrada'!$C$295,0)</f>
        <v>10</v>
      </c>
      <c r="M85" s="259">
        <f>ROUND(M84*'01 - Dados de Entrada'!$C$295,0)</f>
        <v>10</v>
      </c>
      <c r="N85" s="259">
        <f>ROUND(N84*'01 - Dados de Entrada'!$C$295,0)</f>
        <v>10</v>
      </c>
      <c r="O85" s="259">
        <f>ROUND(O84*'01 - Dados de Entrada'!$C$295,0)</f>
        <v>10</v>
      </c>
      <c r="P85" s="259">
        <f>ROUND(P84*'01 - Dados de Entrada'!$C$295,0)</f>
        <v>10</v>
      </c>
      <c r="Q85" s="259">
        <f>ROUND(Q84*'01 - Dados de Entrada'!$C$295,0)</f>
        <v>10</v>
      </c>
      <c r="R85" s="259">
        <f>ROUND(R84*'01 - Dados de Entrada'!$C$295,0)</f>
        <v>10</v>
      </c>
      <c r="S85" s="259">
        <f>ROUND(S84*'01 - Dados de Entrada'!$C$295,0)</f>
        <v>10</v>
      </c>
      <c r="T85" s="259">
        <f>ROUND(T84*'01 - Dados de Entrada'!$C$295,0)</f>
        <v>10</v>
      </c>
      <c r="U85" s="259">
        <f>ROUND(U84*'01 - Dados de Entrada'!$C$295,0)</f>
        <v>10</v>
      </c>
      <c r="V85" s="259">
        <f>ROUND(V84*'01 - Dados de Entrada'!$C$295,0)</f>
        <v>10</v>
      </c>
      <c r="W85" s="259">
        <f>ROUND(W84*'01 - Dados de Entrada'!$C$295,0)</f>
        <v>10</v>
      </c>
      <c r="X85" s="259">
        <f>ROUND(X84*'01 - Dados de Entrada'!$C$295,0)</f>
        <v>10</v>
      </c>
      <c r="Y85" s="259">
        <f>ROUND(Y84*'01 - Dados de Entrada'!$C$295,0)</f>
        <v>10</v>
      </c>
      <c r="Z85" s="259">
        <f>ROUND(Z84*'01 - Dados de Entrada'!$C$295,0)</f>
        <v>10</v>
      </c>
      <c r="AA85" s="259">
        <f>ROUND(AA84*'01 - Dados de Entrada'!$C$295,0)</f>
        <v>10</v>
      </c>
      <c r="AB85" s="259">
        <f>ROUND(AB84*'01 - Dados de Entrada'!$C$295,0)</f>
        <v>10</v>
      </c>
      <c r="AC85" s="259">
        <f>ROUND(AC84*'01 - Dados de Entrada'!$C$295,0)</f>
        <v>10</v>
      </c>
      <c r="AD85" s="259">
        <f>ROUND(AD84*'01 - Dados de Entrada'!$C$295,0)</f>
        <v>10</v>
      </c>
      <c r="AE85" s="259">
        <f>ROUND(AE84*'01 - Dados de Entrada'!$C$295,0)</f>
        <v>10</v>
      </c>
      <c r="AF85" s="259">
        <f>ROUND(AF84*'01 - Dados de Entrada'!$C$295,0)</f>
        <v>10</v>
      </c>
      <c r="AG85" s="259">
        <f>ROUND(AG84*'01 - Dados de Entrada'!$C$295,0)</f>
        <v>10</v>
      </c>
      <c r="AH85" s="259">
        <f>ROUND(AH84*'01 - Dados de Entrada'!$C$295,0)</f>
        <v>10</v>
      </c>
      <c r="AI85" s="259">
        <f>ROUND(AI84*'01 - Dados de Entrada'!$C$295,0)</f>
        <v>10</v>
      </c>
      <c r="AJ85" s="259">
        <f>ROUND(AJ84*'01 - Dados de Entrada'!$C$295,0)</f>
        <v>10</v>
      </c>
    </row>
    <row r="86" spans="1:36" s="258" customFormat="1" ht="13.15" customHeight="1" x14ac:dyDescent="0.2">
      <c r="A86" s="15" t="s">
        <v>888</v>
      </c>
      <c r="B86" s="259">
        <f>SUM(B84:B85)</f>
        <v>58</v>
      </c>
      <c r="C86" s="259">
        <f>SUM(C84:C85)</f>
        <v>58</v>
      </c>
      <c r="D86" s="259">
        <f t="shared" ref="D86:AJ86" si="24">SUM(D84:D85)</f>
        <v>58</v>
      </c>
      <c r="E86" s="259">
        <f t="shared" si="24"/>
        <v>59</v>
      </c>
      <c r="F86" s="259">
        <f t="shared" si="24"/>
        <v>59</v>
      </c>
      <c r="G86" s="259">
        <f t="shared" si="24"/>
        <v>59</v>
      </c>
      <c r="H86" s="259">
        <f t="shared" si="24"/>
        <v>60</v>
      </c>
      <c r="I86" s="259">
        <f t="shared" si="24"/>
        <v>60</v>
      </c>
      <c r="J86" s="259">
        <f t="shared" si="24"/>
        <v>60</v>
      </c>
      <c r="K86" s="259">
        <f t="shared" si="24"/>
        <v>60</v>
      </c>
      <c r="L86" s="259">
        <f t="shared" si="24"/>
        <v>60</v>
      </c>
      <c r="M86" s="259">
        <f t="shared" si="24"/>
        <v>61</v>
      </c>
      <c r="N86" s="259">
        <f t="shared" si="24"/>
        <v>61</v>
      </c>
      <c r="O86" s="259">
        <f t="shared" si="24"/>
        <v>61</v>
      </c>
      <c r="P86" s="259">
        <f t="shared" si="24"/>
        <v>61</v>
      </c>
      <c r="Q86" s="259">
        <f t="shared" si="24"/>
        <v>61</v>
      </c>
      <c r="R86" s="259">
        <f t="shared" si="24"/>
        <v>61</v>
      </c>
      <c r="S86" s="259">
        <f t="shared" si="24"/>
        <v>61</v>
      </c>
      <c r="T86" s="259">
        <f t="shared" si="24"/>
        <v>61</v>
      </c>
      <c r="U86" s="259">
        <f t="shared" si="24"/>
        <v>61</v>
      </c>
      <c r="V86" s="259">
        <f t="shared" si="24"/>
        <v>61</v>
      </c>
      <c r="W86" s="259">
        <f t="shared" si="24"/>
        <v>61</v>
      </c>
      <c r="X86" s="259">
        <f t="shared" si="24"/>
        <v>61</v>
      </c>
      <c r="Y86" s="259">
        <f t="shared" si="24"/>
        <v>61</v>
      </c>
      <c r="Z86" s="259">
        <f t="shared" si="24"/>
        <v>61</v>
      </c>
      <c r="AA86" s="259">
        <f t="shared" si="24"/>
        <v>61</v>
      </c>
      <c r="AB86" s="259">
        <f t="shared" si="24"/>
        <v>60</v>
      </c>
      <c r="AC86" s="259">
        <f t="shared" si="24"/>
        <v>60</v>
      </c>
      <c r="AD86" s="259">
        <f t="shared" si="24"/>
        <v>60</v>
      </c>
      <c r="AE86" s="259">
        <f t="shared" si="24"/>
        <v>60</v>
      </c>
      <c r="AF86" s="259">
        <f t="shared" si="24"/>
        <v>60</v>
      </c>
      <c r="AG86" s="259">
        <f t="shared" si="24"/>
        <v>60</v>
      </c>
      <c r="AH86" s="259">
        <f t="shared" si="24"/>
        <v>59</v>
      </c>
      <c r="AI86" s="259">
        <f t="shared" si="24"/>
        <v>59</v>
      </c>
      <c r="AJ86" s="259">
        <f t="shared" si="24"/>
        <v>59</v>
      </c>
    </row>
  </sheetData>
  <pageMargins left="0.51181102362204722" right="0.51181102362204722" top="0.78740157480314965" bottom="0.78740157480314965" header="0.31496062992125984" footer="0.31496062992125984"/>
  <pageSetup paperSize="9" scale="36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6"/>
  <dimension ref="A1:N63"/>
  <sheetViews>
    <sheetView showGridLines="0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55.5703125" style="13" customWidth="1"/>
    <col min="2" max="2" width="16.7109375" style="28" customWidth="1"/>
    <col min="3" max="3" width="8.42578125" style="14" bestFit="1" customWidth="1"/>
    <col min="4" max="4" width="9.42578125" style="14" bestFit="1" customWidth="1"/>
    <col min="5" max="5" width="9.42578125" style="14" customWidth="1"/>
    <col min="6" max="6" width="10.42578125" style="14" bestFit="1" customWidth="1"/>
    <col min="7" max="7" width="12.28515625" style="14" bestFit="1" customWidth="1"/>
    <col min="8" max="8" width="19.42578125" style="14" bestFit="1" customWidth="1"/>
    <col min="9" max="9" width="7.42578125" style="14" bestFit="1" customWidth="1"/>
    <col min="10" max="10" width="5.28515625" style="14" bestFit="1" customWidth="1"/>
    <col min="11" max="13" width="8.7109375" style="14"/>
    <col min="14" max="14" width="10.5703125" style="14" bestFit="1" customWidth="1"/>
    <col min="15" max="16384" width="8.7109375" style="14"/>
  </cols>
  <sheetData>
    <row r="1" spans="1:10" s="68" customFormat="1" ht="13.15" customHeight="1" x14ac:dyDescent="0.2">
      <c r="A1" s="21" t="s">
        <v>0</v>
      </c>
      <c r="B1" s="71"/>
    </row>
    <row r="2" spans="1:10" s="68" customFormat="1" ht="13.15" customHeight="1" x14ac:dyDescent="0.2">
      <c r="A2" s="21" t="s">
        <v>1</v>
      </c>
      <c r="B2" s="71"/>
    </row>
    <row r="3" spans="1:10" s="68" customFormat="1" ht="13.15" customHeight="1" x14ac:dyDescent="0.2">
      <c r="A3" s="21" t="s">
        <v>889</v>
      </c>
      <c r="B3" s="71"/>
    </row>
    <row r="5" spans="1:10" s="18" customFormat="1" ht="13.15" customHeight="1" x14ac:dyDescent="0.2">
      <c r="A5" s="29" t="s">
        <v>834</v>
      </c>
      <c r="B5" s="30" t="s">
        <v>890</v>
      </c>
      <c r="C5" s="30" t="s">
        <v>891</v>
      </c>
      <c r="D5" s="30" t="s">
        <v>892</v>
      </c>
      <c r="E5" s="30" t="s">
        <v>893</v>
      </c>
      <c r="F5" s="30" t="s">
        <v>894</v>
      </c>
      <c r="G5" s="30" t="s">
        <v>895</v>
      </c>
      <c r="H5" s="30" t="s">
        <v>896</v>
      </c>
      <c r="I5" s="30" t="s">
        <v>897</v>
      </c>
      <c r="J5" s="30" t="s">
        <v>898</v>
      </c>
    </row>
    <row r="6" spans="1:10" ht="13.15" customHeight="1" x14ac:dyDescent="0.2">
      <c r="A6" s="15" t="s">
        <v>842</v>
      </c>
      <c r="B6" s="502">
        <f>G6+G6*H6+I6+J6</f>
        <v>29316.799999999999</v>
      </c>
      <c r="C6" s="502">
        <v>17000</v>
      </c>
      <c r="D6" s="502">
        <v>0</v>
      </c>
      <c r="E6" s="502"/>
      <c r="F6" s="502"/>
      <c r="G6" s="502">
        <f>SUM(C6:F6)</f>
        <v>17000</v>
      </c>
      <c r="H6" s="503">
        <f>'01 - Dados de Entrada'!$C$40</f>
        <v>0.66039999999999999</v>
      </c>
      <c r="I6" s="502">
        <v>1090</v>
      </c>
      <c r="J6" s="502">
        <f>IF((3.94*52)-0.06*C6&gt;0,(3.94*52)-0.06*C6,0)</f>
        <v>0</v>
      </c>
    </row>
    <row r="7" spans="1:10" ht="13.15" customHeight="1" x14ac:dyDescent="0.2">
      <c r="A7" s="15" t="s">
        <v>843</v>
      </c>
      <c r="B7" s="502">
        <f t="shared" ref="B7:B56" si="0">G7+G7*H7+I7+J7</f>
        <v>19354.400000000001</v>
      </c>
      <c r="C7" s="502">
        <v>11000</v>
      </c>
      <c r="D7" s="502">
        <v>0</v>
      </c>
      <c r="E7" s="502"/>
      <c r="F7" s="502"/>
      <c r="G7" s="502">
        <f t="shared" ref="G7:G56" si="1">SUM(C7:F7)</f>
        <v>11000</v>
      </c>
      <c r="H7" s="503">
        <f>'01 - Dados de Entrada'!$C$40</f>
        <v>0.66039999999999999</v>
      </c>
      <c r="I7" s="502">
        <v>1090</v>
      </c>
      <c r="J7" s="502">
        <f>IF((3.94*52)-0.06*C7&gt;0,(3.94*52)-0.06*C7,0)</f>
        <v>0</v>
      </c>
    </row>
    <row r="8" spans="1:10" ht="13.15" customHeight="1" x14ac:dyDescent="0.2">
      <c r="A8" s="15" t="s">
        <v>844</v>
      </c>
      <c r="B8" s="502">
        <f>G8+G8*H8+I8+J8</f>
        <v>4642.4815560000006</v>
      </c>
      <c r="C8" s="502">
        <v>2193.89</v>
      </c>
      <c r="D8" s="502">
        <v>0</v>
      </c>
      <c r="E8" s="502"/>
      <c r="F8" s="502"/>
      <c r="G8" s="502">
        <f t="shared" si="1"/>
        <v>2193.89</v>
      </c>
      <c r="H8" s="503">
        <f>'01 - Dados de Entrada'!$C$40</f>
        <v>0.66039999999999999</v>
      </c>
      <c r="I8" s="502">
        <v>926.50000000000011</v>
      </c>
      <c r="J8" s="502">
        <f>IF((3.94*52)-0.06*C8&gt;0,(3.94*52)-0.06*C8,0)</f>
        <v>73.246600000000001</v>
      </c>
    </row>
    <row r="9" spans="1:10" ht="13.15" customHeight="1" x14ac:dyDescent="0.2">
      <c r="A9" s="15" t="s">
        <v>845</v>
      </c>
      <c r="B9" s="502">
        <f t="shared" si="0"/>
        <v>4097.4815559999997</v>
      </c>
      <c r="C9" s="502">
        <v>2193.89</v>
      </c>
      <c r="D9" s="502">
        <v>0</v>
      </c>
      <c r="E9" s="502"/>
      <c r="F9" s="502"/>
      <c r="G9" s="502">
        <f t="shared" si="1"/>
        <v>2193.89</v>
      </c>
      <c r="H9" s="503">
        <f>'01 - Dados de Entrada'!$C$40</f>
        <v>0.66039999999999999</v>
      </c>
      <c r="I9" s="502">
        <v>381.5</v>
      </c>
      <c r="J9" s="502">
        <f>IF((3.94*52)-0.06*C9&gt;0,(3.94*52)-0.06*C9,0)</f>
        <v>73.246600000000001</v>
      </c>
    </row>
    <row r="10" spans="1:10" ht="13.15" customHeight="1" x14ac:dyDescent="0.2">
      <c r="A10" s="15" t="s">
        <v>846</v>
      </c>
      <c r="B10" s="502">
        <f t="shared" si="0"/>
        <v>4553.8580000000002</v>
      </c>
      <c r="C10" s="502">
        <v>2445</v>
      </c>
      <c r="D10" s="502">
        <v>0</v>
      </c>
      <c r="E10" s="502"/>
      <c r="F10" s="502"/>
      <c r="G10" s="502">
        <f t="shared" si="1"/>
        <v>2445</v>
      </c>
      <c r="H10" s="503">
        <f>'01 - Dados de Entrada'!$C$40</f>
        <v>0.66039999999999999</v>
      </c>
      <c r="I10" s="502">
        <v>436.00000000000006</v>
      </c>
      <c r="J10" s="502">
        <f>IF((3.94*52)-0.06*C10&gt;0,(3.94*52)-0.06*C10,0)</f>
        <v>58.180000000000007</v>
      </c>
    </row>
    <row r="11" spans="1:10" ht="13.15" customHeight="1" x14ac:dyDescent="0.2">
      <c r="A11" s="15" t="s">
        <v>847</v>
      </c>
      <c r="B11" s="502">
        <f t="shared" si="0"/>
        <v>4802.5215560000006</v>
      </c>
      <c r="C11" s="502">
        <v>2293.89</v>
      </c>
      <c r="D11" s="502">
        <v>0</v>
      </c>
      <c r="E11" s="502"/>
      <c r="F11" s="502"/>
      <c r="G11" s="502">
        <f t="shared" si="1"/>
        <v>2293.89</v>
      </c>
      <c r="H11" s="503">
        <f>'01 - Dados de Entrada'!$C$40</f>
        <v>0.66039999999999999</v>
      </c>
      <c r="I11" s="502">
        <v>926.50000000000011</v>
      </c>
      <c r="J11" s="502">
        <f t="shared" ref="J11:J56" si="2">IF((3.94*52)-0.06*C11&gt;0,(3.94*52)-0.06*C11,0)</f>
        <v>67.246600000000001</v>
      </c>
    </row>
    <row r="12" spans="1:10" ht="13.15" customHeight="1" x14ac:dyDescent="0.2">
      <c r="A12" s="15" t="s">
        <v>848</v>
      </c>
      <c r="B12" s="502">
        <f t="shared" si="0"/>
        <v>4151.9815559999997</v>
      </c>
      <c r="C12" s="504">
        <v>2193.89</v>
      </c>
      <c r="D12" s="504">
        <v>0</v>
      </c>
      <c r="E12" s="504"/>
      <c r="F12" s="504"/>
      <c r="G12" s="504">
        <f t="shared" si="1"/>
        <v>2193.89</v>
      </c>
      <c r="H12" s="505">
        <f>'01 - Dados de Entrada'!$C$40</f>
        <v>0.66039999999999999</v>
      </c>
      <c r="I12" s="504">
        <v>436.00000000000006</v>
      </c>
      <c r="J12" s="502">
        <f t="shared" si="2"/>
        <v>73.246600000000001</v>
      </c>
    </row>
    <row r="13" spans="1:10" ht="13.15" customHeight="1" x14ac:dyDescent="0.2">
      <c r="A13" s="15" t="s">
        <v>849</v>
      </c>
      <c r="B13" s="502">
        <f t="shared" si="0"/>
        <v>3179.9336000000003</v>
      </c>
      <c r="C13" s="504">
        <v>1634</v>
      </c>
      <c r="D13" s="504">
        <v>0</v>
      </c>
      <c r="E13" s="504"/>
      <c r="F13" s="504"/>
      <c r="G13" s="504">
        <f t="shared" si="1"/>
        <v>1634</v>
      </c>
      <c r="H13" s="505">
        <f>'01 - Dados de Entrada'!$C$40</f>
        <v>0.66039999999999999</v>
      </c>
      <c r="I13" s="336">
        <v>360</v>
      </c>
      <c r="J13" s="506">
        <f t="shared" si="2"/>
        <v>106.84</v>
      </c>
    </row>
    <row r="14" spans="1:10" ht="13.15" customHeight="1" x14ac:dyDescent="0.2">
      <c r="A14" s="15" t="s">
        <v>850</v>
      </c>
      <c r="B14" s="502">
        <f t="shared" si="0"/>
        <v>3144.7248</v>
      </c>
      <c r="C14" s="504">
        <v>1612</v>
      </c>
      <c r="D14" s="504">
        <v>0</v>
      </c>
      <c r="E14" s="504"/>
      <c r="F14" s="504"/>
      <c r="G14" s="504">
        <f t="shared" si="1"/>
        <v>1612</v>
      </c>
      <c r="H14" s="505">
        <f>'01 - Dados de Entrada'!$C$40</f>
        <v>0.66039999999999999</v>
      </c>
      <c r="I14" s="336">
        <v>360</v>
      </c>
      <c r="J14" s="506">
        <f t="shared" si="2"/>
        <v>108.16</v>
      </c>
    </row>
    <row r="15" spans="1:10" ht="13.15" customHeight="1" x14ac:dyDescent="0.2">
      <c r="A15" s="15" t="s">
        <v>851</v>
      </c>
      <c r="B15" s="502">
        <f t="shared" si="0"/>
        <v>3145.1409039999999</v>
      </c>
      <c r="C15" s="336">
        <v>1612.26</v>
      </c>
      <c r="D15" s="504">
        <v>0</v>
      </c>
      <c r="E15" s="504"/>
      <c r="F15" s="504"/>
      <c r="G15" s="504">
        <f t="shared" si="1"/>
        <v>1612.26</v>
      </c>
      <c r="H15" s="505">
        <f>'01 - Dados de Entrada'!$C$40</f>
        <v>0.66039999999999999</v>
      </c>
      <c r="I15" s="336">
        <v>360</v>
      </c>
      <c r="J15" s="502">
        <f t="shared" si="2"/>
        <v>108.1444</v>
      </c>
    </row>
    <row r="16" spans="1:10" ht="13.15" customHeight="1" x14ac:dyDescent="0.2">
      <c r="A16" s="15" t="s">
        <v>852</v>
      </c>
      <c r="B16" s="502">
        <f t="shared" si="0"/>
        <v>4642.4815560000006</v>
      </c>
      <c r="C16" s="504">
        <v>2193.89</v>
      </c>
      <c r="D16" s="504">
        <v>0</v>
      </c>
      <c r="E16" s="504"/>
      <c r="F16" s="504"/>
      <c r="G16" s="504">
        <f t="shared" si="1"/>
        <v>2193.89</v>
      </c>
      <c r="H16" s="505">
        <f>'01 - Dados de Entrada'!$C$40</f>
        <v>0.66039999999999999</v>
      </c>
      <c r="I16" s="504">
        <v>926.50000000000011</v>
      </c>
      <c r="J16" s="502">
        <f t="shared" si="2"/>
        <v>73.246600000000001</v>
      </c>
    </row>
    <row r="17" spans="1:14" ht="13.15" customHeight="1" x14ac:dyDescent="0.2">
      <c r="A17" s="15" t="s">
        <v>853</v>
      </c>
      <c r="B17" s="502">
        <f t="shared" si="0"/>
        <v>4151.9815559999997</v>
      </c>
      <c r="C17" s="504">
        <v>2193.89</v>
      </c>
      <c r="D17" s="504">
        <v>0</v>
      </c>
      <c r="E17" s="504"/>
      <c r="F17" s="504"/>
      <c r="G17" s="504">
        <f t="shared" si="1"/>
        <v>2193.89</v>
      </c>
      <c r="H17" s="505">
        <f>'01 - Dados de Entrada'!$C$40</f>
        <v>0.66039999999999999</v>
      </c>
      <c r="I17" s="504">
        <v>436.00000000000006</v>
      </c>
      <c r="J17" s="502">
        <f t="shared" si="2"/>
        <v>73.246600000000001</v>
      </c>
    </row>
    <row r="18" spans="1:14" ht="13.15" customHeight="1" x14ac:dyDescent="0.2">
      <c r="A18" s="15" t="s">
        <v>854</v>
      </c>
      <c r="B18" s="502">
        <f t="shared" si="0"/>
        <v>4151.9815559999997</v>
      </c>
      <c r="C18" s="504">
        <v>2193.89</v>
      </c>
      <c r="D18" s="504">
        <v>0</v>
      </c>
      <c r="E18" s="504"/>
      <c r="F18" s="504"/>
      <c r="G18" s="504">
        <f t="shared" si="1"/>
        <v>2193.89</v>
      </c>
      <c r="H18" s="505">
        <f>'01 - Dados de Entrada'!$C$40</f>
        <v>0.66039999999999999</v>
      </c>
      <c r="I18" s="504">
        <v>436.00000000000006</v>
      </c>
      <c r="J18" s="502">
        <f t="shared" si="2"/>
        <v>73.246600000000001</v>
      </c>
    </row>
    <row r="19" spans="1:14" ht="13.15" customHeight="1" x14ac:dyDescent="0.2">
      <c r="A19" s="15" t="s">
        <v>855</v>
      </c>
      <c r="B19" s="502">
        <f t="shared" si="0"/>
        <v>13000.9288</v>
      </c>
      <c r="C19" s="504">
        <v>7272</v>
      </c>
      <c r="D19" s="504">
        <v>0</v>
      </c>
      <c r="E19" s="504"/>
      <c r="F19" s="504"/>
      <c r="G19" s="504">
        <f t="shared" si="1"/>
        <v>7272</v>
      </c>
      <c r="H19" s="505">
        <f>'01 - Dados de Entrada'!$C$40</f>
        <v>0.66039999999999999</v>
      </c>
      <c r="I19" s="504">
        <v>926.50000000000011</v>
      </c>
      <c r="J19" s="502">
        <f t="shared" si="2"/>
        <v>0</v>
      </c>
    </row>
    <row r="20" spans="1:14" ht="13.15" customHeight="1" x14ac:dyDescent="0.2">
      <c r="A20" s="15" t="s">
        <v>856</v>
      </c>
      <c r="B20" s="502">
        <f t="shared" si="0"/>
        <v>4151.9815559999997</v>
      </c>
      <c r="C20" s="502">
        <v>2193.89</v>
      </c>
      <c r="D20" s="502">
        <v>0</v>
      </c>
      <c r="E20" s="502"/>
      <c r="F20" s="502"/>
      <c r="G20" s="502">
        <f t="shared" si="1"/>
        <v>2193.89</v>
      </c>
      <c r="H20" s="503">
        <f>'01 - Dados de Entrada'!$C$40</f>
        <v>0.66039999999999999</v>
      </c>
      <c r="I20" s="502">
        <v>436.00000000000006</v>
      </c>
      <c r="J20" s="502">
        <f t="shared" si="2"/>
        <v>73.246600000000001</v>
      </c>
    </row>
    <row r="21" spans="1:14" ht="13.15" customHeight="1" x14ac:dyDescent="0.2">
      <c r="A21" s="15" t="s">
        <v>857</v>
      </c>
      <c r="B21" s="502">
        <f t="shared" si="0"/>
        <v>4151.9815559999997</v>
      </c>
      <c r="C21" s="502">
        <v>2193.89</v>
      </c>
      <c r="D21" s="502">
        <v>0</v>
      </c>
      <c r="E21" s="502"/>
      <c r="F21" s="502"/>
      <c r="G21" s="502">
        <f t="shared" si="1"/>
        <v>2193.89</v>
      </c>
      <c r="H21" s="503">
        <f>'01 - Dados de Entrada'!$C$40</f>
        <v>0.66039999999999999</v>
      </c>
      <c r="I21" s="502">
        <v>436.00000000000006</v>
      </c>
      <c r="J21" s="502">
        <f t="shared" si="2"/>
        <v>73.246600000000001</v>
      </c>
    </row>
    <row r="22" spans="1:14" ht="13.15" customHeight="1" x14ac:dyDescent="0.2">
      <c r="A22" s="15" t="s">
        <v>858</v>
      </c>
      <c r="B22" s="502">
        <f t="shared" si="0"/>
        <v>7236.02</v>
      </c>
      <c r="C22" s="502">
        <v>3800</v>
      </c>
      <c r="D22" s="502">
        <v>0</v>
      </c>
      <c r="E22" s="502"/>
      <c r="F22" s="502"/>
      <c r="G22" s="502">
        <f t="shared" si="1"/>
        <v>3800</v>
      </c>
      <c r="H22" s="503">
        <f>'01 - Dados de Entrada'!$C$40</f>
        <v>0.66039999999999999</v>
      </c>
      <c r="I22" s="502">
        <v>926.50000000000011</v>
      </c>
      <c r="J22" s="502">
        <f t="shared" si="2"/>
        <v>0</v>
      </c>
    </row>
    <row r="23" spans="1:14" ht="13.15" customHeight="1" x14ac:dyDescent="0.2">
      <c r="A23" s="19" t="s">
        <v>859</v>
      </c>
      <c r="B23" s="502">
        <f t="shared" si="0"/>
        <v>8398.2999999999993</v>
      </c>
      <c r="C23" s="502">
        <v>4500</v>
      </c>
      <c r="D23" s="502"/>
      <c r="E23" s="502"/>
      <c r="F23" s="502"/>
      <c r="G23" s="502">
        <f t="shared" si="1"/>
        <v>4500</v>
      </c>
      <c r="H23" s="503">
        <f>'01 - Dados de Entrada'!$C$40</f>
        <v>0.66039999999999999</v>
      </c>
      <c r="I23" s="502">
        <v>926.50000000000011</v>
      </c>
      <c r="J23" s="502">
        <f t="shared" si="2"/>
        <v>0</v>
      </c>
    </row>
    <row r="24" spans="1:14" ht="13.15" customHeight="1" x14ac:dyDescent="0.2">
      <c r="A24" s="19" t="s">
        <v>860</v>
      </c>
      <c r="B24" s="502">
        <f t="shared" si="0"/>
        <v>8066.2199999999993</v>
      </c>
      <c r="C24" s="502">
        <v>4300</v>
      </c>
      <c r="D24" s="502"/>
      <c r="E24" s="502"/>
      <c r="F24" s="502"/>
      <c r="G24" s="502">
        <f t="shared" si="1"/>
        <v>4300</v>
      </c>
      <c r="H24" s="503">
        <f>'01 - Dados de Entrada'!$C$40</f>
        <v>0.66039999999999999</v>
      </c>
      <c r="I24" s="502">
        <v>926.50000000000011</v>
      </c>
      <c r="J24" s="502">
        <f t="shared" si="2"/>
        <v>0</v>
      </c>
    </row>
    <row r="25" spans="1:14" ht="13.15" customHeight="1" x14ac:dyDescent="0.2">
      <c r="A25" s="19" t="s">
        <v>861</v>
      </c>
      <c r="B25" s="502">
        <f t="shared" si="0"/>
        <v>3145.1409039999999</v>
      </c>
      <c r="C25" s="336">
        <v>1612.26</v>
      </c>
      <c r="D25" s="502"/>
      <c r="E25" s="502"/>
      <c r="F25" s="502"/>
      <c r="G25" s="502">
        <f t="shared" si="1"/>
        <v>1612.26</v>
      </c>
      <c r="H25" s="503">
        <f>'01 - Dados de Entrada'!$C$40</f>
        <v>0.66039999999999999</v>
      </c>
      <c r="I25" s="336">
        <v>360</v>
      </c>
      <c r="J25" s="502">
        <f t="shared" si="2"/>
        <v>108.1444</v>
      </c>
    </row>
    <row r="26" spans="1:14" ht="13.15" customHeight="1" x14ac:dyDescent="0.2">
      <c r="A26" s="372"/>
      <c r="B26" s="502"/>
      <c r="C26" s="502"/>
      <c r="D26" s="502"/>
      <c r="E26" s="502"/>
      <c r="F26" s="502"/>
      <c r="G26" s="502"/>
      <c r="H26" s="503"/>
      <c r="I26" s="502"/>
      <c r="J26" s="502"/>
    </row>
    <row r="27" spans="1:14" s="18" customFormat="1" ht="13.15" customHeight="1" x14ac:dyDescent="0.2">
      <c r="A27" s="17" t="s">
        <v>801</v>
      </c>
      <c r="B27" s="502"/>
      <c r="C27" s="502"/>
      <c r="D27" s="502"/>
      <c r="E27" s="502"/>
      <c r="F27" s="502"/>
      <c r="G27" s="502"/>
      <c r="H27" s="503"/>
      <c r="I27" s="502">
        <v>0</v>
      </c>
      <c r="J27" s="502"/>
    </row>
    <row r="28" spans="1:14" ht="13.15" customHeight="1" x14ac:dyDescent="0.2">
      <c r="A28" s="15" t="s">
        <v>862</v>
      </c>
      <c r="B28" s="502">
        <f>G28+G28*H28+I28+J28</f>
        <v>21018.120800000001</v>
      </c>
      <c r="C28" s="502">
        <v>12002</v>
      </c>
      <c r="D28" s="502">
        <v>0</v>
      </c>
      <c r="E28" s="502"/>
      <c r="F28" s="502"/>
      <c r="G28" s="502">
        <f t="shared" si="1"/>
        <v>12002</v>
      </c>
      <c r="H28" s="503">
        <f>'01 - Dados de Entrada'!$C$40</f>
        <v>0.66039999999999999</v>
      </c>
      <c r="I28" s="502">
        <v>1090</v>
      </c>
      <c r="J28" s="502">
        <f t="shared" si="2"/>
        <v>0</v>
      </c>
      <c r="N28" s="599"/>
    </row>
    <row r="29" spans="1:14" ht="13.15" customHeight="1" x14ac:dyDescent="0.2">
      <c r="A29" s="16"/>
      <c r="B29" s="502"/>
      <c r="C29" s="502"/>
      <c r="D29" s="502"/>
      <c r="E29" s="502"/>
      <c r="F29" s="502"/>
      <c r="G29" s="502"/>
      <c r="H29" s="503">
        <f>'01 - Dados de Entrada'!$C$40</f>
        <v>0.66039999999999999</v>
      </c>
      <c r="I29" s="502">
        <v>0</v>
      </c>
      <c r="J29" s="502"/>
      <c r="N29" s="599"/>
    </row>
    <row r="30" spans="1:14" s="18" customFormat="1" ht="13.15" customHeight="1" x14ac:dyDescent="0.2">
      <c r="A30" s="16" t="s">
        <v>899</v>
      </c>
      <c r="B30" s="502"/>
      <c r="C30" s="502"/>
      <c r="D30" s="502"/>
      <c r="E30" s="502"/>
      <c r="F30" s="502"/>
      <c r="G30" s="502"/>
      <c r="H30" s="503">
        <f>'01 - Dados de Entrada'!$C$40</f>
        <v>0.66039999999999999</v>
      </c>
      <c r="I30" s="502">
        <v>0</v>
      </c>
      <c r="J30" s="502"/>
      <c r="N30" s="600"/>
    </row>
    <row r="31" spans="1:14" ht="13.15" customHeight="1" x14ac:dyDescent="0.2">
      <c r="A31" s="15" t="s">
        <v>900</v>
      </c>
      <c r="B31" s="502">
        <f t="shared" si="0"/>
        <v>7319.04</v>
      </c>
      <c r="C31" s="502">
        <v>3850</v>
      </c>
      <c r="D31" s="502">
        <v>0</v>
      </c>
      <c r="E31" s="502"/>
      <c r="F31" s="502"/>
      <c r="G31" s="502">
        <f t="shared" si="1"/>
        <v>3850</v>
      </c>
      <c r="H31" s="503">
        <f>'01 - Dados de Entrada'!$C$40</f>
        <v>0.66039999999999999</v>
      </c>
      <c r="I31" s="502">
        <v>926.50000000000011</v>
      </c>
      <c r="J31" s="502">
        <f t="shared" si="2"/>
        <v>0</v>
      </c>
    </row>
    <row r="32" spans="1:14" ht="13.15" customHeight="1" x14ac:dyDescent="0.2">
      <c r="A32" s="15" t="s">
        <v>901</v>
      </c>
      <c r="B32" s="502">
        <f t="shared" si="0"/>
        <v>3329.7248</v>
      </c>
      <c r="C32" s="502">
        <v>1612</v>
      </c>
      <c r="D32" s="502">
        <v>0</v>
      </c>
      <c r="E32" s="502"/>
      <c r="F32" s="502"/>
      <c r="G32" s="502">
        <f t="shared" si="1"/>
        <v>1612</v>
      </c>
      <c r="H32" s="503">
        <f>'01 - Dados de Entrada'!$C$40</f>
        <v>0.66039999999999999</v>
      </c>
      <c r="I32" s="502">
        <v>545</v>
      </c>
      <c r="J32" s="502">
        <f t="shared" si="2"/>
        <v>108.16</v>
      </c>
    </row>
    <row r="33" spans="1:10" ht="13.15" customHeight="1" x14ac:dyDescent="0.2">
      <c r="A33" s="15" t="s">
        <v>902</v>
      </c>
      <c r="B33" s="502">
        <f t="shared" si="0"/>
        <v>3255.9336000000003</v>
      </c>
      <c r="C33" s="502">
        <v>1634</v>
      </c>
      <c r="D33" s="502">
        <v>0</v>
      </c>
      <c r="E33" s="502"/>
      <c r="F33" s="502"/>
      <c r="G33" s="502">
        <f t="shared" si="1"/>
        <v>1634</v>
      </c>
      <c r="H33" s="503">
        <f>'01 - Dados de Entrada'!$C$40</f>
        <v>0.66039999999999999</v>
      </c>
      <c r="I33" s="502">
        <v>436.00000000000006</v>
      </c>
      <c r="J33" s="502">
        <f t="shared" si="2"/>
        <v>106.84</v>
      </c>
    </row>
    <row r="34" spans="1:10" ht="13.15" customHeight="1" x14ac:dyDescent="0.2">
      <c r="A34" s="15"/>
      <c r="B34" s="502"/>
      <c r="C34" s="502"/>
      <c r="D34" s="502"/>
      <c r="E34" s="502"/>
      <c r="F34" s="502"/>
      <c r="G34" s="502"/>
      <c r="H34" s="503"/>
      <c r="I34" s="502">
        <v>0</v>
      </c>
      <c r="J34" s="502"/>
    </row>
    <row r="35" spans="1:10" ht="13.15" customHeight="1" x14ac:dyDescent="0.2">
      <c r="A35" s="16" t="s">
        <v>835</v>
      </c>
      <c r="B35" s="502"/>
      <c r="C35" s="502"/>
      <c r="D35" s="502"/>
      <c r="E35" s="502"/>
      <c r="F35" s="502"/>
      <c r="G35" s="502"/>
      <c r="H35" s="503"/>
      <c r="I35" s="502">
        <v>0</v>
      </c>
      <c r="J35" s="502"/>
    </row>
    <row r="36" spans="1:10" s="258" customFormat="1" ht="13.15" customHeight="1" x14ac:dyDescent="0.2">
      <c r="A36" s="15" t="s">
        <v>863</v>
      </c>
      <c r="B36" s="504">
        <f>G36+G36*H36+I36+J36</f>
        <v>8016.7999999999993</v>
      </c>
      <c r="C36" s="504">
        <v>4500</v>
      </c>
      <c r="D36" s="504"/>
      <c r="E36" s="504"/>
      <c r="F36" s="504">
        <v>0</v>
      </c>
      <c r="G36" s="504">
        <f>SUM(C36:F36)</f>
        <v>4500</v>
      </c>
      <c r="H36" s="505">
        <f>'01 - Dados de Entrada'!$C$39</f>
        <v>0.66039999999999999</v>
      </c>
      <c r="I36" s="504">
        <v>545</v>
      </c>
      <c r="J36" s="504">
        <f>IF(150-0.06*C36&gt;0,150-0.06*C36,0)</f>
        <v>0</v>
      </c>
    </row>
    <row r="37" spans="1:10" s="258" customFormat="1" ht="13.15" customHeight="1" x14ac:dyDescent="0.2">
      <c r="A37" s="16" t="s">
        <v>864</v>
      </c>
      <c r="B37" s="46"/>
      <c r="C37" s="46"/>
      <c r="D37" s="46"/>
      <c r="E37" s="46"/>
      <c r="F37" s="46"/>
      <c r="G37" s="46"/>
      <c r="H37" s="270"/>
      <c r="I37" s="46">
        <v>0</v>
      </c>
      <c r="J37" s="46"/>
    </row>
    <row r="38" spans="1:10" s="258" customFormat="1" ht="13.15" customHeight="1" x14ac:dyDescent="0.2">
      <c r="A38" s="261" t="s">
        <v>883</v>
      </c>
      <c r="B38" s="46">
        <f t="shared" si="0"/>
        <v>4853.8615040000004</v>
      </c>
      <c r="C38" s="335">
        <v>2271.36</v>
      </c>
      <c r="D38" s="46">
        <f>'01 - Dados de Entrada'!$C$36*'01 - Dados de Entrada'!$C$37</f>
        <v>282.40000000000003</v>
      </c>
      <c r="E38" s="46">
        <v>0</v>
      </c>
      <c r="F38" s="46"/>
      <c r="G38" s="46">
        <f t="shared" si="1"/>
        <v>2553.7600000000002</v>
      </c>
      <c r="H38" s="270">
        <f>'01 - Dados de Entrada'!$C$39</f>
        <v>0.66039999999999999</v>
      </c>
      <c r="I38" s="46">
        <v>545</v>
      </c>
      <c r="J38" s="46">
        <f t="shared" si="2"/>
        <v>68.598399999999998</v>
      </c>
    </row>
    <row r="39" spans="1:10" s="258" customFormat="1" ht="13.15" customHeight="1" x14ac:dyDescent="0.2">
      <c r="A39" s="261" t="s">
        <v>903</v>
      </c>
      <c r="B39" s="46">
        <f t="shared" si="0"/>
        <v>4082.9348239999999</v>
      </c>
      <c r="C39" s="336">
        <v>1612.26</v>
      </c>
      <c r="D39" s="46">
        <f>'01 - Dados de Entrada'!$C$36*'01 - Dados de Entrada'!$C$38</f>
        <v>564.80000000000007</v>
      </c>
      <c r="E39" s="46"/>
      <c r="F39" s="46"/>
      <c r="G39" s="46">
        <f t="shared" si="1"/>
        <v>2177.06</v>
      </c>
      <c r="H39" s="270">
        <f>'01 - Dados de Entrada'!$C$39</f>
        <v>0.66039999999999999</v>
      </c>
      <c r="I39" s="46">
        <v>360</v>
      </c>
      <c r="J39" s="46">
        <f t="shared" si="2"/>
        <v>108.1444</v>
      </c>
    </row>
    <row r="40" spans="1:10" s="258" customFormat="1" ht="13.15" customHeight="1" x14ac:dyDescent="0.2">
      <c r="A40" s="261" t="s">
        <v>867</v>
      </c>
      <c r="B40" s="46">
        <f t="shared" si="0"/>
        <v>5003.5501599999998</v>
      </c>
      <c r="C40" s="46">
        <v>2433</v>
      </c>
      <c r="D40" s="46">
        <f>'01 - Dados de Entrada'!$C$36*'01 - Dados de Entrada'!$C$37</f>
        <v>282.40000000000003</v>
      </c>
      <c r="E40" s="46"/>
      <c r="F40" s="46">
        <v>0</v>
      </c>
      <c r="G40" s="46">
        <f t="shared" si="1"/>
        <v>2715.4</v>
      </c>
      <c r="H40" s="270">
        <f>'01 - Dados de Entrada'!$C$39</f>
        <v>0.66039999999999999</v>
      </c>
      <c r="I40" s="46">
        <v>436.00000000000006</v>
      </c>
      <c r="J40" s="46">
        <f t="shared" si="2"/>
        <v>58.900000000000006</v>
      </c>
    </row>
    <row r="41" spans="1:10" s="258" customFormat="1" ht="13.15" customHeight="1" x14ac:dyDescent="0.2">
      <c r="A41" s="261" t="s">
        <v>868</v>
      </c>
      <c r="B41" s="46">
        <f>G41+G41*H41+I41+J41</f>
        <v>5551.08</v>
      </c>
      <c r="C41" s="46">
        <v>3000</v>
      </c>
      <c r="D41" s="46"/>
      <c r="E41" s="46"/>
      <c r="F41" s="46"/>
      <c r="G41" s="46">
        <f>SUM(C41:F41)</f>
        <v>3000</v>
      </c>
      <c r="H41" s="270">
        <f>'01 - Dados de Entrada'!$C$39</f>
        <v>0.66039999999999999</v>
      </c>
      <c r="I41" s="46">
        <v>545</v>
      </c>
      <c r="J41" s="46">
        <f>IF((3.94*52)-0.06*C41&gt;0,(3.94*52)-0.06*C41,0)</f>
        <v>24.879999999999995</v>
      </c>
    </row>
    <row r="42" spans="1:10" s="258" customFormat="1" ht="13.15" customHeight="1" x14ac:dyDescent="0.2">
      <c r="A42" s="16" t="s">
        <v>869</v>
      </c>
      <c r="B42" s="46"/>
      <c r="C42" s="46"/>
      <c r="D42" s="46"/>
      <c r="E42" s="46"/>
      <c r="F42" s="46"/>
      <c r="G42" s="46"/>
      <c r="H42" s="270"/>
      <c r="I42" s="46">
        <v>0</v>
      </c>
      <c r="J42" s="46"/>
    </row>
    <row r="43" spans="1:10" s="258" customFormat="1" ht="13.15" customHeight="1" x14ac:dyDescent="0.2">
      <c r="A43" s="261" t="s">
        <v>883</v>
      </c>
      <c r="B43" s="46">
        <f>G43+G43*H43+I43+J43</f>
        <v>4853.8615040000004</v>
      </c>
      <c r="C43" s="335">
        <v>2271.36</v>
      </c>
      <c r="D43" s="46">
        <f>'01 - Dados de Entrada'!$C$36*'01 - Dados de Entrada'!$C$37</f>
        <v>282.40000000000003</v>
      </c>
      <c r="E43" s="46"/>
      <c r="F43" s="46"/>
      <c r="G43" s="46">
        <f>SUM(C43:F43)</f>
        <v>2553.7600000000002</v>
      </c>
      <c r="H43" s="270">
        <f>'01 - Dados de Entrada'!$C$39</f>
        <v>0.66039999999999999</v>
      </c>
      <c r="I43" s="46">
        <v>545</v>
      </c>
      <c r="J43" s="46">
        <f t="shared" si="2"/>
        <v>68.598399999999998</v>
      </c>
    </row>
    <row r="44" spans="1:10" s="258" customFormat="1" ht="13.15" customHeight="1" x14ac:dyDescent="0.2">
      <c r="A44" s="261" t="s">
        <v>903</v>
      </c>
      <c r="B44" s="46">
        <f t="shared" si="0"/>
        <v>4082.9348239999999</v>
      </c>
      <c r="C44" s="336">
        <v>1612.26</v>
      </c>
      <c r="D44" s="46">
        <f>'01 - Dados de Entrada'!$C$36*'01 - Dados de Entrada'!$C$38</f>
        <v>564.80000000000007</v>
      </c>
      <c r="E44" s="46"/>
      <c r="F44" s="46"/>
      <c r="G44" s="46">
        <f t="shared" si="1"/>
        <v>2177.06</v>
      </c>
      <c r="H44" s="270">
        <f>H39</f>
        <v>0.66039999999999999</v>
      </c>
      <c r="I44" s="46">
        <v>360</v>
      </c>
      <c r="J44" s="46">
        <f t="shared" si="2"/>
        <v>108.1444</v>
      </c>
    </row>
    <row r="45" spans="1:10" s="258" customFormat="1" ht="13.15" customHeight="1" x14ac:dyDescent="0.2">
      <c r="A45" s="261" t="s">
        <v>867</v>
      </c>
      <c r="B45" s="46">
        <f t="shared" si="0"/>
        <v>5003.5501599999998</v>
      </c>
      <c r="C45" s="46">
        <v>2433</v>
      </c>
      <c r="D45" s="46">
        <f>'01 - Dados de Entrada'!$C$36*'01 - Dados de Entrada'!$C$37</f>
        <v>282.40000000000003</v>
      </c>
      <c r="E45" s="46"/>
      <c r="F45" s="46">
        <v>0</v>
      </c>
      <c r="G45" s="46">
        <f t="shared" si="1"/>
        <v>2715.4</v>
      </c>
      <c r="H45" s="270">
        <f>'01 - Dados de Entrada'!$C$39</f>
        <v>0.66039999999999999</v>
      </c>
      <c r="I45" s="46">
        <v>436.00000000000006</v>
      </c>
      <c r="J45" s="46">
        <f t="shared" si="2"/>
        <v>58.900000000000006</v>
      </c>
    </row>
    <row r="46" spans="1:10" s="258" customFormat="1" ht="13.15" customHeight="1" x14ac:dyDescent="0.2">
      <c r="A46" s="16" t="s">
        <v>836</v>
      </c>
      <c r="B46" s="46"/>
      <c r="C46" s="46"/>
      <c r="D46" s="46"/>
      <c r="E46" s="46"/>
      <c r="F46" s="46"/>
      <c r="G46" s="46"/>
      <c r="H46" s="270"/>
      <c r="I46" s="46">
        <v>0</v>
      </c>
      <c r="J46" s="46"/>
    </row>
    <row r="47" spans="1:10" s="258" customFormat="1" ht="13.15" customHeight="1" x14ac:dyDescent="0.2">
      <c r="A47" s="261" t="s">
        <v>904</v>
      </c>
      <c r="B47" s="46">
        <f>G47+G47*H47+I47+J47</f>
        <v>4082.9348239999999</v>
      </c>
      <c r="C47" s="336">
        <v>1612.26</v>
      </c>
      <c r="D47" s="46">
        <f>'01 - Dados de Entrada'!$C$36*'01 - Dados de Entrada'!$C$38</f>
        <v>564.80000000000007</v>
      </c>
      <c r="E47" s="46"/>
      <c r="F47" s="46"/>
      <c r="G47" s="46">
        <f>SUM(C47:F47)</f>
        <v>2177.06</v>
      </c>
      <c r="H47" s="270">
        <f>'01 - Dados de Entrada'!$C$39</f>
        <v>0.66039999999999999</v>
      </c>
      <c r="I47" s="46">
        <v>360</v>
      </c>
      <c r="J47" s="46">
        <f>IF((3.94*52)-0.06*C47&gt;0,(3.94*52)-0.06*C47,0)</f>
        <v>108.1444</v>
      </c>
    </row>
    <row r="48" spans="1:10" s="258" customFormat="1" ht="13.15" customHeight="1" x14ac:dyDescent="0.2">
      <c r="A48" s="261" t="s">
        <v>873</v>
      </c>
      <c r="B48" s="46">
        <f>G48+G48*H48+I48+J48</f>
        <v>4082.9348239999999</v>
      </c>
      <c r="C48" s="336">
        <v>1612.26</v>
      </c>
      <c r="D48" s="46">
        <f>'01 - Dados de Entrada'!$C$36*'01 - Dados de Entrada'!$C$38</f>
        <v>564.80000000000007</v>
      </c>
      <c r="E48" s="46"/>
      <c r="F48" s="46"/>
      <c r="G48" s="46">
        <f>SUM(C48:F48)</f>
        <v>2177.06</v>
      </c>
      <c r="H48" s="270">
        <f>'01 - Dados de Entrada'!$C$39</f>
        <v>0.66039999999999999</v>
      </c>
      <c r="I48" s="46">
        <v>360</v>
      </c>
      <c r="J48" s="46">
        <f>IF((3.94*52)-0.06*C48&gt;0,(3.94*52)-0.06*C48,0)</f>
        <v>108.1444</v>
      </c>
    </row>
    <row r="49" spans="1:10" s="258" customFormat="1" ht="13.15" customHeight="1" x14ac:dyDescent="0.2">
      <c r="A49" s="470" t="s">
        <v>837</v>
      </c>
      <c r="B49" s="46"/>
      <c r="C49" s="46"/>
      <c r="D49" s="46"/>
      <c r="E49" s="46"/>
      <c r="F49" s="46"/>
      <c r="G49" s="46"/>
      <c r="H49" s="270"/>
      <c r="I49" s="46"/>
      <c r="J49" s="46"/>
    </row>
    <row r="50" spans="1:10" s="258" customFormat="1" ht="13.15" customHeight="1" x14ac:dyDescent="0.2">
      <c r="A50" s="32" t="s">
        <v>865</v>
      </c>
      <c r="B50" s="46">
        <f>G50+G50*H50+I50+J50</f>
        <v>4853.8615040000004</v>
      </c>
      <c r="C50" s="335">
        <v>2271.36</v>
      </c>
      <c r="D50" s="46">
        <f>'01 - Dados de Entrada'!$C$36*'01 - Dados de Entrada'!$C$37</f>
        <v>282.40000000000003</v>
      </c>
      <c r="E50" s="46"/>
      <c r="F50" s="46"/>
      <c r="G50" s="46">
        <f>SUM(C50:F50)</f>
        <v>2553.7600000000002</v>
      </c>
      <c r="H50" s="270">
        <f>'01 - Dados de Entrada'!$C$39</f>
        <v>0.66039999999999999</v>
      </c>
      <c r="I50" s="46">
        <v>545</v>
      </c>
      <c r="J50" s="46">
        <f>IF((3.94*52)-0.06*C50&gt;0,(3.94*52)-0.06*C50,0)</f>
        <v>68.598399999999998</v>
      </c>
    </row>
    <row r="51" spans="1:10" s="258" customFormat="1" ht="13.15" customHeight="1" x14ac:dyDescent="0.2">
      <c r="A51" s="257" t="s">
        <v>874</v>
      </c>
      <c r="B51" s="46"/>
      <c r="C51" s="46"/>
      <c r="D51" s="46"/>
      <c r="E51" s="46"/>
      <c r="F51" s="46"/>
      <c r="G51" s="46"/>
      <c r="H51" s="270"/>
      <c r="I51" s="46">
        <v>0</v>
      </c>
      <c r="J51" s="46"/>
    </row>
    <row r="52" spans="1:10" s="258" customFormat="1" ht="13.15" customHeight="1" x14ac:dyDescent="0.2">
      <c r="A52" s="261" t="s">
        <v>875</v>
      </c>
      <c r="B52" s="46">
        <f t="shared" si="0"/>
        <v>13852.714</v>
      </c>
      <c r="C52" s="46">
        <v>7785</v>
      </c>
      <c r="D52" s="46">
        <v>0</v>
      </c>
      <c r="E52" s="46"/>
      <c r="F52" s="46"/>
      <c r="G52" s="46">
        <f t="shared" si="1"/>
        <v>7785</v>
      </c>
      <c r="H52" s="270">
        <f>'01 - Dados de Entrada'!$C$40</f>
        <v>0.66039999999999999</v>
      </c>
      <c r="I52" s="46">
        <v>926.50000000000011</v>
      </c>
      <c r="J52" s="46">
        <f t="shared" si="2"/>
        <v>0</v>
      </c>
    </row>
    <row r="53" spans="1:10" s="258" customFormat="1" ht="13.15" customHeight="1" x14ac:dyDescent="0.2">
      <c r="A53" s="261" t="s">
        <v>876</v>
      </c>
      <c r="B53" s="46">
        <f t="shared" si="0"/>
        <v>10507.4</v>
      </c>
      <c r="C53" s="46">
        <v>6000</v>
      </c>
      <c r="D53" s="46">
        <v>0</v>
      </c>
      <c r="E53" s="46"/>
      <c r="F53" s="46"/>
      <c r="G53" s="46">
        <f t="shared" si="1"/>
        <v>6000</v>
      </c>
      <c r="H53" s="270">
        <f>'01 - Dados de Entrada'!$C$39</f>
        <v>0.66039999999999999</v>
      </c>
      <c r="I53" s="46">
        <v>545</v>
      </c>
      <c r="J53" s="46">
        <f t="shared" si="2"/>
        <v>0</v>
      </c>
    </row>
    <row r="54" spans="1:10" s="258" customFormat="1" ht="13.15" customHeight="1" x14ac:dyDescent="0.2">
      <c r="A54" s="261" t="s">
        <v>877</v>
      </c>
      <c r="B54" s="46">
        <f t="shared" si="0"/>
        <v>4151.9815559999997</v>
      </c>
      <c r="C54" s="46">
        <v>2193.89</v>
      </c>
      <c r="D54" s="46">
        <v>0</v>
      </c>
      <c r="E54" s="46"/>
      <c r="F54" s="46"/>
      <c r="G54" s="46">
        <f t="shared" si="1"/>
        <v>2193.89</v>
      </c>
      <c r="H54" s="270">
        <f>'01 - Dados de Entrada'!$C$39</f>
        <v>0.66039999999999999</v>
      </c>
      <c r="I54" s="46">
        <v>436.00000000000006</v>
      </c>
      <c r="J54" s="46">
        <f t="shared" si="2"/>
        <v>73.246600000000001</v>
      </c>
    </row>
    <row r="55" spans="1:10" s="258" customFormat="1" ht="13.15" customHeight="1" x14ac:dyDescent="0.2">
      <c r="A55" s="261" t="s">
        <v>878</v>
      </c>
      <c r="B55" s="46">
        <f t="shared" si="0"/>
        <v>5371.8352000000004</v>
      </c>
      <c r="C55" s="46">
        <v>2888</v>
      </c>
      <c r="D55" s="46">
        <v>0</v>
      </c>
      <c r="E55" s="46"/>
      <c r="F55" s="46"/>
      <c r="G55" s="46">
        <f t="shared" si="1"/>
        <v>2888</v>
      </c>
      <c r="H55" s="270">
        <f>'01 - Dados de Entrada'!$C$39</f>
        <v>0.66039999999999999</v>
      </c>
      <c r="I55" s="46">
        <v>545</v>
      </c>
      <c r="J55" s="46">
        <f t="shared" si="2"/>
        <v>31.599999999999994</v>
      </c>
    </row>
    <row r="56" spans="1:10" s="258" customFormat="1" ht="13.15" customHeight="1" x14ac:dyDescent="0.2">
      <c r="A56" s="261" t="s">
        <v>879</v>
      </c>
      <c r="B56" s="46">
        <f t="shared" si="0"/>
        <v>3221.1409039999999</v>
      </c>
      <c r="C56" s="336">
        <v>1612.26</v>
      </c>
      <c r="D56" s="46">
        <v>0</v>
      </c>
      <c r="E56" s="46"/>
      <c r="F56" s="46"/>
      <c r="G56" s="46">
        <f t="shared" si="1"/>
        <v>1612.26</v>
      </c>
      <c r="H56" s="270">
        <f>'01 - Dados de Entrada'!$C$39</f>
        <v>0.66039999999999999</v>
      </c>
      <c r="I56" s="46">
        <v>436.00000000000006</v>
      </c>
      <c r="J56" s="46">
        <f t="shared" si="2"/>
        <v>108.1444</v>
      </c>
    </row>
    <row r="57" spans="1:10" s="40" customFormat="1" ht="13.15" customHeight="1" x14ac:dyDescent="0.2">
      <c r="A57" s="48"/>
      <c r="B57" s="47"/>
    </row>
    <row r="58" spans="1:10" s="258" customFormat="1" ht="13.15" customHeight="1" x14ac:dyDescent="0.2">
      <c r="A58" s="144" t="s">
        <v>905</v>
      </c>
      <c r="B58" s="266"/>
      <c r="C58" s="259"/>
      <c r="D58" s="259"/>
      <c r="E58" s="259"/>
      <c r="F58" s="259"/>
      <c r="G58" s="259"/>
      <c r="H58" s="259"/>
      <c r="I58" s="259"/>
      <c r="J58" s="259"/>
    </row>
    <row r="59" spans="1:10" s="258" customFormat="1" ht="13.15" customHeight="1" x14ac:dyDescent="0.2">
      <c r="A59" s="15" t="s">
        <v>883</v>
      </c>
      <c r="B59" s="46">
        <f>G59+G59*H59+I59+J59</f>
        <v>4744.8615040000004</v>
      </c>
      <c r="C59" s="335">
        <v>2271.36</v>
      </c>
      <c r="D59" s="46">
        <f>'01 - Dados de Entrada'!$C$36*'01 - Dados de Entrada'!$C$37</f>
        <v>282.40000000000003</v>
      </c>
      <c r="E59" s="46"/>
      <c r="F59" s="46"/>
      <c r="G59" s="46">
        <f>SUM(C59:F59)</f>
        <v>2553.7600000000002</v>
      </c>
      <c r="H59" s="270">
        <f>'01 - Dados de Entrada'!$C$39</f>
        <v>0.66039999999999999</v>
      </c>
      <c r="I59" s="46">
        <v>436.00000000000006</v>
      </c>
      <c r="J59" s="46">
        <f>IF((3.94*52)-0.06*C59&gt;0,(3.94*52)-0.06*C59,0)</f>
        <v>68.598399999999998</v>
      </c>
    </row>
    <row r="60" spans="1:10" s="258" customFormat="1" ht="13.15" customHeight="1" x14ac:dyDescent="0.2">
      <c r="A60" s="15" t="s">
        <v>906</v>
      </c>
      <c r="B60" s="46">
        <f>G60+G60*H60+I60+J60</f>
        <v>4082.9348239999999</v>
      </c>
      <c r="C60" s="336">
        <v>1612.26</v>
      </c>
      <c r="D60" s="46">
        <f>'01 - Dados de Entrada'!$C$36*'01 - Dados de Entrada'!$C$38</f>
        <v>564.80000000000007</v>
      </c>
      <c r="E60" s="46"/>
      <c r="F60" s="46"/>
      <c r="G60" s="46">
        <f>SUM(C60:F60)</f>
        <v>2177.06</v>
      </c>
      <c r="H60" s="270">
        <f>'01 - Dados de Entrada'!$C$39</f>
        <v>0.66039999999999999</v>
      </c>
      <c r="I60" s="46">
        <v>360</v>
      </c>
      <c r="J60" s="46">
        <f>IF((3.94*52)-0.06*C60&gt;0,(3.94*52)-0.06*C60,0)</f>
        <v>108.1444</v>
      </c>
    </row>
    <row r="61" spans="1:10" s="258" customFormat="1" ht="13.15" customHeight="1" x14ac:dyDescent="0.2">
      <c r="A61" s="15" t="s">
        <v>867</v>
      </c>
      <c r="B61" s="46">
        <f>G61+G61*H61+I61+J61</f>
        <v>4641.88</v>
      </c>
      <c r="C61" s="46">
        <v>2500</v>
      </c>
      <c r="D61" s="46"/>
      <c r="E61" s="46"/>
      <c r="F61" s="46"/>
      <c r="G61" s="46">
        <f>SUM(C61:F61)</f>
        <v>2500</v>
      </c>
      <c r="H61" s="270">
        <f>'01 - Dados de Entrada'!$C$39</f>
        <v>0.66039999999999999</v>
      </c>
      <c r="I61" s="46">
        <v>436.00000000000006</v>
      </c>
      <c r="J61" s="46">
        <f>IF((3.94*52)-0.06*C61&gt;0,(3.94*52)-0.06*C61,0)</f>
        <v>54.879999999999995</v>
      </c>
    </row>
    <row r="62" spans="1:10" s="258" customFormat="1" ht="13.15" customHeight="1" x14ac:dyDescent="0.2">
      <c r="A62" s="15" t="s">
        <v>868</v>
      </c>
      <c r="B62" s="46">
        <f>G62+G62*H62+I62+J62</f>
        <v>5551.08</v>
      </c>
      <c r="C62" s="46">
        <v>3000</v>
      </c>
      <c r="D62" s="46"/>
      <c r="E62" s="46"/>
      <c r="F62" s="46"/>
      <c r="G62" s="46">
        <f>SUM(C62:F62)</f>
        <v>3000</v>
      </c>
      <c r="H62" s="270">
        <f>'01 - Dados de Entrada'!$C$39</f>
        <v>0.66039999999999999</v>
      </c>
      <c r="I62" s="46">
        <v>545</v>
      </c>
      <c r="J62" s="46">
        <f>IF((3.94*52)-0.06*C62&gt;0,(3.94*52)-0.06*C62,0)</f>
        <v>24.879999999999995</v>
      </c>
    </row>
    <row r="63" spans="1:10" s="256" customFormat="1" ht="13.15" customHeight="1" x14ac:dyDescent="0.2">
      <c r="A63" s="15" t="s">
        <v>886</v>
      </c>
      <c r="B63" s="504">
        <f>G63+G63*H63+I63+J63</f>
        <v>4082.9348239999999</v>
      </c>
      <c r="C63" s="336">
        <v>1612.26</v>
      </c>
      <c r="D63" s="46">
        <f>'01 - Dados de Entrada'!$C$36*'01 - Dados de Entrada'!$C$38</f>
        <v>564.80000000000007</v>
      </c>
      <c r="E63" s="46"/>
      <c r="F63" s="504"/>
      <c r="G63" s="504">
        <f>SUM(C63:F63)</f>
        <v>2177.06</v>
      </c>
      <c r="H63" s="505">
        <f>'01 - Dados de Entrada'!$C$39</f>
        <v>0.66039999999999999</v>
      </c>
      <c r="I63" s="504">
        <v>360</v>
      </c>
      <c r="J63" s="504">
        <f>IF((3.94*52)-0.06*C63&gt;0,(3.94*52)-0.06*C63,0)</f>
        <v>108.1444</v>
      </c>
    </row>
  </sheetData>
  <pageMargins left="0.51181102362204722" right="0.51181102362204722" top="0.78740157480314965" bottom="0.78740157480314965" header="0.31496062992125984" footer="0.31496062992125984"/>
  <pageSetup paperSize="9" scale="6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7"/>
  <dimension ref="A1:AK90"/>
  <sheetViews>
    <sheetView zoomScale="85" zoomScaleNormal="85" workbookViewId="0">
      <pane xSplit="1" ySplit="5" topLeftCell="B39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8.7109375" defaultRowHeight="12.75" x14ac:dyDescent="0.2"/>
  <cols>
    <col min="1" max="1" width="72.7109375" style="13" customWidth="1"/>
    <col min="2" max="2" width="16.7109375" style="13" customWidth="1"/>
    <col min="3" max="32" width="12.28515625" style="14" bestFit="1" customWidth="1"/>
    <col min="33" max="37" width="12.28515625" style="14" customWidth="1"/>
    <col min="38" max="16384" width="8.7109375" style="14"/>
  </cols>
  <sheetData>
    <row r="1" spans="1:37" s="68" customFormat="1" ht="13.15" customHeight="1" x14ac:dyDescent="0.2">
      <c r="A1" s="21" t="s">
        <v>0</v>
      </c>
      <c r="B1" s="21"/>
      <c r="C1" s="67"/>
    </row>
    <row r="2" spans="1:37" s="68" customFormat="1" ht="13.15" customHeight="1" x14ac:dyDescent="0.2">
      <c r="A2" s="21" t="s">
        <v>1</v>
      </c>
      <c r="B2" s="21"/>
      <c r="C2" s="67"/>
    </row>
    <row r="3" spans="1:37" s="68" customFormat="1" ht="13.15" customHeight="1" x14ac:dyDescent="0.2">
      <c r="A3" s="21" t="s">
        <v>907</v>
      </c>
      <c r="B3" s="21"/>
      <c r="C3" s="67"/>
    </row>
    <row r="4" spans="1:37" ht="13.15" customHeight="1" x14ac:dyDescent="0.2"/>
    <row r="5" spans="1:37" ht="42" customHeight="1" x14ac:dyDescent="0.2">
      <c r="A5" s="11" t="s">
        <v>833</v>
      </c>
      <c r="B5" s="262" t="s">
        <v>71</v>
      </c>
      <c r="C5" s="9" t="s">
        <v>775</v>
      </c>
      <c r="D5" s="9" t="s">
        <v>776</v>
      </c>
      <c r="E5" s="9" t="s">
        <v>777</v>
      </c>
      <c r="F5" s="9" t="s">
        <v>778</v>
      </c>
      <c r="G5" s="9" t="s">
        <v>779</v>
      </c>
      <c r="H5" s="9" t="s">
        <v>780</v>
      </c>
      <c r="I5" s="9" t="s">
        <v>781</v>
      </c>
      <c r="J5" s="9" t="s">
        <v>782</v>
      </c>
      <c r="K5" s="9" t="s">
        <v>783</v>
      </c>
      <c r="L5" s="9" t="s">
        <v>717</v>
      </c>
      <c r="M5" s="9" t="s">
        <v>718</v>
      </c>
      <c r="N5" s="9" t="s">
        <v>719</v>
      </c>
      <c r="O5" s="9" t="s">
        <v>720</v>
      </c>
      <c r="P5" s="9" t="s">
        <v>721</v>
      </c>
      <c r="Q5" s="9" t="s">
        <v>722</v>
      </c>
      <c r="R5" s="9" t="s">
        <v>723</v>
      </c>
      <c r="S5" s="9" t="s">
        <v>724</v>
      </c>
      <c r="T5" s="9" t="s">
        <v>725</v>
      </c>
      <c r="U5" s="9" t="s">
        <v>726</v>
      </c>
      <c r="V5" s="9" t="s">
        <v>727</v>
      </c>
      <c r="W5" s="9" t="s">
        <v>728</v>
      </c>
      <c r="X5" s="9" t="s">
        <v>729</v>
      </c>
      <c r="Y5" s="9" t="s">
        <v>730</v>
      </c>
      <c r="Z5" s="9" t="s">
        <v>731</v>
      </c>
      <c r="AA5" s="9" t="s">
        <v>732</v>
      </c>
      <c r="AB5" s="9" t="s">
        <v>733</v>
      </c>
      <c r="AC5" s="9" t="s">
        <v>734</v>
      </c>
      <c r="AD5" s="9" t="s">
        <v>735</v>
      </c>
      <c r="AE5" s="9" t="s">
        <v>736</v>
      </c>
      <c r="AF5" s="9" t="s">
        <v>737</v>
      </c>
      <c r="AG5" s="9" t="s">
        <v>738</v>
      </c>
      <c r="AH5" s="9" t="s">
        <v>739</v>
      </c>
      <c r="AI5" s="9" t="s">
        <v>740</v>
      </c>
      <c r="AJ5" s="9" t="s">
        <v>741</v>
      </c>
      <c r="AK5" s="9" t="s">
        <v>742</v>
      </c>
    </row>
    <row r="6" spans="1:37" ht="13.15" customHeight="1" x14ac:dyDescent="0.2">
      <c r="A6" s="15" t="s">
        <v>834</v>
      </c>
      <c r="B6" s="453">
        <f>SUM(C6:AK6)</f>
        <v>5352740.5759799974</v>
      </c>
      <c r="C6" s="499">
        <f xml:space="preserve"> ( C$18 )</f>
        <v>152935.44502799999</v>
      </c>
      <c r="D6" s="499">
        <f t="shared" ref="D6:AK6" si="0" xml:space="preserve"> ( D$18 )</f>
        <v>152935.44502799999</v>
      </c>
      <c r="E6" s="499">
        <f t="shared" si="0"/>
        <v>152935.44502799999</v>
      </c>
      <c r="F6" s="499">
        <f t="shared" si="0"/>
        <v>152935.44502799999</v>
      </c>
      <c r="G6" s="499">
        <f t="shared" si="0"/>
        <v>152935.44502799999</v>
      </c>
      <c r="H6" s="499">
        <f t="shared" si="0"/>
        <v>152935.44502799999</v>
      </c>
      <c r="I6" s="499">
        <f t="shared" si="0"/>
        <v>152935.44502799999</v>
      </c>
      <c r="J6" s="499">
        <f t="shared" si="0"/>
        <v>152935.44502799999</v>
      </c>
      <c r="K6" s="499">
        <f t="shared" si="0"/>
        <v>152935.44502799999</v>
      </c>
      <c r="L6" s="499">
        <f t="shared" si="0"/>
        <v>152935.44502799999</v>
      </c>
      <c r="M6" s="499">
        <f t="shared" si="0"/>
        <v>152935.44502799999</v>
      </c>
      <c r="N6" s="499">
        <f t="shared" si="0"/>
        <v>152935.44502799999</v>
      </c>
      <c r="O6" s="499">
        <f t="shared" si="0"/>
        <v>152935.44502799999</v>
      </c>
      <c r="P6" s="499">
        <f t="shared" si="0"/>
        <v>152935.44502799999</v>
      </c>
      <c r="Q6" s="499">
        <f t="shared" si="0"/>
        <v>152935.44502799999</v>
      </c>
      <c r="R6" s="499">
        <f t="shared" si="0"/>
        <v>152935.44502799999</v>
      </c>
      <c r="S6" s="499">
        <f t="shared" si="0"/>
        <v>152935.44502799999</v>
      </c>
      <c r="T6" s="499">
        <f t="shared" si="0"/>
        <v>152935.44502799999</v>
      </c>
      <c r="U6" s="499">
        <f t="shared" si="0"/>
        <v>152935.44502799999</v>
      </c>
      <c r="V6" s="499">
        <f t="shared" si="0"/>
        <v>152935.44502799999</v>
      </c>
      <c r="W6" s="499">
        <f t="shared" si="0"/>
        <v>152935.44502799999</v>
      </c>
      <c r="X6" s="499">
        <f t="shared" si="0"/>
        <v>152935.44502799999</v>
      </c>
      <c r="Y6" s="499">
        <f t="shared" si="0"/>
        <v>152935.44502799999</v>
      </c>
      <c r="Z6" s="499">
        <f t="shared" si="0"/>
        <v>152935.44502799999</v>
      </c>
      <c r="AA6" s="499">
        <f t="shared" si="0"/>
        <v>152935.44502799999</v>
      </c>
      <c r="AB6" s="499">
        <f t="shared" si="0"/>
        <v>152935.44502799999</v>
      </c>
      <c r="AC6" s="499">
        <f t="shared" si="0"/>
        <v>152935.44502799999</v>
      </c>
      <c r="AD6" s="499">
        <f t="shared" si="0"/>
        <v>152935.44502799999</v>
      </c>
      <c r="AE6" s="499">
        <f t="shared" si="0"/>
        <v>152935.44502799999</v>
      </c>
      <c r="AF6" s="499">
        <f t="shared" si="0"/>
        <v>152935.44502799999</v>
      </c>
      <c r="AG6" s="499">
        <f t="shared" si="0"/>
        <v>152935.44502799999</v>
      </c>
      <c r="AH6" s="499">
        <f t="shared" si="0"/>
        <v>152935.44502799999</v>
      </c>
      <c r="AI6" s="499">
        <f t="shared" si="0"/>
        <v>152935.44502799999</v>
      </c>
      <c r="AJ6" s="499">
        <f t="shared" si="0"/>
        <v>152935.44502799999</v>
      </c>
      <c r="AK6" s="499">
        <f t="shared" si="0"/>
        <v>152935.44502799999</v>
      </c>
    </row>
    <row r="7" spans="1:37" ht="13.15" customHeight="1" x14ac:dyDescent="0.2">
      <c r="A7" s="15" t="s">
        <v>801</v>
      </c>
      <c r="B7" s="453">
        <f t="shared" ref="B7:B15" si="1">SUM(C7:AK7)</f>
        <v>735634.22800000012</v>
      </c>
      <c r="C7" s="499">
        <f xml:space="preserve"> ( C$40 )</f>
        <v>21018.120800000001</v>
      </c>
      <c r="D7" s="499">
        <f t="shared" ref="D7:AK7" si="2" xml:space="preserve"> ( D$40 )</f>
        <v>21018.120800000001</v>
      </c>
      <c r="E7" s="499">
        <f t="shared" si="2"/>
        <v>21018.120800000001</v>
      </c>
      <c r="F7" s="499">
        <f t="shared" si="2"/>
        <v>21018.120800000001</v>
      </c>
      <c r="G7" s="499">
        <f t="shared" si="2"/>
        <v>21018.120800000001</v>
      </c>
      <c r="H7" s="499">
        <f t="shared" si="2"/>
        <v>21018.120800000001</v>
      </c>
      <c r="I7" s="499">
        <f t="shared" si="2"/>
        <v>21018.120800000001</v>
      </c>
      <c r="J7" s="499">
        <f t="shared" si="2"/>
        <v>21018.120800000001</v>
      </c>
      <c r="K7" s="499">
        <f t="shared" si="2"/>
        <v>21018.120800000001</v>
      </c>
      <c r="L7" s="499">
        <f t="shared" si="2"/>
        <v>21018.120800000001</v>
      </c>
      <c r="M7" s="499">
        <f t="shared" si="2"/>
        <v>21018.120800000001</v>
      </c>
      <c r="N7" s="499">
        <f t="shared" si="2"/>
        <v>21018.120800000001</v>
      </c>
      <c r="O7" s="499">
        <f t="shared" si="2"/>
        <v>21018.120800000001</v>
      </c>
      <c r="P7" s="499">
        <f t="shared" si="2"/>
        <v>21018.120800000001</v>
      </c>
      <c r="Q7" s="499">
        <f t="shared" si="2"/>
        <v>21018.120800000001</v>
      </c>
      <c r="R7" s="499">
        <f t="shared" si="2"/>
        <v>21018.120800000001</v>
      </c>
      <c r="S7" s="499">
        <f t="shared" si="2"/>
        <v>21018.120800000001</v>
      </c>
      <c r="T7" s="499">
        <f t="shared" si="2"/>
        <v>21018.120800000001</v>
      </c>
      <c r="U7" s="499">
        <f t="shared" si="2"/>
        <v>21018.120800000001</v>
      </c>
      <c r="V7" s="499">
        <f t="shared" si="2"/>
        <v>21018.120800000001</v>
      </c>
      <c r="W7" s="499">
        <f t="shared" si="2"/>
        <v>21018.120800000001</v>
      </c>
      <c r="X7" s="499">
        <f t="shared" si="2"/>
        <v>21018.120800000001</v>
      </c>
      <c r="Y7" s="499">
        <f t="shared" si="2"/>
        <v>21018.120800000001</v>
      </c>
      <c r="Z7" s="499">
        <f t="shared" si="2"/>
        <v>21018.120800000001</v>
      </c>
      <c r="AA7" s="499">
        <f t="shared" si="2"/>
        <v>21018.120800000001</v>
      </c>
      <c r="AB7" s="499">
        <f t="shared" si="2"/>
        <v>21018.120800000001</v>
      </c>
      <c r="AC7" s="499">
        <f t="shared" si="2"/>
        <v>21018.120800000001</v>
      </c>
      <c r="AD7" s="499">
        <f t="shared" si="2"/>
        <v>21018.120800000001</v>
      </c>
      <c r="AE7" s="499">
        <f t="shared" si="2"/>
        <v>21018.120800000001</v>
      </c>
      <c r="AF7" s="499">
        <f t="shared" si="2"/>
        <v>21018.120800000001</v>
      </c>
      <c r="AG7" s="499">
        <f t="shared" si="2"/>
        <v>21018.120800000001</v>
      </c>
      <c r="AH7" s="499">
        <f t="shared" si="2"/>
        <v>21018.120800000001</v>
      </c>
      <c r="AI7" s="499">
        <f t="shared" si="2"/>
        <v>21018.120800000001</v>
      </c>
      <c r="AJ7" s="499">
        <f t="shared" si="2"/>
        <v>21018.120800000001</v>
      </c>
      <c r="AK7" s="499">
        <f t="shared" si="2"/>
        <v>21018.120800000001</v>
      </c>
    </row>
    <row r="8" spans="1:37" ht="13.15" customHeight="1" x14ac:dyDescent="0.2">
      <c r="A8" s="15" t="s">
        <v>835</v>
      </c>
      <c r="B8" s="453">
        <f t="shared" si="1"/>
        <v>18143233.765368</v>
      </c>
      <c r="C8" s="499">
        <f>C43</f>
        <v>466682.72770400008</v>
      </c>
      <c r="D8" s="499">
        <f t="shared" ref="D8:AF8" si="3">D43</f>
        <v>466682.72770400008</v>
      </c>
      <c r="E8" s="499">
        <f t="shared" si="3"/>
        <v>466682.72770400008</v>
      </c>
      <c r="F8" s="499">
        <f t="shared" si="3"/>
        <v>466682.72770400008</v>
      </c>
      <c r="G8" s="499">
        <f t="shared" si="3"/>
        <v>466682.72770400008</v>
      </c>
      <c r="H8" s="499">
        <f t="shared" si="3"/>
        <v>511031.51598400006</v>
      </c>
      <c r="I8" s="499">
        <f t="shared" si="3"/>
        <v>511031.51598400006</v>
      </c>
      <c r="J8" s="499">
        <f t="shared" si="3"/>
        <v>528134.18195999996</v>
      </c>
      <c r="K8" s="499">
        <f t="shared" si="3"/>
        <v>528134.18195999996</v>
      </c>
      <c r="L8" s="499">
        <f t="shared" si="3"/>
        <v>528134.18195999996</v>
      </c>
      <c r="M8" s="499">
        <f t="shared" si="3"/>
        <v>528134.18195999996</v>
      </c>
      <c r="N8" s="499">
        <f t="shared" si="3"/>
        <v>528134.18195999996</v>
      </c>
      <c r="O8" s="499">
        <f t="shared" si="3"/>
        <v>528134.18195999996</v>
      </c>
      <c r="P8" s="499">
        <f t="shared" si="3"/>
        <v>528134.18195999996</v>
      </c>
      <c r="Q8" s="499">
        <f t="shared" si="3"/>
        <v>528134.18195999996</v>
      </c>
      <c r="R8" s="499">
        <f t="shared" si="3"/>
        <v>528134.18195999996</v>
      </c>
      <c r="S8" s="499">
        <f t="shared" si="3"/>
        <v>528134.18195999996</v>
      </c>
      <c r="T8" s="499">
        <f t="shared" si="3"/>
        <v>528134.18195999996</v>
      </c>
      <c r="U8" s="499">
        <f t="shared" si="3"/>
        <v>528134.18195999996</v>
      </c>
      <c r="V8" s="499">
        <f t="shared" si="3"/>
        <v>528134.18195999996</v>
      </c>
      <c r="W8" s="499">
        <f t="shared" si="3"/>
        <v>528134.18195999996</v>
      </c>
      <c r="X8" s="499">
        <f t="shared" si="3"/>
        <v>528134.18195999996</v>
      </c>
      <c r="Y8" s="499">
        <f t="shared" si="3"/>
        <v>528134.18195999996</v>
      </c>
      <c r="Z8" s="499">
        <f t="shared" si="3"/>
        <v>528134.18195999996</v>
      </c>
      <c r="AA8" s="499">
        <f t="shared" si="3"/>
        <v>528134.18195999996</v>
      </c>
      <c r="AB8" s="499">
        <f t="shared" si="3"/>
        <v>528134.18195999996</v>
      </c>
      <c r="AC8" s="499">
        <f t="shared" si="3"/>
        <v>528134.18195999996</v>
      </c>
      <c r="AD8" s="499">
        <f t="shared" si="3"/>
        <v>528134.18195999996</v>
      </c>
      <c r="AE8" s="499">
        <f t="shared" si="3"/>
        <v>528134.18195999996</v>
      </c>
      <c r="AF8" s="499">
        <f t="shared" si="3"/>
        <v>528134.18195999996</v>
      </c>
      <c r="AG8" s="499">
        <f>AG43</f>
        <v>528134.18195999996</v>
      </c>
      <c r="AH8" s="499">
        <f>AH43</f>
        <v>528134.18195999996</v>
      </c>
      <c r="AI8" s="499">
        <f>AI43</f>
        <v>528134.18195999996</v>
      </c>
      <c r="AJ8" s="499">
        <f>AJ43</f>
        <v>528134.18195999996</v>
      </c>
      <c r="AK8" s="499">
        <f>AK43</f>
        <v>528134.18195999996</v>
      </c>
    </row>
    <row r="9" spans="1:37" s="256" customFormat="1" ht="13.15" customHeight="1" x14ac:dyDescent="0.2">
      <c r="A9" s="32" t="s">
        <v>836</v>
      </c>
      <c r="B9" s="454">
        <f>SUM(C9:AK9)</f>
        <v>1253460.9909679997</v>
      </c>
      <c r="C9" s="496">
        <f>C54</f>
        <v>20414.67412</v>
      </c>
      <c r="D9" s="496">
        <f t="shared" ref="D9:AK9" si="4">D54</f>
        <v>28580.543768</v>
      </c>
      <c r="E9" s="496">
        <f t="shared" si="4"/>
        <v>32663.478591999999</v>
      </c>
      <c r="F9" s="496">
        <f t="shared" si="4"/>
        <v>32663.478591999999</v>
      </c>
      <c r="G9" s="496">
        <f t="shared" si="4"/>
        <v>36746.413415999996</v>
      </c>
      <c r="H9" s="496">
        <f t="shared" si="4"/>
        <v>36746.413415999996</v>
      </c>
      <c r="I9" s="496">
        <f t="shared" si="4"/>
        <v>36746.413415999996</v>
      </c>
      <c r="J9" s="496">
        <f t="shared" si="4"/>
        <v>36746.413415999996</v>
      </c>
      <c r="K9" s="496">
        <f t="shared" si="4"/>
        <v>36746.413415999996</v>
      </c>
      <c r="L9" s="496">
        <f t="shared" si="4"/>
        <v>36746.413415999996</v>
      </c>
      <c r="M9" s="496">
        <f t="shared" si="4"/>
        <v>36746.413415999996</v>
      </c>
      <c r="N9" s="496">
        <f t="shared" si="4"/>
        <v>36746.413415999996</v>
      </c>
      <c r="O9" s="496">
        <f t="shared" si="4"/>
        <v>36746.413415999996</v>
      </c>
      <c r="P9" s="496">
        <f t="shared" si="4"/>
        <v>36746.413415999996</v>
      </c>
      <c r="Q9" s="496">
        <f t="shared" si="4"/>
        <v>36746.413415999996</v>
      </c>
      <c r="R9" s="496">
        <f t="shared" si="4"/>
        <v>36746.413415999996</v>
      </c>
      <c r="S9" s="496">
        <f t="shared" si="4"/>
        <v>36746.413415999996</v>
      </c>
      <c r="T9" s="496">
        <f t="shared" si="4"/>
        <v>36746.413415999996</v>
      </c>
      <c r="U9" s="496">
        <f t="shared" si="4"/>
        <v>36746.413415999996</v>
      </c>
      <c r="V9" s="496">
        <f t="shared" si="4"/>
        <v>36746.413415999996</v>
      </c>
      <c r="W9" s="496">
        <f t="shared" si="4"/>
        <v>36746.413415999996</v>
      </c>
      <c r="X9" s="496">
        <f t="shared" si="4"/>
        <v>36746.413415999996</v>
      </c>
      <c r="Y9" s="496">
        <f t="shared" si="4"/>
        <v>36746.413415999996</v>
      </c>
      <c r="Z9" s="496">
        <f t="shared" si="4"/>
        <v>36746.413415999996</v>
      </c>
      <c r="AA9" s="496">
        <f t="shared" si="4"/>
        <v>36746.413415999996</v>
      </c>
      <c r="AB9" s="496">
        <f t="shared" si="4"/>
        <v>36746.413415999996</v>
      </c>
      <c r="AC9" s="496">
        <f t="shared" si="4"/>
        <v>36746.413415999996</v>
      </c>
      <c r="AD9" s="496">
        <f t="shared" si="4"/>
        <v>36746.413415999996</v>
      </c>
      <c r="AE9" s="496">
        <f t="shared" si="4"/>
        <v>36746.413415999996</v>
      </c>
      <c r="AF9" s="496">
        <f t="shared" si="4"/>
        <v>36746.413415999996</v>
      </c>
      <c r="AG9" s="496">
        <f t="shared" si="4"/>
        <v>36746.413415999996</v>
      </c>
      <c r="AH9" s="496">
        <f t="shared" si="4"/>
        <v>36746.413415999996</v>
      </c>
      <c r="AI9" s="496">
        <f t="shared" si="4"/>
        <v>36746.413415999996</v>
      </c>
      <c r="AJ9" s="496">
        <f t="shared" si="4"/>
        <v>36746.413415999996</v>
      </c>
      <c r="AK9" s="496">
        <f t="shared" si="4"/>
        <v>36746.413415999996</v>
      </c>
    </row>
    <row r="10" spans="1:37" s="256" customFormat="1" ht="13.15" customHeight="1" x14ac:dyDescent="0.2">
      <c r="A10" s="460" t="s">
        <v>837</v>
      </c>
      <c r="B10" s="454">
        <f>SUM(C10:AK10)</f>
        <v>339770.30528000003</v>
      </c>
      <c r="C10" s="496">
        <f>C57</f>
        <v>9707.7230080000008</v>
      </c>
      <c r="D10" s="496">
        <f t="shared" ref="D10:AK10" si="5">D57</f>
        <v>9707.7230080000008</v>
      </c>
      <c r="E10" s="496">
        <f t="shared" si="5"/>
        <v>9707.7230080000008</v>
      </c>
      <c r="F10" s="496">
        <f t="shared" si="5"/>
        <v>9707.7230080000008</v>
      </c>
      <c r="G10" s="496">
        <f t="shared" si="5"/>
        <v>9707.7230080000008</v>
      </c>
      <c r="H10" s="496">
        <f t="shared" si="5"/>
        <v>9707.7230080000008</v>
      </c>
      <c r="I10" s="496">
        <f t="shared" si="5"/>
        <v>9707.7230080000008</v>
      </c>
      <c r="J10" s="496">
        <f t="shared" si="5"/>
        <v>9707.7230080000008</v>
      </c>
      <c r="K10" s="496">
        <f t="shared" si="5"/>
        <v>9707.7230080000008</v>
      </c>
      <c r="L10" s="496">
        <f t="shared" si="5"/>
        <v>9707.7230080000008</v>
      </c>
      <c r="M10" s="496">
        <f t="shared" si="5"/>
        <v>9707.7230080000008</v>
      </c>
      <c r="N10" s="496">
        <f t="shared" si="5"/>
        <v>9707.7230080000008</v>
      </c>
      <c r="O10" s="496">
        <f t="shared" si="5"/>
        <v>9707.7230080000008</v>
      </c>
      <c r="P10" s="496">
        <f t="shared" si="5"/>
        <v>9707.7230080000008</v>
      </c>
      <c r="Q10" s="496">
        <f t="shared" si="5"/>
        <v>9707.7230080000008</v>
      </c>
      <c r="R10" s="496">
        <f t="shared" si="5"/>
        <v>9707.7230080000008</v>
      </c>
      <c r="S10" s="496">
        <f t="shared" si="5"/>
        <v>9707.7230080000008</v>
      </c>
      <c r="T10" s="496">
        <f t="shared" si="5"/>
        <v>9707.7230080000008</v>
      </c>
      <c r="U10" s="496">
        <f t="shared" si="5"/>
        <v>9707.7230080000008</v>
      </c>
      <c r="V10" s="496">
        <f t="shared" si="5"/>
        <v>9707.7230080000008</v>
      </c>
      <c r="W10" s="496">
        <f t="shared" si="5"/>
        <v>9707.7230080000008</v>
      </c>
      <c r="X10" s="496">
        <f t="shared" si="5"/>
        <v>9707.7230080000008</v>
      </c>
      <c r="Y10" s="496">
        <f t="shared" si="5"/>
        <v>9707.7230080000008</v>
      </c>
      <c r="Z10" s="496">
        <f t="shared" si="5"/>
        <v>9707.7230080000008</v>
      </c>
      <c r="AA10" s="496">
        <f t="shared" si="5"/>
        <v>9707.7230080000008</v>
      </c>
      <c r="AB10" s="496">
        <f t="shared" si="5"/>
        <v>9707.7230080000008</v>
      </c>
      <c r="AC10" s="496">
        <f t="shared" si="5"/>
        <v>9707.7230080000008</v>
      </c>
      <c r="AD10" s="496">
        <f t="shared" si="5"/>
        <v>9707.7230080000008</v>
      </c>
      <c r="AE10" s="496">
        <f t="shared" si="5"/>
        <v>9707.7230080000008</v>
      </c>
      <c r="AF10" s="496">
        <f t="shared" si="5"/>
        <v>9707.7230080000008</v>
      </c>
      <c r="AG10" s="496">
        <f t="shared" si="5"/>
        <v>9707.7230080000008</v>
      </c>
      <c r="AH10" s="496">
        <f t="shared" si="5"/>
        <v>9707.7230080000008</v>
      </c>
      <c r="AI10" s="496">
        <f t="shared" si="5"/>
        <v>9707.7230080000008</v>
      </c>
      <c r="AJ10" s="496">
        <f t="shared" si="5"/>
        <v>9707.7230080000008</v>
      </c>
      <c r="AK10" s="496">
        <f t="shared" si="5"/>
        <v>9707.7230080000008</v>
      </c>
    </row>
    <row r="11" spans="1:37" s="256" customFormat="1" ht="13.15" customHeight="1" x14ac:dyDescent="0.2">
      <c r="A11" s="32" t="s">
        <v>800</v>
      </c>
      <c r="B11" s="454">
        <f t="shared" si="1"/>
        <v>1924495.7942000006</v>
      </c>
      <c r="C11" s="496">
        <f>C59</f>
        <v>54985.594119999994</v>
      </c>
      <c r="D11" s="496">
        <f t="shared" ref="D11:AF11" si="6">D59</f>
        <v>54985.594119999994</v>
      </c>
      <c r="E11" s="496">
        <f t="shared" si="6"/>
        <v>54985.594119999994</v>
      </c>
      <c r="F11" s="496">
        <f t="shared" si="6"/>
        <v>54985.594119999994</v>
      </c>
      <c r="G11" s="496">
        <f t="shared" si="6"/>
        <v>54985.594119999994</v>
      </c>
      <c r="H11" s="496">
        <f t="shared" si="6"/>
        <v>54985.594119999994</v>
      </c>
      <c r="I11" s="496">
        <f t="shared" si="6"/>
        <v>54985.594119999994</v>
      </c>
      <c r="J11" s="496">
        <f t="shared" si="6"/>
        <v>54985.594119999994</v>
      </c>
      <c r="K11" s="496">
        <f t="shared" si="6"/>
        <v>54985.594119999994</v>
      </c>
      <c r="L11" s="496">
        <f t="shared" si="6"/>
        <v>54985.594119999994</v>
      </c>
      <c r="M11" s="496">
        <f t="shared" si="6"/>
        <v>54985.594119999994</v>
      </c>
      <c r="N11" s="496">
        <f t="shared" si="6"/>
        <v>54985.594119999994</v>
      </c>
      <c r="O11" s="496">
        <f t="shared" si="6"/>
        <v>54985.594119999994</v>
      </c>
      <c r="P11" s="496">
        <f t="shared" si="6"/>
        <v>54985.594119999994</v>
      </c>
      <c r="Q11" s="496">
        <f t="shared" si="6"/>
        <v>54985.594119999994</v>
      </c>
      <c r="R11" s="496">
        <f t="shared" si="6"/>
        <v>54985.594119999994</v>
      </c>
      <c r="S11" s="496">
        <f t="shared" si="6"/>
        <v>54985.594119999994</v>
      </c>
      <c r="T11" s="496">
        <f t="shared" si="6"/>
        <v>54985.594119999994</v>
      </c>
      <c r="U11" s="496">
        <f t="shared" si="6"/>
        <v>54985.594119999994</v>
      </c>
      <c r="V11" s="496">
        <f t="shared" si="6"/>
        <v>54985.594119999994</v>
      </c>
      <c r="W11" s="496">
        <f t="shared" si="6"/>
        <v>54985.594119999994</v>
      </c>
      <c r="X11" s="496">
        <f t="shared" si="6"/>
        <v>54985.594119999994</v>
      </c>
      <c r="Y11" s="496">
        <f t="shared" si="6"/>
        <v>54985.594119999994</v>
      </c>
      <c r="Z11" s="496">
        <f t="shared" si="6"/>
        <v>54985.594119999994</v>
      </c>
      <c r="AA11" s="496">
        <f t="shared" si="6"/>
        <v>54985.594119999994</v>
      </c>
      <c r="AB11" s="496">
        <f t="shared" si="6"/>
        <v>54985.594119999994</v>
      </c>
      <c r="AC11" s="496">
        <f t="shared" si="6"/>
        <v>54985.594119999994</v>
      </c>
      <c r="AD11" s="496">
        <f t="shared" si="6"/>
        <v>54985.594119999994</v>
      </c>
      <c r="AE11" s="496">
        <f t="shared" si="6"/>
        <v>54985.594119999994</v>
      </c>
      <c r="AF11" s="496">
        <f t="shared" si="6"/>
        <v>54985.594119999994</v>
      </c>
      <c r="AG11" s="496">
        <f>AG59</f>
        <v>54985.594119999994</v>
      </c>
      <c r="AH11" s="496">
        <f>AH59</f>
        <v>54985.594119999994</v>
      </c>
      <c r="AI11" s="496">
        <f>AI59</f>
        <v>54985.594119999994</v>
      </c>
      <c r="AJ11" s="496">
        <f>AJ59</f>
        <v>54985.594119999994</v>
      </c>
      <c r="AK11" s="496">
        <f>AK59</f>
        <v>54985.594119999994</v>
      </c>
    </row>
    <row r="12" spans="1:37" s="258" customFormat="1" ht="13.15" customHeight="1" x14ac:dyDescent="0.2">
      <c r="A12" s="32" t="s">
        <v>880</v>
      </c>
      <c r="B12" s="454">
        <f t="shared" si="1"/>
        <v>6828660.6018399959</v>
      </c>
      <c r="C12" s="469">
        <f>C67</f>
        <v>195104.588624</v>
      </c>
      <c r="D12" s="469">
        <f t="shared" ref="D12:AF12" si="7">D67</f>
        <v>195104.588624</v>
      </c>
      <c r="E12" s="469">
        <f t="shared" si="7"/>
        <v>195104.588624</v>
      </c>
      <c r="F12" s="469">
        <f t="shared" si="7"/>
        <v>195104.588624</v>
      </c>
      <c r="G12" s="469">
        <f t="shared" si="7"/>
        <v>195104.588624</v>
      </c>
      <c r="H12" s="469">
        <f t="shared" si="7"/>
        <v>195104.588624</v>
      </c>
      <c r="I12" s="469">
        <f t="shared" si="7"/>
        <v>195104.588624</v>
      </c>
      <c r="J12" s="469">
        <f t="shared" si="7"/>
        <v>195104.588624</v>
      </c>
      <c r="K12" s="469">
        <f t="shared" si="7"/>
        <v>195104.588624</v>
      </c>
      <c r="L12" s="469">
        <f t="shared" si="7"/>
        <v>195104.588624</v>
      </c>
      <c r="M12" s="469">
        <f t="shared" si="7"/>
        <v>195104.588624</v>
      </c>
      <c r="N12" s="469">
        <f t="shared" si="7"/>
        <v>195104.588624</v>
      </c>
      <c r="O12" s="469">
        <f t="shared" si="7"/>
        <v>195104.588624</v>
      </c>
      <c r="P12" s="469">
        <f t="shared" si="7"/>
        <v>195104.588624</v>
      </c>
      <c r="Q12" s="469">
        <f t="shared" si="7"/>
        <v>195104.588624</v>
      </c>
      <c r="R12" s="469">
        <f t="shared" si="7"/>
        <v>195104.588624</v>
      </c>
      <c r="S12" s="469">
        <f t="shared" si="7"/>
        <v>195104.588624</v>
      </c>
      <c r="T12" s="469">
        <f t="shared" si="7"/>
        <v>195104.588624</v>
      </c>
      <c r="U12" s="469">
        <f t="shared" si="7"/>
        <v>195104.588624</v>
      </c>
      <c r="V12" s="469">
        <f t="shared" si="7"/>
        <v>195104.588624</v>
      </c>
      <c r="W12" s="469">
        <f t="shared" si="7"/>
        <v>195104.588624</v>
      </c>
      <c r="X12" s="469">
        <f t="shared" si="7"/>
        <v>195104.588624</v>
      </c>
      <c r="Y12" s="469">
        <f t="shared" si="7"/>
        <v>195104.588624</v>
      </c>
      <c r="Z12" s="469">
        <f t="shared" si="7"/>
        <v>195104.588624</v>
      </c>
      <c r="AA12" s="469">
        <f t="shared" si="7"/>
        <v>195104.588624</v>
      </c>
      <c r="AB12" s="469">
        <f t="shared" si="7"/>
        <v>195104.588624</v>
      </c>
      <c r="AC12" s="469">
        <f t="shared" si="7"/>
        <v>195104.588624</v>
      </c>
      <c r="AD12" s="469">
        <f t="shared" si="7"/>
        <v>195104.588624</v>
      </c>
      <c r="AE12" s="469">
        <f t="shared" si="7"/>
        <v>195104.588624</v>
      </c>
      <c r="AF12" s="469">
        <f t="shared" si="7"/>
        <v>195104.588624</v>
      </c>
      <c r="AG12" s="469">
        <f>AG67</f>
        <v>195104.588624</v>
      </c>
      <c r="AH12" s="469">
        <f>AH67</f>
        <v>195104.588624</v>
      </c>
      <c r="AI12" s="469">
        <f>AI67</f>
        <v>195104.588624</v>
      </c>
      <c r="AJ12" s="469">
        <f>AJ67</f>
        <v>195104.588624</v>
      </c>
      <c r="AK12" s="469">
        <f>AK67</f>
        <v>195104.588624</v>
      </c>
    </row>
    <row r="13" spans="1:37" s="258" customFormat="1" ht="13.15" customHeight="1" x14ac:dyDescent="0.2">
      <c r="A13" s="461" t="s">
        <v>839</v>
      </c>
      <c r="B13" s="454">
        <f t="shared" si="1"/>
        <v>3661633.3535599979</v>
      </c>
      <c r="C13" s="469">
        <f>C71</f>
        <v>104618.095816</v>
      </c>
      <c r="D13" s="469">
        <f t="shared" ref="D13:AK13" si="8">D71</f>
        <v>104618.095816</v>
      </c>
      <c r="E13" s="469">
        <f t="shared" si="8"/>
        <v>104618.095816</v>
      </c>
      <c r="F13" s="469">
        <f t="shared" si="8"/>
        <v>104618.095816</v>
      </c>
      <c r="G13" s="469">
        <f t="shared" si="8"/>
        <v>104618.095816</v>
      </c>
      <c r="H13" s="469">
        <f t="shared" si="8"/>
        <v>104618.095816</v>
      </c>
      <c r="I13" s="469">
        <f t="shared" si="8"/>
        <v>104618.095816</v>
      </c>
      <c r="J13" s="469">
        <f t="shared" si="8"/>
        <v>104618.095816</v>
      </c>
      <c r="K13" s="469">
        <f t="shared" si="8"/>
        <v>104618.095816</v>
      </c>
      <c r="L13" s="469">
        <f t="shared" si="8"/>
        <v>104618.095816</v>
      </c>
      <c r="M13" s="469">
        <f t="shared" si="8"/>
        <v>104618.095816</v>
      </c>
      <c r="N13" s="469">
        <f t="shared" si="8"/>
        <v>104618.095816</v>
      </c>
      <c r="O13" s="469">
        <f t="shared" si="8"/>
        <v>104618.095816</v>
      </c>
      <c r="P13" s="469">
        <f t="shared" si="8"/>
        <v>104618.095816</v>
      </c>
      <c r="Q13" s="469">
        <f t="shared" si="8"/>
        <v>104618.095816</v>
      </c>
      <c r="R13" s="469">
        <f t="shared" si="8"/>
        <v>104618.095816</v>
      </c>
      <c r="S13" s="469">
        <f t="shared" si="8"/>
        <v>104618.095816</v>
      </c>
      <c r="T13" s="469">
        <f t="shared" si="8"/>
        <v>104618.095816</v>
      </c>
      <c r="U13" s="469">
        <f t="shared" si="8"/>
        <v>104618.095816</v>
      </c>
      <c r="V13" s="469">
        <f t="shared" si="8"/>
        <v>104618.095816</v>
      </c>
      <c r="W13" s="469">
        <f t="shared" si="8"/>
        <v>104618.095816</v>
      </c>
      <c r="X13" s="469">
        <f t="shared" si="8"/>
        <v>104618.095816</v>
      </c>
      <c r="Y13" s="469">
        <f t="shared" si="8"/>
        <v>104618.095816</v>
      </c>
      <c r="Z13" s="469">
        <f t="shared" si="8"/>
        <v>104618.095816</v>
      </c>
      <c r="AA13" s="469">
        <f t="shared" si="8"/>
        <v>104618.095816</v>
      </c>
      <c r="AB13" s="469">
        <f t="shared" si="8"/>
        <v>104618.095816</v>
      </c>
      <c r="AC13" s="469">
        <f t="shared" si="8"/>
        <v>104618.095816</v>
      </c>
      <c r="AD13" s="469">
        <f t="shared" si="8"/>
        <v>104618.095816</v>
      </c>
      <c r="AE13" s="469">
        <f t="shared" si="8"/>
        <v>104618.095816</v>
      </c>
      <c r="AF13" s="469">
        <f t="shared" si="8"/>
        <v>104618.095816</v>
      </c>
      <c r="AG13" s="469">
        <f t="shared" si="8"/>
        <v>104618.095816</v>
      </c>
      <c r="AH13" s="469">
        <f t="shared" si="8"/>
        <v>104618.095816</v>
      </c>
      <c r="AI13" s="469">
        <f t="shared" si="8"/>
        <v>104618.095816</v>
      </c>
      <c r="AJ13" s="469">
        <f t="shared" si="8"/>
        <v>104618.095816</v>
      </c>
      <c r="AK13" s="469">
        <f t="shared" si="8"/>
        <v>104618.095816</v>
      </c>
    </row>
    <row r="14" spans="1:37" s="40" customFormat="1" ht="13.15" customHeight="1" x14ac:dyDescent="0.2">
      <c r="A14" s="15" t="s">
        <v>884</v>
      </c>
      <c r="B14" s="453">
        <f t="shared" si="1"/>
        <v>1757563.1410399999</v>
      </c>
      <c r="C14" s="41">
        <f>C75</f>
        <v>50216.089743999997</v>
      </c>
      <c r="D14" s="41">
        <f t="shared" ref="D14:AK14" si="9">D75</f>
        <v>50216.089743999997</v>
      </c>
      <c r="E14" s="41">
        <f t="shared" si="9"/>
        <v>50216.089743999997</v>
      </c>
      <c r="F14" s="41">
        <f t="shared" si="9"/>
        <v>50216.089743999997</v>
      </c>
      <c r="G14" s="41">
        <f t="shared" si="9"/>
        <v>50216.089743999997</v>
      </c>
      <c r="H14" s="41">
        <f t="shared" si="9"/>
        <v>50216.089743999997</v>
      </c>
      <c r="I14" s="41">
        <f t="shared" si="9"/>
        <v>50216.089743999997</v>
      </c>
      <c r="J14" s="41">
        <f t="shared" si="9"/>
        <v>50216.089743999997</v>
      </c>
      <c r="K14" s="41">
        <f t="shared" si="9"/>
        <v>50216.089743999997</v>
      </c>
      <c r="L14" s="41">
        <f t="shared" si="9"/>
        <v>50216.089743999997</v>
      </c>
      <c r="M14" s="41">
        <f t="shared" si="9"/>
        <v>50216.089743999997</v>
      </c>
      <c r="N14" s="41">
        <f t="shared" si="9"/>
        <v>50216.089743999997</v>
      </c>
      <c r="O14" s="41">
        <f t="shared" si="9"/>
        <v>50216.089743999997</v>
      </c>
      <c r="P14" s="41">
        <f t="shared" si="9"/>
        <v>50216.089743999997</v>
      </c>
      <c r="Q14" s="41">
        <f t="shared" si="9"/>
        <v>50216.089743999997</v>
      </c>
      <c r="R14" s="41">
        <f t="shared" si="9"/>
        <v>50216.089743999997</v>
      </c>
      <c r="S14" s="41">
        <f t="shared" si="9"/>
        <v>50216.089743999997</v>
      </c>
      <c r="T14" s="41">
        <f t="shared" si="9"/>
        <v>50216.089743999997</v>
      </c>
      <c r="U14" s="41">
        <f t="shared" si="9"/>
        <v>50216.089743999997</v>
      </c>
      <c r="V14" s="41">
        <f t="shared" si="9"/>
        <v>50216.089743999997</v>
      </c>
      <c r="W14" s="41">
        <f t="shared" si="9"/>
        <v>50216.089743999997</v>
      </c>
      <c r="X14" s="41">
        <f t="shared" si="9"/>
        <v>50216.089743999997</v>
      </c>
      <c r="Y14" s="41">
        <f t="shared" si="9"/>
        <v>50216.089743999997</v>
      </c>
      <c r="Z14" s="41">
        <f t="shared" si="9"/>
        <v>50216.089743999997</v>
      </c>
      <c r="AA14" s="41">
        <f t="shared" si="9"/>
        <v>50216.089743999997</v>
      </c>
      <c r="AB14" s="41">
        <f t="shared" si="9"/>
        <v>50216.089743999997</v>
      </c>
      <c r="AC14" s="41">
        <f t="shared" si="9"/>
        <v>50216.089743999997</v>
      </c>
      <c r="AD14" s="41">
        <f t="shared" si="9"/>
        <v>50216.089743999997</v>
      </c>
      <c r="AE14" s="41">
        <f t="shared" si="9"/>
        <v>50216.089743999997</v>
      </c>
      <c r="AF14" s="41">
        <f t="shared" si="9"/>
        <v>50216.089743999997</v>
      </c>
      <c r="AG14" s="41">
        <f t="shared" si="9"/>
        <v>50216.089743999997</v>
      </c>
      <c r="AH14" s="41">
        <f t="shared" si="9"/>
        <v>50216.089743999997</v>
      </c>
      <c r="AI14" s="41">
        <f t="shared" si="9"/>
        <v>50216.089743999997</v>
      </c>
      <c r="AJ14" s="41">
        <f t="shared" si="9"/>
        <v>50216.089743999997</v>
      </c>
      <c r="AK14" s="41">
        <f t="shared" si="9"/>
        <v>50216.089743999997</v>
      </c>
    </row>
    <row r="15" spans="1:37" s="40" customFormat="1" ht="13.15" customHeight="1" x14ac:dyDescent="0.2">
      <c r="A15" s="39" t="s">
        <v>840</v>
      </c>
      <c r="B15" s="453">
        <f t="shared" si="1"/>
        <v>8943165.534872001</v>
      </c>
      <c r="C15" s="41">
        <f t="shared" ref="C15:AK15" si="10">C79</f>
        <v>247003.17979199998</v>
      </c>
      <c r="D15" s="41">
        <f t="shared" si="10"/>
        <v>247003.17979199998</v>
      </c>
      <c r="E15" s="41">
        <f t="shared" si="10"/>
        <v>247003.17979199998</v>
      </c>
      <c r="F15" s="41">
        <f t="shared" si="10"/>
        <v>251086.11461599998</v>
      </c>
      <c r="G15" s="41">
        <f t="shared" si="10"/>
        <v>251086.11461599998</v>
      </c>
      <c r="H15" s="41">
        <f t="shared" si="10"/>
        <v>251086.11461599998</v>
      </c>
      <c r="I15" s="41">
        <f t="shared" si="10"/>
        <v>255169.04944</v>
      </c>
      <c r="J15" s="41">
        <f t="shared" si="10"/>
        <v>255169.04944</v>
      </c>
      <c r="K15" s="41">
        <f t="shared" si="10"/>
        <v>255169.04944</v>
      </c>
      <c r="L15" s="41">
        <f t="shared" si="10"/>
        <v>255169.04944</v>
      </c>
      <c r="M15" s="41">
        <f t="shared" si="10"/>
        <v>255169.04944</v>
      </c>
      <c r="N15" s="41">
        <f t="shared" si="10"/>
        <v>259251.984264</v>
      </c>
      <c r="O15" s="41">
        <f t="shared" si="10"/>
        <v>259251.984264</v>
      </c>
      <c r="P15" s="41">
        <f t="shared" si="10"/>
        <v>259251.984264</v>
      </c>
      <c r="Q15" s="41">
        <f t="shared" si="10"/>
        <v>259251.984264</v>
      </c>
      <c r="R15" s="41">
        <f t="shared" si="10"/>
        <v>259251.984264</v>
      </c>
      <c r="S15" s="41">
        <f t="shared" si="10"/>
        <v>259251.984264</v>
      </c>
      <c r="T15" s="41">
        <f t="shared" si="10"/>
        <v>259251.984264</v>
      </c>
      <c r="U15" s="41">
        <f t="shared" si="10"/>
        <v>259251.984264</v>
      </c>
      <c r="V15" s="41">
        <f t="shared" si="10"/>
        <v>259251.984264</v>
      </c>
      <c r="W15" s="41">
        <f t="shared" si="10"/>
        <v>259251.984264</v>
      </c>
      <c r="X15" s="41">
        <f t="shared" si="10"/>
        <v>259251.984264</v>
      </c>
      <c r="Y15" s="41">
        <f t="shared" si="10"/>
        <v>259251.984264</v>
      </c>
      <c r="Z15" s="41">
        <f t="shared" si="10"/>
        <v>259251.984264</v>
      </c>
      <c r="AA15" s="41">
        <f t="shared" si="10"/>
        <v>259251.984264</v>
      </c>
      <c r="AB15" s="41">
        <f t="shared" si="10"/>
        <v>259251.984264</v>
      </c>
      <c r="AC15" s="41">
        <f t="shared" si="10"/>
        <v>255169.04944</v>
      </c>
      <c r="AD15" s="41">
        <f t="shared" si="10"/>
        <v>255169.04944</v>
      </c>
      <c r="AE15" s="41">
        <f t="shared" si="10"/>
        <v>255169.04944</v>
      </c>
      <c r="AF15" s="41">
        <f t="shared" si="10"/>
        <v>255169.04944</v>
      </c>
      <c r="AG15" s="41">
        <f t="shared" si="10"/>
        <v>255169.04944</v>
      </c>
      <c r="AH15" s="41">
        <f t="shared" si="10"/>
        <v>255169.04944</v>
      </c>
      <c r="AI15" s="41">
        <f t="shared" si="10"/>
        <v>251086.11461599998</v>
      </c>
      <c r="AJ15" s="41">
        <f t="shared" si="10"/>
        <v>251086.11461599998</v>
      </c>
      <c r="AK15" s="41">
        <f t="shared" si="10"/>
        <v>251086.11461599998</v>
      </c>
    </row>
    <row r="16" spans="1:37" ht="13.15" customHeight="1" x14ac:dyDescent="0.2">
      <c r="A16" s="16" t="s">
        <v>71</v>
      </c>
      <c r="B16" s="453">
        <f>SUM(C16:AK16)</f>
        <v>587284299.49329555</v>
      </c>
      <c r="C16" s="12">
        <f>12* SUM( C$6:C$15 )</f>
        <v>15872234.865072001</v>
      </c>
      <c r="D16" s="12">
        <f t="shared" ref="D16:AK16" si="11">12* SUM( D$6:D$15 )</f>
        <v>15970225.300848</v>
      </c>
      <c r="E16" s="12">
        <f t="shared" si="11"/>
        <v>16019220.518735999</v>
      </c>
      <c r="F16" s="12">
        <f t="shared" si="11"/>
        <v>16068215.736624001</v>
      </c>
      <c r="G16" s="12">
        <f t="shared" si="11"/>
        <v>16117210.954512002</v>
      </c>
      <c r="H16" s="12">
        <f t="shared" si="11"/>
        <v>16649396.413872002</v>
      </c>
      <c r="I16" s="12">
        <f t="shared" si="11"/>
        <v>16698391.631760001</v>
      </c>
      <c r="J16" s="12">
        <f t="shared" si="11"/>
        <v>16903623.623471998</v>
      </c>
      <c r="K16" s="12">
        <f t="shared" si="11"/>
        <v>16903623.623471998</v>
      </c>
      <c r="L16" s="12">
        <f t="shared" si="11"/>
        <v>16903623.623471998</v>
      </c>
      <c r="M16" s="12">
        <f t="shared" si="11"/>
        <v>16903623.623471998</v>
      </c>
      <c r="N16" s="12">
        <f t="shared" si="11"/>
        <v>16952618.841359999</v>
      </c>
      <c r="O16" s="12">
        <f t="shared" si="11"/>
        <v>16952618.841359999</v>
      </c>
      <c r="P16" s="12">
        <f t="shared" si="11"/>
        <v>16952618.841359999</v>
      </c>
      <c r="Q16" s="12">
        <f t="shared" si="11"/>
        <v>16952618.841359999</v>
      </c>
      <c r="R16" s="12">
        <f t="shared" si="11"/>
        <v>16952618.841359999</v>
      </c>
      <c r="S16" s="12">
        <f t="shared" si="11"/>
        <v>16952618.841359999</v>
      </c>
      <c r="T16" s="12">
        <f t="shared" si="11"/>
        <v>16952618.841359999</v>
      </c>
      <c r="U16" s="12">
        <f t="shared" si="11"/>
        <v>16952618.841359999</v>
      </c>
      <c r="V16" s="12">
        <f t="shared" si="11"/>
        <v>16952618.841359999</v>
      </c>
      <c r="W16" s="12">
        <f t="shared" si="11"/>
        <v>16952618.841359999</v>
      </c>
      <c r="X16" s="12">
        <f t="shared" si="11"/>
        <v>16952618.841359999</v>
      </c>
      <c r="Y16" s="12">
        <f t="shared" si="11"/>
        <v>16952618.841359999</v>
      </c>
      <c r="Z16" s="12">
        <f t="shared" si="11"/>
        <v>16952618.841359999</v>
      </c>
      <c r="AA16" s="12">
        <f t="shared" si="11"/>
        <v>16952618.841359999</v>
      </c>
      <c r="AB16" s="12">
        <f t="shared" si="11"/>
        <v>16952618.841359999</v>
      </c>
      <c r="AC16" s="12">
        <f t="shared" si="11"/>
        <v>16903623.623471998</v>
      </c>
      <c r="AD16" s="12">
        <f t="shared" si="11"/>
        <v>16903623.623471998</v>
      </c>
      <c r="AE16" s="12">
        <f t="shared" si="11"/>
        <v>16903623.623471998</v>
      </c>
      <c r="AF16" s="12">
        <f t="shared" si="11"/>
        <v>16903623.623471998</v>
      </c>
      <c r="AG16" s="12">
        <f t="shared" si="11"/>
        <v>16903623.623471998</v>
      </c>
      <c r="AH16" s="12">
        <f t="shared" si="11"/>
        <v>16903623.623471998</v>
      </c>
      <c r="AI16" s="12">
        <f t="shared" si="11"/>
        <v>16854628.405583996</v>
      </c>
      <c r="AJ16" s="12">
        <f t="shared" si="11"/>
        <v>16854628.405583996</v>
      </c>
      <c r="AK16" s="12">
        <f t="shared" si="11"/>
        <v>16854628.405583996</v>
      </c>
    </row>
    <row r="17" spans="1:37" ht="13.15" customHeight="1" x14ac:dyDescent="0.2"/>
    <row r="18" spans="1:37" s="18" customFormat="1" ht="13.15" customHeight="1" x14ac:dyDescent="0.2">
      <c r="A18" s="17" t="s">
        <v>834</v>
      </c>
      <c r="B18" s="507"/>
      <c r="C18" s="12">
        <f xml:space="preserve"> SUM( C$19:C$38 )</f>
        <v>152935.44502799999</v>
      </c>
      <c r="D18" s="12">
        <f t="shared" ref="D18:AK18" si="12" xml:space="preserve"> SUM( D$19:D$38 )</f>
        <v>152935.44502799999</v>
      </c>
      <c r="E18" s="12">
        <f t="shared" si="12"/>
        <v>152935.44502799999</v>
      </c>
      <c r="F18" s="12">
        <f t="shared" si="12"/>
        <v>152935.44502799999</v>
      </c>
      <c r="G18" s="12">
        <f t="shared" si="12"/>
        <v>152935.44502799999</v>
      </c>
      <c r="H18" s="12">
        <f t="shared" si="12"/>
        <v>152935.44502799999</v>
      </c>
      <c r="I18" s="12">
        <f t="shared" si="12"/>
        <v>152935.44502799999</v>
      </c>
      <c r="J18" s="12">
        <f t="shared" si="12"/>
        <v>152935.44502799999</v>
      </c>
      <c r="K18" s="12">
        <f t="shared" si="12"/>
        <v>152935.44502799999</v>
      </c>
      <c r="L18" s="12">
        <f t="shared" si="12"/>
        <v>152935.44502799999</v>
      </c>
      <c r="M18" s="12">
        <f t="shared" si="12"/>
        <v>152935.44502799999</v>
      </c>
      <c r="N18" s="12">
        <f t="shared" si="12"/>
        <v>152935.44502799999</v>
      </c>
      <c r="O18" s="12">
        <f t="shared" si="12"/>
        <v>152935.44502799999</v>
      </c>
      <c r="P18" s="12">
        <f t="shared" si="12"/>
        <v>152935.44502799999</v>
      </c>
      <c r="Q18" s="12">
        <f t="shared" si="12"/>
        <v>152935.44502799999</v>
      </c>
      <c r="R18" s="12">
        <f t="shared" si="12"/>
        <v>152935.44502799999</v>
      </c>
      <c r="S18" s="12">
        <f t="shared" si="12"/>
        <v>152935.44502799999</v>
      </c>
      <c r="T18" s="12">
        <f t="shared" si="12"/>
        <v>152935.44502799999</v>
      </c>
      <c r="U18" s="12">
        <f t="shared" si="12"/>
        <v>152935.44502799999</v>
      </c>
      <c r="V18" s="12">
        <f t="shared" si="12"/>
        <v>152935.44502799999</v>
      </c>
      <c r="W18" s="12">
        <f t="shared" si="12"/>
        <v>152935.44502799999</v>
      </c>
      <c r="X18" s="12">
        <f t="shared" si="12"/>
        <v>152935.44502799999</v>
      </c>
      <c r="Y18" s="12">
        <f t="shared" si="12"/>
        <v>152935.44502799999</v>
      </c>
      <c r="Z18" s="12">
        <f t="shared" si="12"/>
        <v>152935.44502799999</v>
      </c>
      <c r="AA18" s="12">
        <f t="shared" si="12"/>
        <v>152935.44502799999</v>
      </c>
      <c r="AB18" s="12">
        <f t="shared" si="12"/>
        <v>152935.44502799999</v>
      </c>
      <c r="AC18" s="12">
        <f t="shared" si="12"/>
        <v>152935.44502799999</v>
      </c>
      <c r="AD18" s="12">
        <f t="shared" si="12"/>
        <v>152935.44502799999</v>
      </c>
      <c r="AE18" s="12">
        <f t="shared" si="12"/>
        <v>152935.44502799999</v>
      </c>
      <c r="AF18" s="12">
        <f t="shared" si="12"/>
        <v>152935.44502799999</v>
      </c>
      <c r="AG18" s="12">
        <f t="shared" si="12"/>
        <v>152935.44502799999</v>
      </c>
      <c r="AH18" s="12">
        <f t="shared" si="12"/>
        <v>152935.44502799999</v>
      </c>
      <c r="AI18" s="12">
        <f t="shared" si="12"/>
        <v>152935.44502799999</v>
      </c>
      <c r="AJ18" s="12">
        <f t="shared" si="12"/>
        <v>152935.44502799999</v>
      </c>
      <c r="AK18" s="12">
        <f t="shared" si="12"/>
        <v>152935.44502799999</v>
      </c>
    </row>
    <row r="19" spans="1:37" ht="13.15" customHeight="1" x14ac:dyDescent="0.2">
      <c r="A19" s="15" t="s">
        <v>842</v>
      </c>
      <c r="B19" s="508">
        <f>'06 - Salários e encargos'!B6</f>
        <v>29316.799999999999</v>
      </c>
      <c r="C19" s="499">
        <f>$B$19*'05 - Relação de funcionários'!B19</f>
        <v>29316.799999999999</v>
      </c>
      <c r="D19" s="499">
        <f>$B$19*'05 - Relação de funcionários'!C19</f>
        <v>29316.799999999999</v>
      </c>
      <c r="E19" s="499">
        <f>$B$19*'05 - Relação de funcionários'!D19</f>
        <v>29316.799999999999</v>
      </c>
      <c r="F19" s="499">
        <f>$B$19*'05 - Relação de funcionários'!E19</f>
        <v>29316.799999999999</v>
      </c>
      <c r="G19" s="499">
        <f>$B$19*'05 - Relação de funcionários'!F19</f>
        <v>29316.799999999999</v>
      </c>
      <c r="H19" s="499">
        <f>$B$19*'05 - Relação de funcionários'!G19</f>
        <v>29316.799999999999</v>
      </c>
      <c r="I19" s="499">
        <f>$B$19*'05 - Relação de funcionários'!H19</f>
        <v>29316.799999999999</v>
      </c>
      <c r="J19" s="499">
        <f>$B$19*'05 - Relação de funcionários'!I19</f>
        <v>29316.799999999999</v>
      </c>
      <c r="K19" s="499">
        <f>$B$19*'05 - Relação de funcionários'!J19</f>
        <v>29316.799999999999</v>
      </c>
      <c r="L19" s="499">
        <f>$B$19*'05 - Relação de funcionários'!K19</f>
        <v>29316.799999999999</v>
      </c>
      <c r="M19" s="499">
        <f>$B$19*'05 - Relação de funcionários'!L19</f>
        <v>29316.799999999999</v>
      </c>
      <c r="N19" s="499">
        <f>$B$19*'05 - Relação de funcionários'!M19</f>
        <v>29316.799999999999</v>
      </c>
      <c r="O19" s="499">
        <f>$B$19*'05 - Relação de funcionários'!N19</f>
        <v>29316.799999999999</v>
      </c>
      <c r="P19" s="499">
        <f>$B$19*'05 - Relação de funcionários'!O19</f>
        <v>29316.799999999999</v>
      </c>
      <c r="Q19" s="499">
        <f>$B$19*'05 - Relação de funcionários'!P19</f>
        <v>29316.799999999999</v>
      </c>
      <c r="R19" s="499">
        <f>$B$19*'05 - Relação de funcionários'!Q19</f>
        <v>29316.799999999999</v>
      </c>
      <c r="S19" s="499">
        <f>$B$19*'05 - Relação de funcionários'!R19</f>
        <v>29316.799999999999</v>
      </c>
      <c r="T19" s="499">
        <f>$B$19*'05 - Relação de funcionários'!S19</f>
        <v>29316.799999999999</v>
      </c>
      <c r="U19" s="499">
        <f>$B$19*'05 - Relação de funcionários'!T19</f>
        <v>29316.799999999999</v>
      </c>
      <c r="V19" s="499">
        <f>$B$19*'05 - Relação de funcionários'!U19</f>
        <v>29316.799999999999</v>
      </c>
      <c r="W19" s="499">
        <f>$B$19*'05 - Relação de funcionários'!V19</f>
        <v>29316.799999999999</v>
      </c>
      <c r="X19" s="499">
        <f>$B$19*'05 - Relação de funcionários'!W19</f>
        <v>29316.799999999999</v>
      </c>
      <c r="Y19" s="499">
        <f>$B$19*'05 - Relação de funcionários'!X19</f>
        <v>29316.799999999999</v>
      </c>
      <c r="Z19" s="499">
        <f>$B$19*'05 - Relação de funcionários'!Y19</f>
        <v>29316.799999999999</v>
      </c>
      <c r="AA19" s="499">
        <f>$B$19*'05 - Relação de funcionários'!Z19</f>
        <v>29316.799999999999</v>
      </c>
      <c r="AB19" s="499">
        <f>$B$19*'05 - Relação de funcionários'!AA19</f>
        <v>29316.799999999999</v>
      </c>
      <c r="AC19" s="499">
        <f>$B$19*'05 - Relação de funcionários'!AB19</f>
        <v>29316.799999999999</v>
      </c>
      <c r="AD19" s="499">
        <f>$B$19*'05 - Relação de funcionários'!AC19</f>
        <v>29316.799999999999</v>
      </c>
      <c r="AE19" s="499">
        <f>$B$19*'05 - Relação de funcionários'!AD19</f>
        <v>29316.799999999999</v>
      </c>
      <c r="AF19" s="499">
        <f>$B$19*'05 - Relação de funcionários'!AE19</f>
        <v>29316.799999999999</v>
      </c>
      <c r="AG19" s="499">
        <f>$B$19*'05 - Relação de funcionários'!AF19</f>
        <v>29316.799999999999</v>
      </c>
      <c r="AH19" s="499">
        <f>$B$19*'05 - Relação de funcionários'!AG19</f>
        <v>29316.799999999999</v>
      </c>
      <c r="AI19" s="499">
        <f>$B$19*'05 - Relação de funcionários'!AH19</f>
        <v>29316.799999999999</v>
      </c>
      <c r="AJ19" s="499">
        <f>$B$19*'05 - Relação de funcionários'!AI19</f>
        <v>29316.799999999999</v>
      </c>
      <c r="AK19" s="499">
        <f>$B$19*'05 - Relação de funcionários'!AJ19</f>
        <v>29316.799999999999</v>
      </c>
    </row>
    <row r="20" spans="1:37" ht="13.15" customHeight="1" x14ac:dyDescent="0.2">
      <c r="A20" s="15" t="s">
        <v>843</v>
      </c>
      <c r="B20" s="508">
        <f>'06 - Salários e encargos'!B7</f>
        <v>19354.400000000001</v>
      </c>
      <c r="C20" s="499">
        <f>$B$20*'05 - Relação de funcionários'!B20</f>
        <v>19354.400000000001</v>
      </c>
      <c r="D20" s="499">
        <f>$B$20*'05 - Relação de funcionários'!C20</f>
        <v>19354.400000000001</v>
      </c>
      <c r="E20" s="499">
        <f>$B$20*'05 - Relação de funcionários'!D20</f>
        <v>19354.400000000001</v>
      </c>
      <c r="F20" s="499">
        <f>$B$20*'05 - Relação de funcionários'!E20</f>
        <v>19354.400000000001</v>
      </c>
      <c r="G20" s="499">
        <f>$B$20*'05 - Relação de funcionários'!F20</f>
        <v>19354.400000000001</v>
      </c>
      <c r="H20" s="499">
        <f>$B$20*'05 - Relação de funcionários'!G20</f>
        <v>19354.400000000001</v>
      </c>
      <c r="I20" s="499">
        <f>$B$20*'05 - Relação de funcionários'!H20</f>
        <v>19354.400000000001</v>
      </c>
      <c r="J20" s="499">
        <f>$B$20*'05 - Relação de funcionários'!I20</f>
        <v>19354.400000000001</v>
      </c>
      <c r="K20" s="499">
        <f>$B$20*'05 - Relação de funcionários'!J20</f>
        <v>19354.400000000001</v>
      </c>
      <c r="L20" s="499">
        <f>$B$20*'05 - Relação de funcionários'!K20</f>
        <v>19354.400000000001</v>
      </c>
      <c r="M20" s="499">
        <f>$B$20*'05 - Relação de funcionários'!L20</f>
        <v>19354.400000000001</v>
      </c>
      <c r="N20" s="499">
        <f>$B$20*'05 - Relação de funcionários'!M20</f>
        <v>19354.400000000001</v>
      </c>
      <c r="O20" s="499">
        <f>$B$20*'05 - Relação de funcionários'!N20</f>
        <v>19354.400000000001</v>
      </c>
      <c r="P20" s="499">
        <f>$B$20*'05 - Relação de funcionários'!O20</f>
        <v>19354.400000000001</v>
      </c>
      <c r="Q20" s="499">
        <f>$B$20*'05 - Relação de funcionários'!P20</f>
        <v>19354.400000000001</v>
      </c>
      <c r="R20" s="499">
        <f>$B$20*'05 - Relação de funcionários'!Q20</f>
        <v>19354.400000000001</v>
      </c>
      <c r="S20" s="499">
        <f>$B$20*'05 - Relação de funcionários'!R20</f>
        <v>19354.400000000001</v>
      </c>
      <c r="T20" s="499">
        <f>$B$20*'05 - Relação de funcionários'!S20</f>
        <v>19354.400000000001</v>
      </c>
      <c r="U20" s="499">
        <f>$B$20*'05 - Relação de funcionários'!T20</f>
        <v>19354.400000000001</v>
      </c>
      <c r="V20" s="499">
        <f>$B$20*'05 - Relação de funcionários'!U20</f>
        <v>19354.400000000001</v>
      </c>
      <c r="W20" s="499">
        <f>$B$20*'05 - Relação de funcionários'!V20</f>
        <v>19354.400000000001</v>
      </c>
      <c r="X20" s="499">
        <f>$B$20*'05 - Relação de funcionários'!W20</f>
        <v>19354.400000000001</v>
      </c>
      <c r="Y20" s="499">
        <f>$B$20*'05 - Relação de funcionários'!X20</f>
        <v>19354.400000000001</v>
      </c>
      <c r="Z20" s="499">
        <f>$B$20*'05 - Relação de funcionários'!Y20</f>
        <v>19354.400000000001</v>
      </c>
      <c r="AA20" s="499">
        <f>$B$20*'05 - Relação de funcionários'!Z20</f>
        <v>19354.400000000001</v>
      </c>
      <c r="AB20" s="499">
        <f>$B$20*'05 - Relação de funcionários'!AA20</f>
        <v>19354.400000000001</v>
      </c>
      <c r="AC20" s="499">
        <f>$B$20*'05 - Relação de funcionários'!AB20</f>
        <v>19354.400000000001</v>
      </c>
      <c r="AD20" s="499">
        <f>$B$20*'05 - Relação de funcionários'!AC20</f>
        <v>19354.400000000001</v>
      </c>
      <c r="AE20" s="499">
        <f>$B$20*'05 - Relação de funcionários'!AD20</f>
        <v>19354.400000000001</v>
      </c>
      <c r="AF20" s="499">
        <f>$B$20*'05 - Relação de funcionários'!AE20</f>
        <v>19354.400000000001</v>
      </c>
      <c r="AG20" s="499">
        <f>$B$20*'05 - Relação de funcionários'!AF20</f>
        <v>19354.400000000001</v>
      </c>
      <c r="AH20" s="499">
        <f>$B$20*'05 - Relação de funcionários'!AG20</f>
        <v>19354.400000000001</v>
      </c>
      <c r="AI20" s="499">
        <f>$B$20*'05 - Relação de funcionários'!AH20</f>
        <v>19354.400000000001</v>
      </c>
      <c r="AJ20" s="499">
        <f>$B$20*'05 - Relação de funcionários'!AI20</f>
        <v>19354.400000000001</v>
      </c>
      <c r="AK20" s="499">
        <f>$B$20*'05 - Relação de funcionários'!AJ20</f>
        <v>19354.400000000001</v>
      </c>
    </row>
    <row r="21" spans="1:37" ht="13.15" customHeight="1" x14ac:dyDescent="0.2">
      <c r="A21" s="15" t="s">
        <v>844</v>
      </c>
      <c r="B21" s="508">
        <f>'06 - Salários e encargos'!B8</f>
        <v>4642.4815560000006</v>
      </c>
      <c r="C21" s="499">
        <f>$B$21*'05 - Relação de funcionários'!B21</f>
        <v>4642.4815560000006</v>
      </c>
      <c r="D21" s="499">
        <f>$B$21*'05 - Relação de funcionários'!C21</f>
        <v>4642.4815560000006</v>
      </c>
      <c r="E21" s="499">
        <f>$B$21*'05 - Relação de funcionários'!D21</f>
        <v>4642.4815560000006</v>
      </c>
      <c r="F21" s="499">
        <f>$B$21*'05 - Relação de funcionários'!E21</f>
        <v>4642.4815560000006</v>
      </c>
      <c r="G21" s="499">
        <f>$B$21*'05 - Relação de funcionários'!F21</f>
        <v>4642.4815560000006</v>
      </c>
      <c r="H21" s="499">
        <f>$B$21*'05 - Relação de funcionários'!G21</f>
        <v>4642.4815560000006</v>
      </c>
      <c r="I21" s="499">
        <f>$B$21*'05 - Relação de funcionários'!H21</f>
        <v>4642.4815560000006</v>
      </c>
      <c r="J21" s="499">
        <f>$B$21*'05 - Relação de funcionários'!I21</f>
        <v>4642.4815560000006</v>
      </c>
      <c r="K21" s="499">
        <f>$B$21*'05 - Relação de funcionários'!J21</f>
        <v>4642.4815560000006</v>
      </c>
      <c r="L21" s="499">
        <f>$B$21*'05 - Relação de funcionários'!K21</f>
        <v>4642.4815560000006</v>
      </c>
      <c r="M21" s="499">
        <f>$B$21*'05 - Relação de funcionários'!L21</f>
        <v>4642.4815560000006</v>
      </c>
      <c r="N21" s="499">
        <f>$B$21*'05 - Relação de funcionários'!M21</f>
        <v>4642.4815560000006</v>
      </c>
      <c r="O21" s="499">
        <f>$B$21*'05 - Relação de funcionários'!N21</f>
        <v>4642.4815560000006</v>
      </c>
      <c r="P21" s="499">
        <f>$B$21*'05 - Relação de funcionários'!O21</f>
        <v>4642.4815560000006</v>
      </c>
      <c r="Q21" s="499">
        <f>$B$21*'05 - Relação de funcionários'!P21</f>
        <v>4642.4815560000006</v>
      </c>
      <c r="R21" s="499">
        <f>$B$21*'05 - Relação de funcionários'!Q21</f>
        <v>4642.4815560000006</v>
      </c>
      <c r="S21" s="499">
        <f>$B$21*'05 - Relação de funcionários'!R21</f>
        <v>4642.4815560000006</v>
      </c>
      <c r="T21" s="499">
        <f>$B$21*'05 - Relação de funcionários'!S21</f>
        <v>4642.4815560000006</v>
      </c>
      <c r="U21" s="499">
        <f>$B$21*'05 - Relação de funcionários'!T21</f>
        <v>4642.4815560000006</v>
      </c>
      <c r="V21" s="499">
        <f>$B$21*'05 - Relação de funcionários'!U21</f>
        <v>4642.4815560000006</v>
      </c>
      <c r="W21" s="499">
        <f>$B$21*'05 - Relação de funcionários'!V21</f>
        <v>4642.4815560000006</v>
      </c>
      <c r="X21" s="499">
        <f>$B$21*'05 - Relação de funcionários'!W21</f>
        <v>4642.4815560000006</v>
      </c>
      <c r="Y21" s="499">
        <f>$B$21*'05 - Relação de funcionários'!X21</f>
        <v>4642.4815560000006</v>
      </c>
      <c r="Z21" s="499">
        <f>$B$21*'05 - Relação de funcionários'!Y21</f>
        <v>4642.4815560000006</v>
      </c>
      <c r="AA21" s="499">
        <f>$B$21*'05 - Relação de funcionários'!Z21</f>
        <v>4642.4815560000006</v>
      </c>
      <c r="AB21" s="499">
        <f>$B$21*'05 - Relação de funcionários'!AA21</f>
        <v>4642.4815560000006</v>
      </c>
      <c r="AC21" s="499">
        <f>$B$21*'05 - Relação de funcionários'!AB21</f>
        <v>4642.4815560000006</v>
      </c>
      <c r="AD21" s="499">
        <f>$B$21*'05 - Relação de funcionários'!AC21</f>
        <v>4642.4815560000006</v>
      </c>
      <c r="AE21" s="499">
        <f>$B$21*'05 - Relação de funcionários'!AD21</f>
        <v>4642.4815560000006</v>
      </c>
      <c r="AF21" s="499">
        <f>$B$21*'05 - Relação de funcionários'!AE21</f>
        <v>4642.4815560000006</v>
      </c>
      <c r="AG21" s="499">
        <f>$B$21*'05 - Relação de funcionários'!AF21</f>
        <v>4642.4815560000006</v>
      </c>
      <c r="AH21" s="499">
        <f>$B$21*'05 - Relação de funcionários'!AG21</f>
        <v>4642.4815560000006</v>
      </c>
      <c r="AI21" s="499">
        <f>$B$21*'05 - Relação de funcionários'!AH21</f>
        <v>4642.4815560000006</v>
      </c>
      <c r="AJ21" s="499">
        <f>$B$21*'05 - Relação de funcionários'!AI21</f>
        <v>4642.4815560000006</v>
      </c>
      <c r="AK21" s="499">
        <f>$B$21*'05 - Relação de funcionários'!AJ21</f>
        <v>4642.4815560000006</v>
      </c>
    </row>
    <row r="22" spans="1:37" ht="13.15" customHeight="1" x14ac:dyDescent="0.2">
      <c r="A22" s="15" t="s">
        <v>845</v>
      </c>
      <c r="B22" s="508">
        <f>'06 - Salários e encargos'!B9</f>
        <v>4097.4815559999997</v>
      </c>
      <c r="C22" s="499">
        <f>$B$22*'05 - Relação de funcionários'!B22</f>
        <v>4097.4815559999997</v>
      </c>
      <c r="D22" s="499">
        <f>$B$22*'05 - Relação de funcionários'!C22</f>
        <v>4097.4815559999997</v>
      </c>
      <c r="E22" s="499">
        <f>$B$22*'05 - Relação de funcionários'!D22</f>
        <v>4097.4815559999997</v>
      </c>
      <c r="F22" s="499">
        <f>$B$22*'05 - Relação de funcionários'!E22</f>
        <v>4097.4815559999997</v>
      </c>
      <c r="G22" s="499">
        <f>$B$22*'05 - Relação de funcionários'!F22</f>
        <v>4097.4815559999997</v>
      </c>
      <c r="H22" s="499">
        <f>$B$22*'05 - Relação de funcionários'!G22</f>
        <v>4097.4815559999997</v>
      </c>
      <c r="I22" s="499">
        <f>$B$22*'05 - Relação de funcionários'!H22</f>
        <v>4097.4815559999997</v>
      </c>
      <c r="J22" s="499">
        <f>$B$22*'05 - Relação de funcionários'!I22</f>
        <v>4097.4815559999997</v>
      </c>
      <c r="K22" s="499">
        <f>$B$22*'05 - Relação de funcionários'!J22</f>
        <v>4097.4815559999997</v>
      </c>
      <c r="L22" s="499">
        <f>$B$22*'05 - Relação de funcionários'!K22</f>
        <v>4097.4815559999997</v>
      </c>
      <c r="M22" s="499">
        <f>$B$22*'05 - Relação de funcionários'!L22</f>
        <v>4097.4815559999997</v>
      </c>
      <c r="N22" s="499">
        <f>$B$22*'05 - Relação de funcionários'!M22</f>
        <v>4097.4815559999997</v>
      </c>
      <c r="O22" s="499">
        <f>$B$22*'05 - Relação de funcionários'!N22</f>
        <v>4097.4815559999997</v>
      </c>
      <c r="P22" s="499">
        <f>$B$22*'05 - Relação de funcionários'!O22</f>
        <v>4097.4815559999997</v>
      </c>
      <c r="Q22" s="499">
        <f>$B$22*'05 - Relação de funcionários'!P22</f>
        <v>4097.4815559999997</v>
      </c>
      <c r="R22" s="499">
        <f>$B$22*'05 - Relação de funcionários'!Q22</f>
        <v>4097.4815559999997</v>
      </c>
      <c r="S22" s="499">
        <f>$B$22*'05 - Relação de funcionários'!R22</f>
        <v>4097.4815559999997</v>
      </c>
      <c r="T22" s="499">
        <f>$B$22*'05 - Relação de funcionários'!S22</f>
        <v>4097.4815559999997</v>
      </c>
      <c r="U22" s="499">
        <f>$B$22*'05 - Relação de funcionários'!T22</f>
        <v>4097.4815559999997</v>
      </c>
      <c r="V22" s="499">
        <f>$B$22*'05 - Relação de funcionários'!U22</f>
        <v>4097.4815559999997</v>
      </c>
      <c r="W22" s="499">
        <f>$B$22*'05 - Relação de funcionários'!V22</f>
        <v>4097.4815559999997</v>
      </c>
      <c r="X22" s="499">
        <f>$B$22*'05 - Relação de funcionários'!W22</f>
        <v>4097.4815559999997</v>
      </c>
      <c r="Y22" s="499">
        <f>$B$22*'05 - Relação de funcionários'!X22</f>
        <v>4097.4815559999997</v>
      </c>
      <c r="Z22" s="499">
        <f>$B$22*'05 - Relação de funcionários'!Y22</f>
        <v>4097.4815559999997</v>
      </c>
      <c r="AA22" s="499">
        <f>$B$22*'05 - Relação de funcionários'!Z22</f>
        <v>4097.4815559999997</v>
      </c>
      <c r="AB22" s="499">
        <f>$B$22*'05 - Relação de funcionários'!AA22</f>
        <v>4097.4815559999997</v>
      </c>
      <c r="AC22" s="499">
        <f>$B$22*'05 - Relação de funcionários'!AB22</f>
        <v>4097.4815559999997</v>
      </c>
      <c r="AD22" s="499">
        <f>$B$22*'05 - Relação de funcionários'!AC22</f>
        <v>4097.4815559999997</v>
      </c>
      <c r="AE22" s="499">
        <f>$B$22*'05 - Relação de funcionários'!AD22</f>
        <v>4097.4815559999997</v>
      </c>
      <c r="AF22" s="499">
        <f>$B$22*'05 - Relação de funcionários'!AE22</f>
        <v>4097.4815559999997</v>
      </c>
      <c r="AG22" s="499">
        <f>$B$22*'05 - Relação de funcionários'!AF22</f>
        <v>4097.4815559999997</v>
      </c>
      <c r="AH22" s="499">
        <f>$B$22*'05 - Relação de funcionários'!AG22</f>
        <v>4097.4815559999997</v>
      </c>
      <c r="AI22" s="499">
        <f>$B$22*'05 - Relação de funcionários'!AH22</f>
        <v>4097.4815559999997</v>
      </c>
      <c r="AJ22" s="499">
        <f>$B$22*'05 - Relação de funcionários'!AI22</f>
        <v>4097.4815559999997</v>
      </c>
      <c r="AK22" s="499">
        <f>$B$22*'05 - Relação de funcionários'!AJ22</f>
        <v>4097.4815559999997</v>
      </c>
    </row>
    <row r="23" spans="1:37" ht="13.15" customHeight="1" x14ac:dyDescent="0.2">
      <c r="A23" s="15" t="s">
        <v>846</v>
      </c>
      <c r="B23" s="508">
        <f>'06 - Salários e encargos'!B10</f>
        <v>4553.8580000000002</v>
      </c>
      <c r="C23" s="499">
        <f>$B$23*'05 - Relação de funcionários'!B23</f>
        <v>4553.8580000000002</v>
      </c>
      <c r="D23" s="499">
        <f>$B$23*'05 - Relação de funcionários'!C23</f>
        <v>4553.8580000000002</v>
      </c>
      <c r="E23" s="499">
        <f>$B$23*'05 - Relação de funcionários'!D23</f>
        <v>4553.8580000000002</v>
      </c>
      <c r="F23" s="499">
        <f>$B$23*'05 - Relação de funcionários'!E23</f>
        <v>4553.8580000000002</v>
      </c>
      <c r="G23" s="499">
        <f>$B$23*'05 - Relação de funcionários'!F23</f>
        <v>4553.8580000000002</v>
      </c>
      <c r="H23" s="499">
        <f>$B$23*'05 - Relação de funcionários'!G23</f>
        <v>4553.8580000000002</v>
      </c>
      <c r="I23" s="499">
        <f>$B$23*'05 - Relação de funcionários'!H23</f>
        <v>4553.8580000000002</v>
      </c>
      <c r="J23" s="499">
        <f>$B$23*'05 - Relação de funcionários'!I23</f>
        <v>4553.8580000000002</v>
      </c>
      <c r="K23" s="499">
        <f>$B$23*'05 - Relação de funcionários'!J23</f>
        <v>4553.8580000000002</v>
      </c>
      <c r="L23" s="499">
        <f>$B$23*'05 - Relação de funcionários'!K23</f>
        <v>4553.8580000000002</v>
      </c>
      <c r="M23" s="499">
        <f>$B$23*'05 - Relação de funcionários'!L23</f>
        <v>4553.8580000000002</v>
      </c>
      <c r="N23" s="499">
        <f>$B$23*'05 - Relação de funcionários'!M23</f>
        <v>4553.8580000000002</v>
      </c>
      <c r="O23" s="499">
        <f>$B$23*'05 - Relação de funcionários'!N23</f>
        <v>4553.8580000000002</v>
      </c>
      <c r="P23" s="499">
        <f>$B$23*'05 - Relação de funcionários'!O23</f>
        <v>4553.8580000000002</v>
      </c>
      <c r="Q23" s="499">
        <f>$B$23*'05 - Relação de funcionários'!P23</f>
        <v>4553.8580000000002</v>
      </c>
      <c r="R23" s="499">
        <f>$B$23*'05 - Relação de funcionários'!Q23</f>
        <v>4553.8580000000002</v>
      </c>
      <c r="S23" s="499">
        <f>$B$23*'05 - Relação de funcionários'!R23</f>
        <v>4553.8580000000002</v>
      </c>
      <c r="T23" s="499">
        <f>$B$23*'05 - Relação de funcionários'!S23</f>
        <v>4553.8580000000002</v>
      </c>
      <c r="U23" s="499">
        <f>$B$23*'05 - Relação de funcionários'!T23</f>
        <v>4553.8580000000002</v>
      </c>
      <c r="V23" s="499">
        <f>$B$23*'05 - Relação de funcionários'!U23</f>
        <v>4553.8580000000002</v>
      </c>
      <c r="W23" s="499">
        <f>$B$23*'05 - Relação de funcionários'!V23</f>
        <v>4553.8580000000002</v>
      </c>
      <c r="X23" s="499">
        <f>$B$23*'05 - Relação de funcionários'!W23</f>
        <v>4553.8580000000002</v>
      </c>
      <c r="Y23" s="499">
        <f>$B$23*'05 - Relação de funcionários'!X23</f>
        <v>4553.8580000000002</v>
      </c>
      <c r="Z23" s="499">
        <f>$B$23*'05 - Relação de funcionários'!Y23</f>
        <v>4553.8580000000002</v>
      </c>
      <c r="AA23" s="499">
        <f>$B$23*'05 - Relação de funcionários'!Z23</f>
        <v>4553.8580000000002</v>
      </c>
      <c r="AB23" s="499">
        <f>$B$23*'05 - Relação de funcionários'!AA23</f>
        <v>4553.8580000000002</v>
      </c>
      <c r="AC23" s="499">
        <f>$B$23*'05 - Relação de funcionários'!AB23</f>
        <v>4553.8580000000002</v>
      </c>
      <c r="AD23" s="499">
        <f>$B$23*'05 - Relação de funcionários'!AC23</f>
        <v>4553.8580000000002</v>
      </c>
      <c r="AE23" s="499">
        <f>$B$23*'05 - Relação de funcionários'!AD23</f>
        <v>4553.8580000000002</v>
      </c>
      <c r="AF23" s="499">
        <f>$B$23*'05 - Relação de funcionários'!AE23</f>
        <v>4553.8580000000002</v>
      </c>
      <c r="AG23" s="499">
        <f>$B$23*'05 - Relação de funcionários'!AF23</f>
        <v>4553.8580000000002</v>
      </c>
      <c r="AH23" s="499">
        <f>$B$23*'05 - Relação de funcionários'!AG23</f>
        <v>4553.8580000000002</v>
      </c>
      <c r="AI23" s="499">
        <f>$B$23*'05 - Relação de funcionários'!AH23</f>
        <v>4553.8580000000002</v>
      </c>
      <c r="AJ23" s="499">
        <f>$B$23*'05 - Relação de funcionários'!AI23</f>
        <v>4553.8580000000002</v>
      </c>
      <c r="AK23" s="499">
        <f>$B$23*'05 - Relação de funcionários'!AJ23</f>
        <v>4553.8580000000002</v>
      </c>
    </row>
    <row r="24" spans="1:37" ht="13.15" customHeight="1" x14ac:dyDescent="0.2">
      <c r="A24" s="15" t="s">
        <v>847</v>
      </c>
      <c r="B24" s="508">
        <f>'06 - Salários e encargos'!B11</f>
        <v>4802.5215560000006</v>
      </c>
      <c r="C24" s="499">
        <f>$B$24*'05 - Relação de funcionários'!B24</f>
        <v>4802.5215560000006</v>
      </c>
      <c r="D24" s="499">
        <f>$B$24*'05 - Relação de funcionários'!C24</f>
        <v>4802.5215560000006</v>
      </c>
      <c r="E24" s="499">
        <f>$B$24*'05 - Relação de funcionários'!D24</f>
        <v>4802.5215560000006</v>
      </c>
      <c r="F24" s="499">
        <f>$B$24*'05 - Relação de funcionários'!E24</f>
        <v>4802.5215560000006</v>
      </c>
      <c r="G24" s="499">
        <f>$B$24*'05 - Relação de funcionários'!F24</f>
        <v>4802.5215560000006</v>
      </c>
      <c r="H24" s="499">
        <f>$B$24*'05 - Relação de funcionários'!G24</f>
        <v>4802.5215560000006</v>
      </c>
      <c r="I24" s="499">
        <f>$B$24*'05 - Relação de funcionários'!H24</f>
        <v>4802.5215560000006</v>
      </c>
      <c r="J24" s="499">
        <f>$B$24*'05 - Relação de funcionários'!I24</f>
        <v>4802.5215560000006</v>
      </c>
      <c r="K24" s="499">
        <f>$B$24*'05 - Relação de funcionários'!J24</f>
        <v>4802.5215560000006</v>
      </c>
      <c r="L24" s="499">
        <f>$B$24*'05 - Relação de funcionários'!K24</f>
        <v>4802.5215560000006</v>
      </c>
      <c r="M24" s="499">
        <f>$B$24*'05 - Relação de funcionários'!L24</f>
        <v>4802.5215560000006</v>
      </c>
      <c r="N24" s="499">
        <f>$B$24*'05 - Relação de funcionários'!M24</f>
        <v>4802.5215560000006</v>
      </c>
      <c r="O24" s="499">
        <f>$B$24*'05 - Relação de funcionários'!N24</f>
        <v>4802.5215560000006</v>
      </c>
      <c r="P24" s="499">
        <f>$B$24*'05 - Relação de funcionários'!O24</f>
        <v>4802.5215560000006</v>
      </c>
      <c r="Q24" s="499">
        <f>$B$24*'05 - Relação de funcionários'!P24</f>
        <v>4802.5215560000006</v>
      </c>
      <c r="R24" s="499">
        <f>$B$24*'05 - Relação de funcionários'!Q24</f>
        <v>4802.5215560000006</v>
      </c>
      <c r="S24" s="499">
        <f>$B$24*'05 - Relação de funcionários'!R24</f>
        <v>4802.5215560000006</v>
      </c>
      <c r="T24" s="499">
        <f>$B$24*'05 - Relação de funcionários'!S24</f>
        <v>4802.5215560000006</v>
      </c>
      <c r="U24" s="499">
        <f>$B$24*'05 - Relação de funcionários'!T24</f>
        <v>4802.5215560000006</v>
      </c>
      <c r="V24" s="499">
        <f>$B$24*'05 - Relação de funcionários'!U24</f>
        <v>4802.5215560000006</v>
      </c>
      <c r="W24" s="499">
        <f>$B$24*'05 - Relação de funcionários'!V24</f>
        <v>4802.5215560000006</v>
      </c>
      <c r="X24" s="499">
        <f>$B$24*'05 - Relação de funcionários'!W24</f>
        <v>4802.5215560000006</v>
      </c>
      <c r="Y24" s="499">
        <f>$B$24*'05 - Relação de funcionários'!X24</f>
        <v>4802.5215560000006</v>
      </c>
      <c r="Z24" s="499">
        <f>$B$24*'05 - Relação de funcionários'!Y24</f>
        <v>4802.5215560000006</v>
      </c>
      <c r="AA24" s="499">
        <f>$B$24*'05 - Relação de funcionários'!Z24</f>
        <v>4802.5215560000006</v>
      </c>
      <c r="AB24" s="499">
        <f>$B$24*'05 - Relação de funcionários'!AA24</f>
        <v>4802.5215560000006</v>
      </c>
      <c r="AC24" s="499">
        <f>$B$24*'05 - Relação de funcionários'!AB24</f>
        <v>4802.5215560000006</v>
      </c>
      <c r="AD24" s="499">
        <f>$B$24*'05 - Relação de funcionários'!AC24</f>
        <v>4802.5215560000006</v>
      </c>
      <c r="AE24" s="499">
        <f>$B$24*'05 - Relação de funcionários'!AD24</f>
        <v>4802.5215560000006</v>
      </c>
      <c r="AF24" s="499">
        <f>$B$24*'05 - Relação de funcionários'!AE24</f>
        <v>4802.5215560000006</v>
      </c>
      <c r="AG24" s="499">
        <f>$B$24*'05 - Relação de funcionários'!AF24</f>
        <v>4802.5215560000006</v>
      </c>
      <c r="AH24" s="499">
        <f>$B$24*'05 - Relação de funcionários'!AG24</f>
        <v>4802.5215560000006</v>
      </c>
      <c r="AI24" s="499">
        <f>$B$24*'05 - Relação de funcionários'!AH24</f>
        <v>4802.5215560000006</v>
      </c>
      <c r="AJ24" s="499">
        <f>$B$24*'05 - Relação de funcionários'!AI24</f>
        <v>4802.5215560000006</v>
      </c>
      <c r="AK24" s="499">
        <f>$B$24*'05 - Relação de funcionários'!AJ24</f>
        <v>4802.5215560000006</v>
      </c>
    </row>
    <row r="25" spans="1:37" ht="13.15" customHeight="1" x14ac:dyDescent="0.2">
      <c r="A25" s="15" t="s">
        <v>848</v>
      </c>
      <c r="B25" s="508">
        <f>'06 - Salários e encargos'!B12</f>
        <v>4151.9815559999997</v>
      </c>
      <c r="C25" s="499">
        <f>$B$25*'05 - Relação de funcionários'!B25</f>
        <v>12455.944668</v>
      </c>
      <c r="D25" s="499">
        <f>$B$25*'05 - Relação de funcionários'!C25</f>
        <v>12455.944668</v>
      </c>
      <c r="E25" s="499">
        <f>$B$25*'05 - Relação de funcionários'!D25</f>
        <v>12455.944668</v>
      </c>
      <c r="F25" s="499">
        <f>$B$25*'05 - Relação de funcionários'!E25</f>
        <v>12455.944668</v>
      </c>
      <c r="G25" s="499">
        <f>$B$25*'05 - Relação de funcionários'!F25</f>
        <v>12455.944668</v>
      </c>
      <c r="H25" s="499">
        <f>$B$25*'05 - Relação de funcionários'!G25</f>
        <v>12455.944668</v>
      </c>
      <c r="I25" s="499">
        <f>$B$25*'05 - Relação de funcionários'!H25</f>
        <v>12455.944668</v>
      </c>
      <c r="J25" s="499">
        <f>$B$25*'05 - Relação de funcionários'!I25</f>
        <v>12455.944668</v>
      </c>
      <c r="K25" s="499">
        <f>$B$25*'05 - Relação de funcionários'!J25</f>
        <v>12455.944668</v>
      </c>
      <c r="L25" s="499">
        <f>$B$25*'05 - Relação de funcionários'!K25</f>
        <v>12455.944668</v>
      </c>
      <c r="M25" s="499">
        <f>$B$25*'05 - Relação de funcionários'!L25</f>
        <v>12455.944668</v>
      </c>
      <c r="N25" s="499">
        <f>$B$25*'05 - Relação de funcionários'!M25</f>
        <v>12455.944668</v>
      </c>
      <c r="O25" s="499">
        <f>$B$25*'05 - Relação de funcionários'!N25</f>
        <v>12455.944668</v>
      </c>
      <c r="P25" s="499">
        <f>$B$25*'05 - Relação de funcionários'!O25</f>
        <v>12455.944668</v>
      </c>
      <c r="Q25" s="499">
        <f>$B$25*'05 - Relação de funcionários'!P25</f>
        <v>12455.944668</v>
      </c>
      <c r="R25" s="499">
        <f>$B$25*'05 - Relação de funcionários'!Q25</f>
        <v>12455.944668</v>
      </c>
      <c r="S25" s="499">
        <f>$B$25*'05 - Relação de funcionários'!R25</f>
        <v>12455.944668</v>
      </c>
      <c r="T25" s="499">
        <f>$B$25*'05 - Relação de funcionários'!S25</f>
        <v>12455.944668</v>
      </c>
      <c r="U25" s="499">
        <f>$B$25*'05 - Relação de funcionários'!T25</f>
        <v>12455.944668</v>
      </c>
      <c r="V25" s="499">
        <f>$B$25*'05 - Relação de funcionários'!U25</f>
        <v>12455.944668</v>
      </c>
      <c r="W25" s="499">
        <f>$B$25*'05 - Relação de funcionários'!V25</f>
        <v>12455.944668</v>
      </c>
      <c r="X25" s="499">
        <f>$B$25*'05 - Relação de funcionários'!W25</f>
        <v>12455.944668</v>
      </c>
      <c r="Y25" s="499">
        <f>$B$25*'05 - Relação de funcionários'!X25</f>
        <v>12455.944668</v>
      </c>
      <c r="Z25" s="499">
        <f>$B$25*'05 - Relação de funcionários'!Y25</f>
        <v>12455.944668</v>
      </c>
      <c r="AA25" s="499">
        <f>$B$25*'05 - Relação de funcionários'!Z25</f>
        <v>12455.944668</v>
      </c>
      <c r="AB25" s="499">
        <f>$B$25*'05 - Relação de funcionários'!AA25</f>
        <v>12455.944668</v>
      </c>
      <c r="AC25" s="499">
        <f>$B$25*'05 - Relação de funcionários'!AB25</f>
        <v>12455.944668</v>
      </c>
      <c r="AD25" s="499">
        <f>$B$25*'05 - Relação de funcionários'!AC25</f>
        <v>12455.944668</v>
      </c>
      <c r="AE25" s="499">
        <f>$B$25*'05 - Relação de funcionários'!AD25</f>
        <v>12455.944668</v>
      </c>
      <c r="AF25" s="499">
        <f>$B$25*'05 - Relação de funcionários'!AE25</f>
        <v>12455.944668</v>
      </c>
      <c r="AG25" s="499">
        <f>$B$25*'05 - Relação de funcionários'!AF25</f>
        <v>12455.944668</v>
      </c>
      <c r="AH25" s="499">
        <f>$B$25*'05 - Relação de funcionários'!AG25</f>
        <v>12455.944668</v>
      </c>
      <c r="AI25" s="499">
        <f>$B$25*'05 - Relação de funcionários'!AH25</f>
        <v>12455.944668</v>
      </c>
      <c r="AJ25" s="499">
        <f>$B$25*'05 - Relação de funcionários'!AI25</f>
        <v>12455.944668</v>
      </c>
      <c r="AK25" s="499">
        <f>$B$25*'05 - Relação de funcionários'!AJ25</f>
        <v>12455.944668</v>
      </c>
    </row>
    <row r="26" spans="1:37" ht="13.15" customHeight="1" x14ac:dyDescent="0.2">
      <c r="A26" s="15" t="s">
        <v>849</v>
      </c>
      <c r="B26" s="508">
        <f>'06 - Salários e encargos'!B13</f>
        <v>3179.9336000000003</v>
      </c>
      <c r="C26" s="499">
        <f>$B$26*'05 - Relação de funcionários'!B26</f>
        <v>3179.9336000000003</v>
      </c>
      <c r="D26" s="499">
        <f>$B$26*'05 - Relação de funcionários'!C26</f>
        <v>3179.9336000000003</v>
      </c>
      <c r="E26" s="499">
        <f>$B$26*'05 - Relação de funcionários'!D26</f>
        <v>3179.9336000000003</v>
      </c>
      <c r="F26" s="499">
        <f>$B$26*'05 - Relação de funcionários'!E26</f>
        <v>3179.9336000000003</v>
      </c>
      <c r="G26" s="499">
        <f>$B$26*'05 - Relação de funcionários'!F26</f>
        <v>3179.9336000000003</v>
      </c>
      <c r="H26" s="499">
        <f>$B$26*'05 - Relação de funcionários'!G26</f>
        <v>3179.9336000000003</v>
      </c>
      <c r="I26" s="499">
        <f>$B$26*'05 - Relação de funcionários'!H26</f>
        <v>3179.9336000000003</v>
      </c>
      <c r="J26" s="499">
        <f>$B$26*'05 - Relação de funcionários'!I26</f>
        <v>3179.9336000000003</v>
      </c>
      <c r="K26" s="499">
        <f>$B$26*'05 - Relação de funcionários'!J26</f>
        <v>3179.9336000000003</v>
      </c>
      <c r="L26" s="499">
        <f>$B$26*'05 - Relação de funcionários'!K26</f>
        <v>3179.9336000000003</v>
      </c>
      <c r="M26" s="499">
        <f>$B$26*'05 - Relação de funcionários'!L26</f>
        <v>3179.9336000000003</v>
      </c>
      <c r="N26" s="499">
        <f>$B$26*'05 - Relação de funcionários'!M26</f>
        <v>3179.9336000000003</v>
      </c>
      <c r="O26" s="499">
        <f>$B$26*'05 - Relação de funcionários'!N26</f>
        <v>3179.9336000000003</v>
      </c>
      <c r="P26" s="499">
        <f>$B$26*'05 - Relação de funcionários'!O26</f>
        <v>3179.9336000000003</v>
      </c>
      <c r="Q26" s="499">
        <f>$B$26*'05 - Relação de funcionários'!P26</f>
        <v>3179.9336000000003</v>
      </c>
      <c r="R26" s="499">
        <f>$B$26*'05 - Relação de funcionários'!Q26</f>
        <v>3179.9336000000003</v>
      </c>
      <c r="S26" s="499">
        <f>$B$26*'05 - Relação de funcionários'!R26</f>
        <v>3179.9336000000003</v>
      </c>
      <c r="T26" s="499">
        <f>$B$26*'05 - Relação de funcionários'!S26</f>
        <v>3179.9336000000003</v>
      </c>
      <c r="U26" s="499">
        <f>$B$26*'05 - Relação de funcionários'!T26</f>
        <v>3179.9336000000003</v>
      </c>
      <c r="V26" s="499">
        <f>$B$26*'05 - Relação de funcionários'!U26</f>
        <v>3179.9336000000003</v>
      </c>
      <c r="W26" s="499">
        <f>$B$26*'05 - Relação de funcionários'!V26</f>
        <v>3179.9336000000003</v>
      </c>
      <c r="X26" s="499">
        <f>$B$26*'05 - Relação de funcionários'!W26</f>
        <v>3179.9336000000003</v>
      </c>
      <c r="Y26" s="499">
        <f>$B$26*'05 - Relação de funcionários'!X26</f>
        <v>3179.9336000000003</v>
      </c>
      <c r="Z26" s="499">
        <f>$B$26*'05 - Relação de funcionários'!Y26</f>
        <v>3179.9336000000003</v>
      </c>
      <c r="AA26" s="499">
        <f>$B$26*'05 - Relação de funcionários'!Z26</f>
        <v>3179.9336000000003</v>
      </c>
      <c r="AB26" s="499">
        <f>$B$26*'05 - Relação de funcionários'!AA26</f>
        <v>3179.9336000000003</v>
      </c>
      <c r="AC26" s="499">
        <f>$B$26*'05 - Relação de funcionários'!AB26</f>
        <v>3179.9336000000003</v>
      </c>
      <c r="AD26" s="499">
        <f>$B$26*'05 - Relação de funcionários'!AC26</f>
        <v>3179.9336000000003</v>
      </c>
      <c r="AE26" s="499">
        <f>$B$26*'05 - Relação de funcionários'!AD26</f>
        <v>3179.9336000000003</v>
      </c>
      <c r="AF26" s="499">
        <f>$B$26*'05 - Relação de funcionários'!AE26</f>
        <v>3179.9336000000003</v>
      </c>
      <c r="AG26" s="499">
        <f>$B$26*'05 - Relação de funcionários'!AF26</f>
        <v>3179.9336000000003</v>
      </c>
      <c r="AH26" s="499">
        <f>$B$26*'05 - Relação de funcionários'!AG26</f>
        <v>3179.9336000000003</v>
      </c>
      <c r="AI26" s="499">
        <f>$B$26*'05 - Relação de funcionários'!AH26</f>
        <v>3179.9336000000003</v>
      </c>
      <c r="AJ26" s="499">
        <f>$B$26*'05 - Relação de funcionários'!AI26</f>
        <v>3179.9336000000003</v>
      </c>
      <c r="AK26" s="499">
        <f>$B$26*'05 - Relação de funcionários'!AJ26</f>
        <v>3179.9336000000003</v>
      </c>
    </row>
    <row r="27" spans="1:37" ht="13.15" customHeight="1" x14ac:dyDescent="0.2">
      <c r="A27" s="15" t="s">
        <v>850</v>
      </c>
      <c r="B27" s="508">
        <f>'06 - Salários e encargos'!B14</f>
        <v>3144.7248</v>
      </c>
      <c r="C27" s="499">
        <f>$B$27*'05 - Relação de funcionários'!B27</f>
        <v>3144.7248</v>
      </c>
      <c r="D27" s="499">
        <f>$B$27*'05 - Relação de funcionários'!C27</f>
        <v>3144.7248</v>
      </c>
      <c r="E27" s="499">
        <f>$B$27*'05 - Relação de funcionários'!D27</f>
        <v>3144.7248</v>
      </c>
      <c r="F27" s="499">
        <f>$B$27*'05 - Relação de funcionários'!E27</f>
        <v>3144.7248</v>
      </c>
      <c r="G27" s="499">
        <f>$B$27*'05 - Relação de funcionários'!F27</f>
        <v>3144.7248</v>
      </c>
      <c r="H27" s="499">
        <f>$B$27*'05 - Relação de funcionários'!G27</f>
        <v>3144.7248</v>
      </c>
      <c r="I27" s="499">
        <f>$B$27*'05 - Relação de funcionários'!H27</f>
        <v>3144.7248</v>
      </c>
      <c r="J27" s="499">
        <f>$B$27*'05 - Relação de funcionários'!I27</f>
        <v>3144.7248</v>
      </c>
      <c r="K27" s="499">
        <f>$B$27*'05 - Relação de funcionários'!J27</f>
        <v>3144.7248</v>
      </c>
      <c r="L27" s="499">
        <f>$B$27*'05 - Relação de funcionários'!K27</f>
        <v>3144.7248</v>
      </c>
      <c r="M27" s="499">
        <f>$B$27*'05 - Relação de funcionários'!L27</f>
        <v>3144.7248</v>
      </c>
      <c r="N27" s="499">
        <f>$B$27*'05 - Relação de funcionários'!M27</f>
        <v>3144.7248</v>
      </c>
      <c r="O27" s="499">
        <f>$B$27*'05 - Relação de funcionários'!N27</f>
        <v>3144.7248</v>
      </c>
      <c r="P27" s="499">
        <f>$B$27*'05 - Relação de funcionários'!O27</f>
        <v>3144.7248</v>
      </c>
      <c r="Q27" s="499">
        <f>$B$27*'05 - Relação de funcionários'!P27</f>
        <v>3144.7248</v>
      </c>
      <c r="R27" s="499">
        <f>$B$27*'05 - Relação de funcionários'!Q27</f>
        <v>3144.7248</v>
      </c>
      <c r="S27" s="499">
        <f>$B$27*'05 - Relação de funcionários'!R27</f>
        <v>3144.7248</v>
      </c>
      <c r="T27" s="499">
        <f>$B$27*'05 - Relação de funcionários'!S27</f>
        <v>3144.7248</v>
      </c>
      <c r="U27" s="499">
        <f>$B$27*'05 - Relação de funcionários'!T27</f>
        <v>3144.7248</v>
      </c>
      <c r="V27" s="499">
        <f>$B$27*'05 - Relação de funcionários'!U27</f>
        <v>3144.7248</v>
      </c>
      <c r="W27" s="499">
        <f>$B$27*'05 - Relação de funcionários'!V27</f>
        <v>3144.7248</v>
      </c>
      <c r="X27" s="499">
        <f>$B$27*'05 - Relação de funcionários'!W27</f>
        <v>3144.7248</v>
      </c>
      <c r="Y27" s="499">
        <f>$B$27*'05 - Relação de funcionários'!X27</f>
        <v>3144.7248</v>
      </c>
      <c r="Z27" s="499">
        <f>$B$27*'05 - Relação de funcionários'!Y27</f>
        <v>3144.7248</v>
      </c>
      <c r="AA27" s="499">
        <f>$B$27*'05 - Relação de funcionários'!Z27</f>
        <v>3144.7248</v>
      </c>
      <c r="AB27" s="499">
        <f>$B$27*'05 - Relação de funcionários'!AA27</f>
        <v>3144.7248</v>
      </c>
      <c r="AC27" s="499">
        <f>$B$27*'05 - Relação de funcionários'!AB27</f>
        <v>3144.7248</v>
      </c>
      <c r="AD27" s="499">
        <f>$B$27*'05 - Relação de funcionários'!AC27</f>
        <v>3144.7248</v>
      </c>
      <c r="AE27" s="499">
        <f>$B$27*'05 - Relação de funcionários'!AD27</f>
        <v>3144.7248</v>
      </c>
      <c r="AF27" s="499">
        <f>$B$27*'05 - Relação de funcionários'!AE27</f>
        <v>3144.7248</v>
      </c>
      <c r="AG27" s="499">
        <f>$B$27*'05 - Relação de funcionários'!AF27</f>
        <v>3144.7248</v>
      </c>
      <c r="AH27" s="499">
        <f>$B$27*'05 - Relação de funcionários'!AG27</f>
        <v>3144.7248</v>
      </c>
      <c r="AI27" s="499">
        <f>$B$27*'05 - Relação de funcionários'!AH27</f>
        <v>3144.7248</v>
      </c>
      <c r="AJ27" s="499">
        <f>$B$27*'05 - Relação de funcionários'!AI27</f>
        <v>3144.7248</v>
      </c>
      <c r="AK27" s="499">
        <f>$B$27*'05 - Relação de funcionários'!AJ27</f>
        <v>3144.7248</v>
      </c>
    </row>
    <row r="28" spans="1:37" ht="13.15" customHeight="1" x14ac:dyDescent="0.2">
      <c r="A28" s="15" t="s">
        <v>851</v>
      </c>
      <c r="B28" s="508">
        <f>'06 - Salários e encargos'!B15</f>
        <v>3145.1409039999999</v>
      </c>
      <c r="C28" s="499">
        <f>$B$28*'05 - Relação de funcionários'!B28</f>
        <v>3145.1409039999999</v>
      </c>
      <c r="D28" s="499">
        <f>$B$28*'05 - Relação de funcionários'!C28</f>
        <v>3145.1409039999999</v>
      </c>
      <c r="E28" s="499">
        <f>$B$28*'05 - Relação de funcionários'!D28</f>
        <v>3145.1409039999999</v>
      </c>
      <c r="F28" s="499">
        <f>$B$28*'05 - Relação de funcionários'!E28</f>
        <v>3145.1409039999999</v>
      </c>
      <c r="G28" s="499">
        <f>$B$28*'05 - Relação de funcionários'!F28</f>
        <v>3145.1409039999999</v>
      </c>
      <c r="H28" s="499">
        <f>$B$28*'05 - Relação de funcionários'!G28</f>
        <v>3145.1409039999999</v>
      </c>
      <c r="I28" s="499">
        <f>$B$28*'05 - Relação de funcionários'!H28</f>
        <v>3145.1409039999999</v>
      </c>
      <c r="J28" s="499">
        <f>$B$28*'05 - Relação de funcionários'!I28</f>
        <v>3145.1409039999999</v>
      </c>
      <c r="K28" s="499">
        <f>$B$28*'05 - Relação de funcionários'!J28</f>
        <v>3145.1409039999999</v>
      </c>
      <c r="L28" s="499">
        <f>$B$28*'05 - Relação de funcionários'!K28</f>
        <v>3145.1409039999999</v>
      </c>
      <c r="M28" s="499">
        <f>$B$28*'05 - Relação de funcionários'!L28</f>
        <v>3145.1409039999999</v>
      </c>
      <c r="N28" s="499">
        <f>$B$28*'05 - Relação de funcionários'!M28</f>
        <v>3145.1409039999999</v>
      </c>
      <c r="O28" s="499">
        <f>$B$28*'05 - Relação de funcionários'!N28</f>
        <v>3145.1409039999999</v>
      </c>
      <c r="P28" s="499">
        <f>$B$28*'05 - Relação de funcionários'!O28</f>
        <v>3145.1409039999999</v>
      </c>
      <c r="Q28" s="499">
        <f>$B$28*'05 - Relação de funcionários'!P28</f>
        <v>3145.1409039999999</v>
      </c>
      <c r="R28" s="499">
        <f>$B$28*'05 - Relação de funcionários'!Q28</f>
        <v>3145.1409039999999</v>
      </c>
      <c r="S28" s="499">
        <f>$B$28*'05 - Relação de funcionários'!R28</f>
        <v>3145.1409039999999</v>
      </c>
      <c r="T28" s="499">
        <f>$B$28*'05 - Relação de funcionários'!S28</f>
        <v>3145.1409039999999</v>
      </c>
      <c r="U28" s="499">
        <f>$B$28*'05 - Relação de funcionários'!T28</f>
        <v>3145.1409039999999</v>
      </c>
      <c r="V28" s="499">
        <f>$B$28*'05 - Relação de funcionários'!U28</f>
        <v>3145.1409039999999</v>
      </c>
      <c r="W28" s="499">
        <f>$B$28*'05 - Relação de funcionários'!V28</f>
        <v>3145.1409039999999</v>
      </c>
      <c r="X28" s="499">
        <f>$B$28*'05 - Relação de funcionários'!W28</f>
        <v>3145.1409039999999</v>
      </c>
      <c r="Y28" s="499">
        <f>$B$28*'05 - Relação de funcionários'!X28</f>
        <v>3145.1409039999999</v>
      </c>
      <c r="Z28" s="499">
        <f>$B$28*'05 - Relação de funcionários'!Y28</f>
        <v>3145.1409039999999</v>
      </c>
      <c r="AA28" s="499">
        <f>$B$28*'05 - Relação de funcionários'!Z28</f>
        <v>3145.1409039999999</v>
      </c>
      <c r="AB28" s="499">
        <f>$B$28*'05 - Relação de funcionários'!AA28</f>
        <v>3145.1409039999999</v>
      </c>
      <c r="AC28" s="499">
        <f>$B$28*'05 - Relação de funcionários'!AB28</f>
        <v>3145.1409039999999</v>
      </c>
      <c r="AD28" s="499">
        <f>$B$28*'05 - Relação de funcionários'!AC28</f>
        <v>3145.1409039999999</v>
      </c>
      <c r="AE28" s="499">
        <f>$B$28*'05 - Relação de funcionários'!AD28</f>
        <v>3145.1409039999999</v>
      </c>
      <c r="AF28" s="499">
        <f>$B$28*'05 - Relação de funcionários'!AE28</f>
        <v>3145.1409039999999</v>
      </c>
      <c r="AG28" s="499">
        <f>$B$28*'05 - Relação de funcionários'!AF28</f>
        <v>3145.1409039999999</v>
      </c>
      <c r="AH28" s="499">
        <f>$B$28*'05 - Relação de funcionários'!AG28</f>
        <v>3145.1409039999999</v>
      </c>
      <c r="AI28" s="499">
        <f>$B$28*'05 - Relação de funcionários'!AH28</f>
        <v>3145.1409039999999</v>
      </c>
      <c r="AJ28" s="499">
        <f>$B$28*'05 - Relação de funcionários'!AI28</f>
        <v>3145.1409039999999</v>
      </c>
      <c r="AK28" s="499">
        <f>$B$28*'05 - Relação de funcionários'!AJ28</f>
        <v>3145.1409039999999</v>
      </c>
    </row>
    <row r="29" spans="1:37" ht="13.15" customHeight="1" x14ac:dyDescent="0.2">
      <c r="A29" s="15" t="s">
        <v>852</v>
      </c>
      <c r="B29" s="508">
        <f>'06 - Salários e encargos'!B16</f>
        <v>4642.4815560000006</v>
      </c>
      <c r="C29" s="499">
        <f>$B$29*'05 - Relação de funcionários'!B29</f>
        <v>4642.4815560000006</v>
      </c>
      <c r="D29" s="499">
        <f>$B$29*'05 - Relação de funcionários'!C29</f>
        <v>4642.4815560000006</v>
      </c>
      <c r="E29" s="499">
        <f>$B$29*'05 - Relação de funcionários'!D29</f>
        <v>4642.4815560000006</v>
      </c>
      <c r="F29" s="499">
        <f>$B$29*'05 - Relação de funcionários'!E29</f>
        <v>4642.4815560000006</v>
      </c>
      <c r="G29" s="499">
        <f>$B$29*'05 - Relação de funcionários'!F29</f>
        <v>4642.4815560000006</v>
      </c>
      <c r="H29" s="499">
        <f>$B$29*'05 - Relação de funcionários'!G29</f>
        <v>4642.4815560000006</v>
      </c>
      <c r="I29" s="499">
        <f>$B$29*'05 - Relação de funcionários'!H29</f>
        <v>4642.4815560000006</v>
      </c>
      <c r="J29" s="499">
        <f>$B$29*'05 - Relação de funcionários'!I29</f>
        <v>4642.4815560000006</v>
      </c>
      <c r="K29" s="499">
        <f>$B$29*'05 - Relação de funcionários'!J29</f>
        <v>4642.4815560000006</v>
      </c>
      <c r="L29" s="499">
        <f>$B$29*'05 - Relação de funcionários'!K29</f>
        <v>4642.4815560000006</v>
      </c>
      <c r="M29" s="499">
        <f>$B$29*'05 - Relação de funcionários'!L29</f>
        <v>4642.4815560000006</v>
      </c>
      <c r="N29" s="499">
        <f>$B$29*'05 - Relação de funcionários'!M29</f>
        <v>4642.4815560000006</v>
      </c>
      <c r="O29" s="499">
        <f>$B$29*'05 - Relação de funcionários'!N29</f>
        <v>4642.4815560000006</v>
      </c>
      <c r="P29" s="499">
        <f>$B$29*'05 - Relação de funcionários'!O29</f>
        <v>4642.4815560000006</v>
      </c>
      <c r="Q29" s="499">
        <f>$B$29*'05 - Relação de funcionários'!P29</f>
        <v>4642.4815560000006</v>
      </c>
      <c r="R29" s="499">
        <f>$B$29*'05 - Relação de funcionários'!Q29</f>
        <v>4642.4815560000006</v>
      </c>
      <c r="S29" s="499">
        <f>$B$29*'05 - Relação de funcionários'!R29</f>
        <v>4642.4815560000006</v>
      </c>
      <c r="T29" s="499">
        <f>$B$29*'05 - Relação de funcionários'!S29</f>
        <v>4642.4815560000006</v>
      </c>
      <c r="U29" s="499">
        <f>$B$29*'05 - Relação de funcionários'!T29</f>
        <v>4642.4815560000006</v>
      </c>
      <c r="V29" s="499">
        <f>$B$29*'05 - Relação de funcionários'!U29</f>
        <v>4642.4815560000006</v>
      </c>
      <c r="W29" s="499">
        <f>$B$29*'05 - Relação de funcionários'!V29</f>
        <v>4642.4815560000006</v>
      </c>
      <c r="X29" s="499">
        <f>$B$29*'05 - Relação de funcionários'!W29</f>
        <v>4642.4815560000006</v>
      </c>
      <c r="Y29" s="499">
        <f>$B$29*'05 - Relação de funcionários'!X29</f>
        <v>4642.4815560000006</v>
      </c>
      <c r="Z29" s="499">
        <f>$B$29*'05 - Relação de funcionários'!Y29</f>
        <v>4642.4815560000006</v>
      </c>
      <c r="AA29" s="499">
        <f>$B$29*'05 - Relação de funcionários'!Z29</f>
        <v>4642.4815560000006</v>
      </c>
      <c r="AB29" s="499">
        <f>$B$29*'05 - Relação de funcionários'!AA29</f>
        <v>4642.4815560000006</v>
      </c>
      <c r="AC29" s="499">
        <f>$B$29*'05 - Relação de funcionários'!AB29</f>
        <v>4642.4815560000006</v>
      </c>
      <c r="AD29" s="499">
        <f>$B$29*'05 - Relação de funcionários'!AC29</f>
        <v>4642.4815560000006</v>
      </c>
      <c r="AE29" s="499">
        <f>$B$29*'05 - Relação de funcionários'!AD29</f>
        <v>4642.4815560000006</v>
      </c>
      <c r="AF29" s="499">
        <f>$B$29*'05 - Relação de funcionários'!AE29</f>
        <v>4642.4815560000006</v>
      </c>
      <c r="AG29" s="499">
        <f>$B$29*'05 - Relação de funcionários'!AF29</f>
        <v>4642.4815560000006</v>
      </c>
      <c r="AH29" s="499">
        <f>$B$29*'05 - Relação de funcionários'!AG29</f>
        <v>4642.4815560000006</v>
      </c>
      <c r="AI29" s="499">
        <f>$B$29*'05 - Relação de funcionários'!AH29</f>
        <v>4642.4815560000006</v>
      </c>
      <c r="AJ29" s="499">
        <f>$B$29*'05 - Relação de funcionários'!AI29</f>
        <v>4642.4815560000006</v>
      </c>
      <c r="AK29" s="499">
        <f>$B$29*'05 - Relação de funcionários'!AJ29</f>
        <v>4642.4815560000006</v>
      </c>
    </row>
    <row r="30" spans="1:37" ht="13.15" customHeight="1" x14ac:dyDescent="0.2">
      <c r="A30" s="15" t="s">
        <v>853</v>
      </c>
      <c r="B30" s="508">
        <f>'06 - Salários e encargos'!B17</f>
        <v>4151.9815559999997</v>
      </c>
      <c r="C30" s="499">
        <f>$B$30*'05 - Relação de funcionários'!B30</f>
        <v>4151.9815559999997</v>
      </c>
      <c r="D30" s="499">
        <f>$B$30*'05 - Relação de funcionários'!C30</f>
        <v>4151.9815559999997</v>
      </c>
      <c r="E30" s="499">
        <f>$B$30*'05 - Relação de funcionários'!D30</f>
        <v>4151.9815559999997</v>
      </c>
      <c r="F30" s="499">
        <f>$B$30*'05 - Relação de funcionários'!E30</f>
        <v>4151.9815559999997</v>
      </c>
      <c r="G30" s="499">
        <f>$B$30*'05 - Relação de funcionários'!F30</f>
        <v>4151.9815559999997</v>
      </c>
      <c r="H30" s="499">
        <f>$B$30*'05 - Relação de funcionários'!G30</f>
        <v>4151.9815559999997</v>
      </c>
      <c r="I30" s="499">
        <f>$B$30*'05 - Relação de funcionários'!H30</f>
        <v>4151.9815559999997</v>
      </c>
      <c r="J30" s="499">
        <f>$B$30*'05 - Relação de funcionários'!I30</f>
        <v>4151.9815559999997</v>
      </c>
      <c r="K30" s="499">
        <f>$B$30*'05 - Relação de funcionários'!J30</f>
        <v>4151.9815559999997</v>
      </c>
      <c r="L30" s="499">
        <f>$B$30*'05 - Relação de funcionários'!K30</f>
        <v>4151.9815559999997</v>
      </c>
      <c r="M30" s="499">
        <f>$B$30*'05 - Relação de funcionários'!L30</f>
        <v>4151.9815559999997</v>
      </c>
      <c r="N30" s="499">
        <f>$B$30*'05 - Relação de funcionários'!M30</f>
        <v>4151.9815559999997</v>
      </c>
      <c r="O30" s="499">
        <f>$B$30*'05 - Relação de funcionários'!N30</f>
        <v>4151.9815559999997</v>
      </c>
      <c r="P30" s="499">
        <f>$B$30*'05 - Relação de funcionários'!O30</f>
        <v>4151.9815559999997</v>
      </c>
      <c r="Q30" s="499">
        <f>$B$30*'05 - Relação de funcionários'!P30</f>
        <v>4151.9815559999997</v>
      </c>
      <c r="R30" s="499">
        <f>$B$30*'05 - Relação de funcionários'!Q30</f>
        <v>4151.9815559999997</v>
      </c>
      <c r="S30" s="499">
        <f>$B$30*'05 - Relação de funcionários'!R30</f>
        <v>4151.9815559999997</v>
      </c>
      <c r="T30" s="499">
        <f>$B$30*'05 - Relação de funcionários'!S30</f>
        <v>4151.9815559999997</v>
      </c>
      <c r="U30" s="499">
        <f>$B$30*'05 - Relação de funcionários'!T30</f>
        <v>4151.9815559999997</v>
      </c>
      <c r="V30" s="499">
        <f>$B$30*'05 - Relação de funcionários'!U30</f>
        <v>4151.9815559999997</v>
      </c>
      <c r="W30" s="499">
        <f>$B$30*'05 - Relação de funcionários'!V30</f>
        <v>4151.9815559999997</v>
      </c>
      <c r="X30" s="499">
        <f>$B$30*'05 - Relação de funcionários'!W30</f>
        <v>4151.9815559999997</v>
      </c>
      <c r="Y30" s="499">
        <f>$B$30*'05 - Relação de funcionários'!X30</f>
        <v>4151.9815559999997</v>
      </c>
      <c r="Z30" s="499">
        <f>$B$30*'05 - Relação de funcionários'!Y30</f>
        <v>4151.9815559999997</v>
      </c>
      <c r="AA30" s="499">
        <f>$B$30*'05 - Relação de funcionários'!Z30</f>
        <v>4151.9815559999997</v>
      </c>
      <c r="AB30" s="499">
        <f>$B$30*'05 - Relação de funcionários'!AA30</f>
        <v>4151.9815559999997</v>
      </c>
      <c r="AC30" s="499">
        <f>$B$30*'05 - Relação de funcionários'!AB30</f>
        <v>4151.9815559999997</v>
      </c>
      <c r="AD30" s="499">
        <f>$B$30*'05 - Relação de funcionários'!AC30</f>
        <v>4151.9815559999997</v>
      </c>
      <c r="AE30" s="499">
        <f>$B$30*'05 - Relação de funcionários'!AD30</f>
        <v>4151.9815559999997</v>
      </c>
      <c r="AF30" s="499">
        <f>$B$30*'05 - Relação de funcionários'!AE30</f>
        <v>4151.9815559999997</v>
      </c>
      <c r="AG30" s="499">
        <f>$B$30*'05 - Relação de funcionários'!AF30</f>
        <v>4151.9815559999997</v>
      </c>
      <c r="AH30" s="499">
        <f>$B$30*'05 - Relação de funcionários'!AG30</f>
        <v>4151.9815559999997</v>
      </c>
      <c r="AI30" s="499">
        <f>$B$30*'05 - Relação de funcionários'!AH30</f>
        <v>4151.9815559999997</v>
      </c>
      <c r="AJ30" s="499">
        <f>$B$30*'05 - Relação de funcionários'!AI30</f>
        <v>4151.9815559999997</v>
      </c>
      <c r="AK30" s="499">
        <f>$B$30*'05 - Relação de funcionários'!AJ30</f>
        <v>4151.9815559999997</v>
      </c>
    </row>
    <row r="31" spans="1:37" ht="13.15" customHeight="1" x14ac:dyDescent="0.2">
      <c r="A31" s="15" t="s">
        <v>854</v>
      </c>
      <c r="B31" s="508">
        <f>'06 - Salários e encargos'!B18</f>
        <v>4151.9815559999997</v>
      </c>
      <c r="C31" s="499">
        <f>$B$31*'05 - Relação de funcionários'!B31</f>
        <v>4151.9815559999997</v>
      </c>
      <c r="D31" s="499">
        <f>$B$31*'05 - Relação de funcionários'!C31</f>
        <v>4151.9815559999997</v>
      </c>
      <c r="E31" s="499">
        <f>$B$31*'05 - Relação de funcionários'!D31</f>
        <v>4151.9815559999997</v>
      </c>
      <c r="F31" s="499">
        <f>$B$31*'05 - Relação de funcionários'!E31</f>
        <v>4151.9815559999997</v>
      </c>
      <c r="G31" s="499">
        <f>$B$31*'05 - Relação de funcionários'!F31</f>
        <v>4151.9815559999997</v>
      </c>
      <c r="H31" s="499">
        <f>$B$31*'05 - Relação de funcionários'!G31</f>
        <v>4151.9815559999997</v>
      </c>
      <c r="I31" s="499">
        <f>$B$31*'05 - Relação de funcionários'!H31</f>
        <v>4151.9815559999997</v>
      </c>
      <c r="J31" s="499">
        <f>$B$31*'05 - Relação de funcionários'!I31</f>
        <v>4151.9815559999997</v>
      </c>
      <c r="K31" s="499">
        <f>$B$31*'05 - Relação de funcionários'!J31</f>
        <v>4151.9815559999997</v>
      </c>
      <c r="L31" s="499">
        <f>$B$31*'05 - Relação de funcionários'!K31</f>
        <v>4151.9815559999997</v>
      </c>
      <c r="M31" s="499">
        <f>$B$31*'05 - Relação de funcionários'!L31</f>
        <v>4151.9815559999997</v>
      </c>
      <c r="N31" s="499">
        <f>$B$31*'05 - Relação de funcionários'!M31</f>
        <v>4151.9815559999997</v>
      </c>
      <c r="O31" s="499">
        <f>$B$31*'05 - Relação de funcionários'!N31</f>
        <v>4151.9815559999997</v>
      </c>
      <c r="P31" s="499">
        <f>$B$31*'05 - Relação de funcionários'!O31</f>
        <v>4151.9815559999997</v>
      </c>
      <c r="Q31" s="499">
        <f>$B$31*'05 - Relação de funcionários'!P31</f>
        <v>4151.9815559999997</v>
      </c>
      <c r="R31" s="499">
        <f>$B$31*'05 - Relação de funcionários'!Q31</f>
        <v>4151.9815559999997</v>
      </c>
      <c r="S31" s="499">
        <f>$B$31*'05 - Relação de funcionários'!R31</f>
        <v>4151.9815559999997</v>
      </c>
      <c r="T31" s="499">
        <f>$B$31*'05 - Relação de funcionários'!S31</f>
        <v>4151.9815559999997</v>
      </c>
      <c r="U31" s="499">
        <f>$B$31*'05 - Relação de funcionários'!T31</f>
        <v>4151.9815559999997</v>
      </c>
      <c r="V31" s="499">
        <f>$B$31*'05 - Relação de funcionários'!U31</f>
        <v>4151.9815559999997</v>
      </c>
      <c r="W31" s="499">
        <f>$B$31*'05 - Relação de funcionários'!V31</f>
        <v>4151.9815559999997</v>
      </c>
      <c r="X31" s="499">
        <f>$B$31*'05 - Relação de funcionários'!W31</f>
        <v>4151.9815559999997</v>
      </c>
      <c r="Y31" s="499">
        <f>$B$31*'05 - Relação de funcionários'!X31</f>
        <v>4151.9815559999997</v>
      </c>
      <c r="Z31" s="499">
        <f>$B$31*'05 - Relação de funcionários'!Y31</f>
        <v>4151.9815559999997</v>
      </c>
      <c r="AA31" s="499">
        <f>$B$31*'05 - Relação de funcionários'!Z31</f>
        <v>4151.9815559999997</v>
      </c>
      <c r="AB31" s="499">
        <f>$B$31*'05 - Relação de funcionários'!AA31</f>
        <v>4151.9815559999997</v>
      </c>
      <c r="AC31" s="499">
        <f>$B$31*'05 - Relação de funcionários'!AB31</f>
        <v>4151.9815559999997</v>
      </c>
      <c r="AD31" s="499">
        <f>$B$31*'05 - Relação de funcionários'!AC31</f>
        <v>4151.9815559999997</v>
      </c>
      <c r="AE31" s="499">
        <f>$B$31*'05 - Relação de funcionários'!AD31</f>
        <v>4151.9815559999997</v>
      </c>
      <c r="AF31" s="499">
        <f>$B$31*'05 - Relação de funcionários'!AE31</f>
        <v>4151.9815559999997</v>
      </c>
      <c r="AG31" s="499">
        <f>$B$31*'05 - Relação de funcionários'!AF31</f>
        <v>4151.9815559999997</v>
      </c>
      <c r="AH31" s="499">
        <f>$B$31*'05 - Relação de funcionários'!AG31</f>
        <v>4151.9815559999997</v>
      </c>
      <c r="AI31" s="499">
        <f>$B$31*'05 - Relação de funcionários'!AH31</f>
        <v>4151.9815559999997</v>
      </c>
      <c r="AJ31" s="499">
        <f>$B$31*'05 - Relação de funcionários'!AI31</f>
        <v>4151.9815559999997</v>
      </c>
      <c r="AK31" s="499">
        <f>$B$31*'05 - Relação de funcionários'!AJ31</f>
        <v>4151.9815559999997</v>
      </c>
    </row>
    <row r="32" spans="1:37" ht="13.15" customHeight="1" x14ac:dyDescent="0.2">
      <c r="A32" s="15" t="s">
        <v>855</v>
      </c>
      <c r="B32" s="508">
        <f>'06 - Salários e encargos'!B19</f>
        <v>13000.9288</v>
      </c>
      <c r="C32" s="499">
        <f>$B$32*'05 - Relação de funcionários'!B32</f>
        <v>13000.9288</v>
      </c>
      <c r="D32" s="499">
        <f>$B$32*'05 - Relação de funcionários'!C32</f>
        <v>13000.9288</v>
      </c>
      <c r="E32" s="499">
        <f>$B$32*'05 - Relação de funcionários'!D32</f>
        <v>13000.9288</v>
      </c>
      <c r="F32" s="499">
        <f>$B$32*'05 - Relação de funcionários'!E32</f>
        <v>13000.9288</v>
      </c>
      <c r="G32" s="499">
        <f>$B$32*'05 - Relação de funcionários'!F32</f>
        <v>13000.9288</v>
      </c>
      <c r="H32" s="499">
        <f>$B$32*'05 - Relação de funcionários'!G32</f>
        <v>13000.9288</v>
      </c>
      <c r="I32" s="499">
        <f>$B$32*'05 - Relação de funcionários'!H32</f>
        <v>13000.9288</v>
      </c>
      <c r="J32" s="499">
        <f>$B$32*'05 - Relação de funcionários'!I32</f>
        <v>13000.9288</v>
      </c>
      <c r="K32" s="499">
        <f>$B$32*'05 - Relação de funcionários'!J32</f>
        <v>13000.9288</v>
      </c>
      <c r="L32" s="499">
        <f>$B$32*'05 - Relação de funcionários'!K32</f>
        <v>13000.9288</v>
      </c>
      <c r="M32" s="499">
        <f>$B$32*'05 - Relação de funcionários'!L32</f>
        <v>13000.9288</v>
      </c>
      <c r="N32" s="499">
        <f>$B$32*'05 - Relação de funcionários'!M32</f>
        <v>13000.9288</v>
      </c>
      <c r="O32" s="499">
        <f>$B$32*'05 - Relação de funcionários'!N32</f>
        <v>13000.9288</v>
      </c>
      <c r="P32" s="499">
        <f>$B$32*'05 - Relação de funcionários'!O32</f>
        <v>13000.9288</v>
      </c>
      <c r="Q32" s="499">
        <f>$B$32*'05 - Relação de funcionários'!P32</f>
        <v>13000.9288</v>
      </c>
      <c r="R32" s="499">
        <f>$B$32*'05 - Relação de funcionários'!Q32</f>
        <v>13000.9288</v>
      </c>
      <c r="S32" s="499">
        <f>$B$32*'05 - Relação de funcionários'!R32</f>
        <v>13000.9288</v>
      </c>
      <c r="T32" s="499">
        <f>$B$32*'05 - Relação de funcionários'!S32</f>
        <v>13000.9288</v>
      </c>
      <c r="U32" s="499">
        <f>$B$32*'05 - Relação de funcionários'!T32</f>
        <v>13000.9288</v>
      </c>
      <c r="V32" s="499">
        <f>$B$32*'05 - Relação de funcionários'!U32</f>
        <v>13000.9288</v>
      </c>
      <c r="W32" s="499">
        <f>$B$32*'05 - Relação de funcionários'!V32</f>
        <v>13000.9288</v>
      </c>
      <c r="X32" s="499">
        <f>$B$32*'05 - Relação de funcionários'!W32</f>
        <v>13000.9288</v>
      </c>
      <c r="Y32" s="499">
        <f>$B$32*'05 - Relação de funcionários'!X32</f>
        <v>13000.9288</v>
      </c>
      <c r="Z32" s="499">
        <f>$B$32*'05 - Relação de funcionários'!Y32</f>
        <v>13000.9288</v>
      </c>
      <c r="AA32" s="499">
        <f>$B$32*'05 - Relação de funcionários'!Z32</f>
        <v>13000.9288</v>
      </c>
      <c r="AB32" s="499">
        <f>$B$32*'05 - Relação de funcionários'!AA32</f>
        <v>13000.9288</v>
      </c>
      <c r="AC32" s="499">
        <f>$B$32*'05 - Relação de funcionários'!AB32</f>
        <v>13000.9288</v>
      </c>
      <c r="AD32" s="499">
        <f>$B$32*'05 - Relação de funcionários'!AC32</f>
        <v>13000.9288</v>
      </c>
      <c r="AE32" s="499">
        <f>$B$32*'05 - Relação de funcionários'!AD32</f>
        <v>13000.9288</v>
      </c>
      <c r="AF32" s="499">
        <f>$B$32*'05 - Relação de funcionários'!AE32</f>
        <v>13000.9288</v>
      </c>
      <c r="AG32" s="499">
        <f>$B$32*'05 - Relação de funcionários'!AF32</f>
        <v>13000.9288</v>
      </c>
      <c r="AH32" s="499">
        <f>$B$32*'05 - Relação de funcionários'!AG32</f>
        <v>13000.9288</v>
      </c>
      <c r="AI32" s="499">
        <f>$B$32*'05 - Relação de funcionários'!AH32</f>
        <v>13000.9288</v>
      </c>
      <c r="AJ32" s="499">
        <f>$B$32*'05 - Relação de funcionários'!AI32</f>
        <v>13000.9288</v>
      </c>
      <c r="AK32" s="499">
        <f>$B$32*'05 - Relação de funcionários'!AJ32</f>
        <v>13000.9288</v>
      </c>
    </row>
    <row r="33" spans="1:37" ht="13.15" customHeight="1" x14ac:dyDescent="0.2">
      <c r="A33" s="15" t="s">
        <v>856</v>
      </c>
      <c r="B33" s="508">
        <f>'06 - Salários e encargos'!B20</f>
        <v>4151.9815559999997</v>
      </c>
      <c r="C33" s="499">
        <f>$B$33*'05 - Relação de funcionários'!B33</f>
        <v>4151.9815559999997</v>
      </c>
      <c r="D33" s="499">
        <f>$B$33*'05 - Relação de funcionários'!C33</f>
        <v>4151.9815559999997</v>
      </c>
      <c r="E33" s="499">
        <f>$B$33*'05 - Relação de funcionários'!D33</f>
        <v>4151.9815559999997</v>
      </c>
      <c r="F33" s="499">
        <f>$B$33*'05 - Relação de funcionários'!E33</f>
        <v>4151.9815559999997</v>
      </c>
      <c r="G33" s="499">
        <f>$B$33*'05 - Relação de funcionários'!F33</f>
        <v>4151.9815559999997</v>
      </c>
      <c r="H33" s="499">
        <f>$B$33*'05 - Relação de funcionários'!G33</f>
        <v>4151.9815559999997</v>
      </c>
      <c r="I33" s="499">
        <f>$B$33*'05 - Relação de funcionários'!H33</f>
        <v>4151.9815559999997</v>
      </c>
      <c r="J33" s="499">
        <f>$B$33*'05 - Relação de funcionários'!I33</f>
        <v>4151.9815559999997</v>
      </c>
      <c r="K33" s="499">
        <f>$B$33*'05 - Relação de funcionários'!J33</f>
        <v>4151.9815559999997</v>
      </c>
      <c r="L33" s="499">
        <f>$B$33*'05 - Relação de funcionários'!K33</f>
        <v>4151.9815559999997</v>
      </c>
      <c r="M33" s="499">
        <f>$B$33*'05 - Relação de funcionários'!L33</f>
        <v>4151.9815559999997</v>
      </c>
      <c r="N33" s="499">
        <f>$B$33*'05 - Relação de funcionários'!M33</f>
        <v>4151.9815559999997</v>
      </c>
      <c r="O33" s="499">
        <f>$B$33*'05 - Relação de funcionários'!N33</f>
        <v>4151.9815559999997</v>
      </c>
      <c r="P33" s="499">
        <f>$B$33*'05 - Relação de funcionários'!O33</f>
        <v>4151.9815559999997</v>
      </c>
      <c r="Q33" s="499">
        <f>$B$33*'05 - Relação de funcionários'!P33</f>
        <v>4151.9815559999997</v>
      </c>
      <c r="R33" s="499">
        <f>$B$33*'05 - Relação de funcionários'!Q33</f>
        <v>4151.9815559999997</v>
      </c>
      <c r="S33" s="499">
        <f>$B$33*'05 - Relação de funcionários'!R33</f>
        <v>4151.9815559999997</v>
      </c>
      <c r="T33" s="499">
        <f>$B$33*'05 - Relação de funcionários'!S33</f>
        <v>4151.9815559999997</v>
      </c>
      <c r="U33" s="499">
        <f>$B$33*'05 - Relação de funcionários'!T33</f>
        <v>4151.9815559999997</v>
      </c>
      <c r="V33" s="499">
        <f>$B$33*'05 - Relação de funcionários'!U33</f>
        <v>4151.9815559999997</v>
      </c>
      <c r="W33" s="499">
        <f>$B$33*'05 - Relação de funcionários'!V33</f>
        <v>4151.9815559999997</v>
      </c>
      <c r="X33" s="499">
        <f>$B$33*'05 - Relação de funcionários'!W33</f>
        <v>4151.9815559999997</v>
      </c>
      <c r="Y33" s="499">
        <f>$B$33*'05 - Relação de funcionários'!X33</f>
        <v>4151.9815559999997</v>
      </c>
      <c r="Z33" s="499">
        <f>$B$33*'05 - Relação de funcionários'!Y33</f>
        <v>4151.9815559999997</v>
      </c>
      <c r="AA33" s="499">
        <f>$B$33*'05 - Relação de funcionários'!Z33</f>
        <v>4151.9815559999997</v>
      </c>
      <c r="AB33" s="499">
        <f>$B$33*'05 - Relação de funcionários'!AA33</f>
        <v>4151.9815559999997</v>
      </c>
      <c r="AC33" s="499">
        <f>$B$33*'05 - Relação de funcionários'!AB33</f>
        <v>4151.9815559999997</v>
      </c>
      <c r="AD33" s="499">
        <f>$B$33*'05 - Relação de funcionários'!AC33</f>
        <v>4151.9815559999997</v>
      </c>
      <c r="AE33" s="499">
        <f>$B$33*'05 - Relação de funcionários'!AD33</f>
        <v>4151.9815559999997</v>
      </c>
      <c r="AF33" s="499">
        <f>$B$33*'05 - Relação de funcionários'!AE33</f>
        <v>4151.9815559999997</v>
      </c>
      <c r="AG33" s="499">
        <f>$B$33*'05 - Relação de funcionários'!AF33</f>
        <v>4151.9815559999997</v>
      </c>
      <c r="AH33" s="499">
        <f>$B$33*'05 - Relação de funcionários'!AG33</f>
        <v>4151.9815559999997</v>
      </c>
      <c r="AI33" s="499">
        <f>$B$33*'05 - Relação de funcionários'!AH33</f>
        <v>4151.9815559999997</v>
      </c>
      <c r="AJ33" s="499">
        <f>$B$33*'05 - Relação de funcionários'!AI33</f>
        <v>4151.9815559999997</v>
      </c>
      <c r="AK33" s="499">
        <f>$B$33*'05 - Relação de funcionários'!AJ33</f>
        <v>4151.9815559999997</v>
      </c>
    </row>
    <row r="34" spans="1:37" ht="13.15" customHeight="1" x14ac:dyDescent="0.2">
      <c r="A34" s="15" t="s">
        <v>857</v>
      </c>
      <c r="B34" s="508">
        <f>'06 - Salários e encargos'!B21</f>
        <v>4151.9815559999997</v>
      </c>
      <c r="C34" s="499">
        <f>$B$34*'05 - Relação de funcionários'!B34</f>
        <v>4151.9815559999997</v>
      </c>
      <c r="D34" s="499">
        <f>$B$34*'05 - Relação de funcionários'!C34</f>
        <v>4151.9815559999997</v>
      </c>
      <c r="E34" s="499">
        <f>$B$34*'05 - Relação de funcionários'!D34</f>
        <v>4151.9815559999997</v>
      </c>
      <c r="F34" s="499">
        <f>$B$34*'05 - Relação de funcionários'!E34</f>
        <v>4151.9815559999997</v>
      </c>
      <c r="G34" s="499">
        <f>$B$34*'05 - Relação de funcionários'!F34</f>
        <v>4151.9815559999997</v>
      </c>
      <c r="H34" s="499">
        <f>$B$34*'05 - Relação de funcionários'!G34</f>
        <v>4151.9815559999997</v>
      </c>
      <c r="I34" s="499">
        <f>$B$34*'05 - Relação de funcionários'!H34</f>
        <v>4151.9815559999997</v>
      </c>
      <c r="J34" s="499">
        <f>$B$34*'05 - Relação de funcionários'!I34</f>
        <v>4151.9815559999997</v>
      </c>
      <c r="K34" s="499">
        <f>$B$34*'05 - Relação de funcionários'!J34</f>
        <v>4151.9815559999997</v>
      </c>
      <c r="L34" s="499">
        <f>$B$34*'05 - Relação de funcionários'!K34</f>
        <v>4151.9815559999997</v>
      </c>
      <c r="M34" s="499">
        <f>$B$34*'05 - Relação de funcionários'!L34</f>
        <v>4151.9815559999997</v>
      </c>
      <c r="N34" s="499">
        <f>$B$34*'05 - Relação de funcionários'!M34</f>
        <v>4151.9815559999997</v>
      </c>
      <c r="O34" s="499">
        <f>$B$34*'05 - Relação de funcionários'!N34</f>
        <v>4151.9815559999997</v>
      </c>
      <c r="P34" s="499">
        <f>$B$34*'05 - Relação de funcionários'!O34</f>
        <v>4151.9815559999997</v>
      </c>
      <c r="Q34" s="499">
        <f>$B$34*'05 - Relação de funcionários'!P34</f>
        <v>4151.9815559999997</v>
      </c>
      <c r="R34" s="499">
        <f>$B$34*'05 - Relação de funcionários'!Q34</f>
        <v>4151.9815559999997</v>
      </c>
      <c r="S34" s="499">
        <f>$B$34*'05 - Relação de funcionários'!R34</f>
        <v>4151.9815559999997</v>
      </c>
      <c r="T34" s="499">
        <f>$B$34*'05 - Relação de funcionários'!S34</f>
        <v>4151.9815559999997</v>
      </c>
      <c r="U34" s="499">
        <f>$B$34*'05 - Relação de funcionários'!T34</f>
        <v>4151.9815559999997</v>
      </c>
      <c r="V34" s="499">
        <f>$B$34*'05 - Relação de funcionários'!U34</f>
        <v>4151.9815559999997</v>
      </c>
      <c r="W34" s="499">
        <f>$B$34*'05 - Relação de funcionários'!V34</f>
        <v>4151.9815559999997</v>
      </c>
      <c r="X34" s="499">
        <f>$B$34*'05 - Relação de funcionários'!W34</f>
        <v>4151.9815559999997</v>
      </c>
      <c r="Y34" s="499">
        <f>$B$34*'05 - Relação de funcionários'!X34</f>
        <v>4151.9815559999997</v>
      </c>
      <c r="Z34" s="499">
        <f>$B$34*'05 - Relação de funcionários'!Y34</f>
        <v>4151.9815559999997</v>
      </c>
      <c r="AA34" s="499">
        <f>$B$34*'05 - Relação de funcionários'!Z34</f>
        <v>4151.9815559999997</v>
      </c>
      <c r="AB34" s="499">
        <f>$B$34*'05 - Relação de funcionários'!AA34</f>
        <v>4151.9815559999997</v>
      </c>
      <c r="AC34" s="499">
        <f>$B$34*'05 - Relação de funcionários'!AB34</f>
        <v>4151.9815559999997</v>
      </c>
      <c r="AD34" s="499">
        <f>$B$34*'05 - Relação de funcionários'!AC34</f>
        <v>4151.9815559999997</v>
      </c>
      <c r="AE34" s="499">
        <f>$B$34*'05 - Relação de funcionários'!AD34</f>
        <v>4151.9815559999997</v>
      </c>
      <c r="AF34" s="499">
        <f>$B$34*'05 - Relação de funcionários'!AE34</f>
        <v>4151.9815559999997</v>
      </c>
      <c r="AG34" s="499">
        <f>$B$34*'05 - Relação de funcionários'!AF34</f>
        <v>4151.9815559999997</v>
      </c>
      <c r="AH34" s="499">
        <f>$B$34*'05 - Relação de funcionários'!AG34</f>
        <v>4151.9815559999997</v>
      </c>
      <c r="AI34" s="499">
        <f>$B$34*'05 - Relação de funcionários'!AH34</f>
        <v>4151.9815559999997</v>
      </c>
      <c r="AJ34" s="499">
        <f>$B$34*'05 - Relação de funcionários'!AI34</f>
        <v>4151.9815559999997</v>
      </c>
      <c r="AK34" s="499">
        <f>$B$34*'05 - Relação de funcionários'!AJ34</f>
        <v>4151.9815559999997</v>
      </c>
    </row>
    <row r="35" spans="1:37" ht="13.15" customHeight="1" x14ac:dyDescent="0.2">
      <c r="A35" s="15" t="s">
        <v>858</v>
      </c>
      <c r="B35" s="508">
        <f>'06 - Salários e encargos'!B22</f>
        <v>7236.02</v>
      </c>
      <c r="C35" s="499">
        <f>$B$35*'05 - Relação de funcionários'!B35</f>
        <v>7236.02</v>
      </c>
      <c r="D35" s="499">
        <f>$B$35*'05 - Relação de funcionários'!C35</f>
        <v>7236.02</v>
      </c>
      <c r="E35" s="499">
        <f>$B$35*'05 - Relação de funcionários'!D35</f>
        <v>7236.02</v>
      </c>
      <c r="F35" s="499">
        <f>$B$35*'05 - Relação de funcionários'!E35</f>
        <v>7236.02</v>
      </c>
      <c r="G35" s="499">
        <f>$B$35*'05 - Relação de funcionários'!F35</f>
        <v>7236.02</v>
      </c>
      <c r="H35" s="499">
        <f>$B$35*'05 - Relação de funcionários'!G35</f>
        <v>7236.02</v>
      </c>
      <c r="I35" s="499">
        <f>$B$35*'05 - Relação de funcionários'!H35</f>
        <v>7236.02</v>
      </c>
      <c r="J35" s="499">
        <f>$B$35*'05 - Relação de funcionários'!I35</f>
        <v>7236.02</v>
      </c>
      <c r="K35" s="499">
        <f>$B$35*'05 - Relação de funcionários'!J35</f>
        <v>7236.02</v>
      </c>
      <c r="L35" s="499">
        <f>$B$35*'05 - Relação de funcionários'!K35</f>
        <v>7236.02</v>
      </c>
      <c r="M35" s="499">
        <f>$B$35*'05 - Relação de funcionários'!L35</f>
        <v>7236.02</v>
      </c>
      <c r="N35" s="499">
        <f>$B$35*'05 - Relação de funcionários'!M35</f>
        <v>7236.02</v>
      </c>
      <c r="O35" s="499">
        <f>$B$35*'05 - Relação de funcionários'!N35</f>
        <v>7236.02</v>
      </c>
      <c r="P35" s="499">
        <f>$B$35*'05 - Relação de funcionários'!O35</f>
        <v>7236.02</v>
      </c>
      <c r="Q35" s="499">
        <f>$B$35*'05 - Relação de funcionários'!P35</f>
        <v>7236.02</v>
      </c>
      <c r="R35" s="499">
        <f>$B$35*'05 - Relação de funcionários'!Q35</f>
        <v>7236.02</v>
      </c>
      <c r="S35" s="499">
        <f>$B$35*'05 - Relação de funcionários'!R35</f>
        <v>7236.02</v>
      </c>
      <c r="T35" s="499">
        <f>$B$35*'05 - Relação de funcionários'!S35</f>
        <v>7236.02</v>
      </c>
      <c r="U35" s="499">
        <f>$B$35*'05 - Relação de funcionários'!T35</f>
        <v>7236.02</v>
      </c>
      <c r="V35" s="499">
        <f>$B$35*'05 - Relação de funcionários'!U35</f>
        <v>7236.02</v>
      </c>
      <c r="W35" s="499">
        <f>$B$35*'05 - Relação de funcionários'!V35</f>
        <v>7236.02</v>
      </c>
      <c r="X35" s="499">
        <f>$B$35*'05 - Relação de funcionários'!W35</f>
        <v>7236.02</v>
      </c>
      <c r="Y35" s="499">
        <f>$B$35*'05 - Relação de funcionários'!X35</f>
        <v>7236.02</v>
      </c>
      <c r="Z35" s="499">
        <f>$B$35*'05 - Relação de funcionários'!Y35</f>
        <v>7236.02</v>
      </c>
      <c r="AA35" s="499">
        <f>$B$35*'05 - Relação de funcionários'!Z35</f>
        <v>7236.02</v>
      </c>
      <c r="AB35" s="499">
        <f>$B$35*'05 - Relação de funcionários'!AA35</f>
        <v>7236.02</v>
      </c>
      <c r="AC35" s="499">
        <f>$B$35*'05 - Relação de funcionários'!AB35</f>
        <v>7236.02</v>
      </c>
      <c r="AD35" s="499">
        <f>$B$35*'05 - Relação de funcionários'!AC35</f>
        <v>7236.02</v>
      </c>
      <c r="AE35" s="499">
        <f>$B$35*'05 - Relação de funcionários'!AD35</f>
        <v>7236.02</v>
      </c>
      <c r="AF35" s="499">
        <f>$B$35*'05 - Relação de funcionários'!AE35</f>
        <v>7236.02</v>
      </c>
      <c r="AG35" s="499">
        <f>$B$35*'05 - Relação de funcionários'!AF35</f>
        <v>7236.02</v>
      </c>
      <c r="AH35" s="499">
        <f>$B$35*'05 - Relação de funcionários'!AG35</f>
        <v>7236.02</v>
      </c>
      <c r="AI35" s="499">
        <f>$B$35*'05 - Relação de funcionários'!AH35</f>
        <v>7236.02</v>
      </c>
      <c r="AJ35" s="499">
        <f>$B$35*'05 - Relação de funcionários'!AI35</f>
        <v>7236.02</v>
      </c>
      <c r="AK35" s="499">
        <f>$B$35*'05 - Relação de funcionários'!AJ35</f>
        <v>7236.02</v>
      </c>
    </row>
    <row r="36" spans="1:37" ht="13.15" customHeight="1" x14ac:dyDescent="0.2">
      <c r="A36" s="19" t="s">
        <v>859</v>
      </c>
      <c r="B36" s="508">
        <f>'06 - Salários e encargos'!B23</f>
        <v>8398.2999999999993</v>
      </c>
      <c r="C36" s="499">
        <f>$B$36*'05 - Relação de funcionários'!B36</f>
        <v>8398.2999999999993</v>
      </c>
      <c r="D36" s="499">
        <f>$B$36*'05 - Relação de funcionários'!C36</f>
        <v>8398.2999999999993</v>
      </c>
      <c r="E36" s="499">
        <f>$B$36*'05 - Relação de funcionários'!D36</f>
        <v>8398.2999999999993</v>
      </c>
      <c r="F36" s="499">
        <f>$B$36*'05 - Relação de funcionários'!E36</f>
        <v>8398.2999999999993</v>
      </c>
      <c r="G36" s="499">
        <f>$B$36*'05 - Relação de funcionários'!F36</f>
        <v>8398.2999999999993</v>
      </c>
      <c r="H36" s="499">
        <f>$B$36*'05 - Relação de funcionários'!G36</f>
        <v>8398.2999999999993</v>
      </c>
      <c r="I36" s="499">
        <f>$B$36*'05 - Relação de funcionários'!H36</f>
        <v>8398.2999999999993</v>
      </c>
      <c r="J36" s="499">
        <f>$B$36*'05 - Relação de funcionários'!I36</f>
        <v>8398.2999999999993</v>
      </c>
      <c r="K36" s="499">
        <f>$B$36*'05 - Relação de funcionários'!J36</f>
        <v>8398.2999999999993</v>
      </c>
      <c r="L36" s="499">
        <f>$B$36*'05 - Relação de funcionários'!K36</f>
        <v>8398.2999999999993</v>
      </c>
      <c r="M36" s="499">
        <f>$B$36*'05 - Relação de funcionários'!L36</f>
        <v>8398.2999999999993</v>
      </c>
      <c r="N36" s="499">
        <f>$B$36*'05 - Relação de funcionários'!M36</f>
        <v>8398.2999999999993</v>
      </c>
      <c r="O36" s="499">
        <f>$B$36*'05 - Relação de funcionários'!N36</f>
        <v>8398.2999999999993</v>
      </c>
      <c r="P36" s="499">
        <f>$B$36*'05 - Relação de funcionários'!O36</f>
        <v>8398.2999999999993</v>
      </c>
      <c r="Q36" s="499">
        <f>$B$36*'05 - Relação de funcionários'!P36</f>
        <v>8398.2999999999993</v>
      </c>
      <c r="R36" s="499">
        <f>$B$36*'05 - Relação de funcionários'!Q36</f>
        <v>8398.2999999999993</v>
      </c>
      <c r="S36" s="499">
        <f>$B$36*'05 - Relação de funcionários'!R36</f>
        <v>8398.2999999999993</v>
      </c>
      <c r="T36" s="499">
        <f>$B$36*'05 - Relação de funcionários'!S36</f>
        <v>8398.2999999999993</v>
      </c>
      <c r="U36" s="499">
        <f>$B$36*'05 - Relação de funcionários'!T36</f>
        <v>8398.2999999999993</v>
      </c>
      <c r="V36" s="499">
        <f>$B$36*'05 - Relação de funcionários'!U36</f>
        <v>8398.2999999999993</v>
      </c>
      <c r="W36" s="499">
        <f>$B$36*'05 - Relação de funcionários'!V36</f>
        <v>8398.2999999999993</v>
      </c>
      <c r="X36" s="499">
        <f>$B$36*'05 - Relação de funcionários'!W36</f>
        <v>8398.2999999999993</v>
      </c>
      <c r="Y36" s="499">
        <f>$B$36*'05 - Relação de funcionários'!X36</f>
        <v>8398.2999999999993</v>
      </c>
      <c r="Z36" s="499">
        <f>$B$36*'05 - Relação de funcionários'!Y36</f>
        <v>8398.2999999999993</v>
      </c>
      <c r="AA36" s="499">
        <f>$B$36*'05 - Relação de funcionários'!Z36</f>
        <v>8398.2999999999993</v>
      </c>
      <c r="AB36" s="499">
        <f>$B$36*'05 - Relação de funcionários'!AA36</f>
        <v>8398.2999999999993</v>
      </c>
      <c r="AC36" s="499">
        <f>$B$36*'05 - Relação de funcionários'!AB36</f>
        <v>8398.2999999999993</v>
      </c>
      <c r="AD36" s="499">
        <f>$B$36*'05 - Relação de funcionários'!AC36</f>
        <v>8398.2999999999993</v>
      </c>
      <c r="AE36" s="499">
        <f>$B$36*'05 - Relação de funcionários'!AD36</f>
        <v>8398.2999999999993</v>
      </c>
      <c r="AF36" s="499">
        <f>$B$36*'05 - Relação de funcionários'!AE36</f>
        <v>8398.2999999999993</v>
      </c>
      <c r="AG36" s="499">
        <f>$B$36*'05 - Relação de funcionários'!AF36</f>
        <v>8398.2999999999993</v>
      </c>
      <c r="AH36" s="499">
        <f>$B$36*'05 - Relação de funcionários'!AG36</f>
        <v>8398.2999999999993</v>
      </c>
      <c r="AI36" s="499">
        <f>$B$36*'05 - Relação de funcionários'!AH36</f>
        <v>8398.2999999999993</v>
      </c>
      <c r="AJ36" s="499">
        <f>$B$36*'05 - Relação de funcionários'!AI36</f>
        <v>8398.2999999999993</v>
      </c>
      <c r="AK36" s="499">
        <f>$B$36*'05 - Relação de funcionários'!AJ36</f>
        <v>8398.2999999999993</v>
      </c>
    </row>
    <row r="37" spans="1:37" ht="13.15" customHeight="1" x14ac:dyDescent="0.2">
      <c r="A37" s="19" t="s">
        <v>860</v>
      </c>
      <c r="B37" s="508">
        <f>'06 - Salários e encargos'!B24</f>
        <v>8066.2199999999993</v>
      </c>
      <c r="C37" s="499">
        <f>$B$37*'05 - Relação de funcionários'!B37</f>
        <v>8066.2199999999993</v>
      </c>
      <c r="D37" s="499">
        <f>$B$37*'05 - Relação de funcionários'!C37</f>
        <v>8066.2199999999993</v>
      </c>
      <c r="E37" s="499">
        <f>$B$37*'05 - Relação de funcionários'!D37</f>
        <v>8066.2199999999993</v>
      </c>
      <c r="F37" s="499">
        <f>$B$37*'05 - Relação de funcionários'!E37</f>
        <v>8066.2199999999993</v>
      </c>
      <c r="G37" s="499">
        <f>$B$37*'05 - Relação de funcionários'!F37</f>
        <v>8066.2199999999993</v>
      </c>
      <c r="H37" s="499">
        <f>$B$37*'05 - Relação de funcionários'!G37</f>
        <v>8066.2199999999993</v>
      </c>
      <c r="I37" s="499">
        <f>$B$37*'05 - Relação de funcionários'!H37</f>
        <v>8066.2199999999993</v>
      </c>
      <c r="J37" s="499">
        <f>$B$37*'05 - Relação de funcionários'!I37</f>
        <v>8066.2199999999993</v>
      </c>
      <c r="K37" s="499">
        <f>$B$37*'05 - Relação de funcionários'!J37</f>
        <v>8066.2199999999993</v>
      </c>
      <c r="L37" s="499">
        <f>$B$37*'05 - Relação de funcionários'!K37</f>
        <v>8066.2199999999993</v>
      </c>
      <c r="M37" s="499">
        <f>$B$37*'05 - Relação de funcionários'!L37</f>
        <v>8066.2199999999993</v>
      </c>
      <c r="N37" s="499">
        <f>$B$37*'05 - Relação de funcionários'!M37</f>
        <v>8066.2199999999993</v>
      </c>
      <c r="O37" s="499">
        <f>$B$37*'05 - Relação de funcionários'!N37</f>
        <v>8066.2199999999993</v>
      </c>
      <c r="P37" s="499">
        <f>$B$37*'05 - Relação de funcionários'!O37</f>
        <v>8066.2199999999993</v>
      </c>
      <c r="Q37" s="499">
        <f>$B$37*'05 - Relação de funcionários'!P37</f>
        <v>8066.2199999999993</v>
      </c>
      <c r="R37" s="499">
        <f>$B$37*'05 - Relação de funcionários'!Q37</f>
        <v>8066.2199999999993</v>
      </c>
      <c r="S37" s="499">
        <f>$B$37*'05 - Relação de funcionários'!R37</f>
        <v>8066.2199999999993</v>
      </c>
      <c r="T37" s="499">
        <f>$B$37*'05 - Relação de funcionários'!S37</f>
        <v>8066.2199999999993</v>
      </c>
      <c r="U37" s="499">
        <f>$B$37*'05 - Relação de funcionários'!T37</f>
        <v>8066.2199999999993</v>
      </c>
      <c r="V37" s="499">
        <f>$B$37*'05 - Relação de funcionários'!U37</f>
        <v>8066.2199999999993</v>
      </c>
      <c r="W37" s="499">
        <f>$B$37*'05 - Relação de funcionários'!V37</f>
        <v>8066.2199999999993</v>
      </c>
      <c r="X37" s="499">
        <f>$B$37*'05 - Relação de funcionários'!W37</f>
        <v>8066.2199999999993</v>
      </c>
      <c r="Y37" s="499">
        <f>$B$37*'05 - Relação de funcionários'!X37</f>
        <v>8066.2199999999993</v>
      </c>
      <c r="Z37" s="499">
        <f>$B$37*'05 - Relação de funcionários'!Y37</f>
        <v>8066.2199999999993</v>
      </c>
      <c r="AA37" s="499">
        <f>$B$37*'05 - Relação de funcionários'!Z37</f>
        <v>8066.2199999999993</v>
      </c>
      <c r="AB37" s="499">
        <f>$B$37*'05 - Relação de funcionários'!AA37</f>
        <v>8066.2199999999993</v>
      </c>
      <c r="AC37" s="499">
        <f>$B$37*'05 - Relação de funcionários'!AB37</f>
        <v>8066.2199999999993</v>
      </c>
      <c r="AD37" s="499">
        <f>$B$37*'05 - Relação de funcionários'!AC37</f>
        <v>8066.2199999999993</v>
      </c>
      <c r="AE37" s="499">
        <f>$B$37*'05 - Relação de funcionários'!AD37</f>
        <v>8066.2199999999993</v>
      </c>
      <c r="AF37" s="499">
        <f>$B$37*'05 - Relação de funcionários'!AE37</f>
        <v>8066.2199999999993</v>
      </c>
      <c r="AG37" s="499">
        <f>$B$37*'05 - Relação de funcionários'!AF37</f>
        <v>8066.2199999999993</v>
      </c>
      <c r="AH37" s="499">
        <f>$B$37*'05 - Relação de funcionários'!AG37</f>
        <v>8066.2199999999993</v>
      </c>
      <c r="AI37" s="499">
        <f>$B$37*'05 - Relação de funcionários'!AH37</f>
        <v>8066.2199999999993</v>
      </c>
      <c r="AJ37" s="499">
        <f>$B$37*'05 - Relação de funcionários'!AI37</f>
        <v>8066.2199999999993</v>
      </c>
      <c r="AK37" s="499">
        <f>$B$37*'05 - Relação de funcionários'!AJ37</f>
        <v>8066.2199999999993</v>
      </c>
    </row>
    <row r="38" spans="1:37" ht="13.15" customHeight="1" x14ac:dyDescent="0.2">
      <c r="A38" s="19" t="s">
        <v>861</v>
      </c>
      <c r="B38" s="508">
        <f>'06 - Salários e encargos'!B25</f>
        <v>3145.1409039999999</v>
      </c>
      <c r="C38" s="499">
        <f>$B$38*'05 - Relação de funcionários'!B38</f>
        <v>6290.2818079999997</v>
      </c>
      <c r="D38" s="499">
        <f>$B$38*'05 - Relação de funcionários'!C38</f>
        <v>6290.2818079999997</v>
      </c>
      <c r="E38" s="499">
        <f>$B$38*'05 - Relação de funcionários'!D38</f>
        <v>6290.2818079999997</v>
      </c>
      <c r="F38" s="499">
        <f>$B$38*'05 - Relação de funcionários'!E38</f>
        <v>6290.2818079999997</v>
      </c>
      <c r="G38" s="499">
        <f>$B$38*'05 - Relação de funcionários'!F38</f>
        <v>6290.2818079999997</v>
      </c>
      <c r="H38" s="499">
        <f>$B$38*'05 - Relação de funcionários'!G38</f>
        <v>6290.2818079999997</v>
      </c>
      <c r="I38" s="499">
        <f>$B$38*'05 - Relação de funcionários'!H38</f>
        <v>6290.2818079999997</v>
      </c>
      <c r="J38" s="499">
        <f>$B$38*'05 - Relação de funcionários'!I38</f>
        <v>6290.2818079999997</v>
      </c>
      <c r="K38" s="499">
        <f>$B$38*'05 - Relação de funcionários'!J38</f>
        <v>6290.2818079999997</v>
      </c>
      <c r="L38" s="499">
        <f>$B$38*'05 - Relação de funcionários'!K38</f>
        <v>6290.2818079999997</v>
      </c>
      <c r="M38" s="499">
        <f>$B$38*'05 - Relação de funcionários'!L38</f>
        <v>6290.2818079999997</v>
      </c>
      <c r="N38" s="499">
        <f>$B$38*'05 - Relação de funcionários'!M38</f>
        <v>6290.2818079999997</v>
      </c>
      <c r="O38" s="499">
        <f>$B$38*'05 - Relação de funcionários'!N38</f>
        <v>6290.2818079999997</v>
      </c>
      <c r="P38" s="499">
        <f>$B$38*'05 - Relação de funcionários'!O38</f>
        <v>6290.2818079999997</v>
      </c>
      <c r="Q38" s="499">
        <f>$B$38*'05 - Relação de funcionários'!P38</f>
        <v>6290.2818079999997</v>
      </c>
      <c r="R38" s="499">
        <f>$B$38*'05 - Relação de funcionários'!Q38</f>
        <v>6290.2818079999997</v>
      </c>
      <c r="S38" s="499">
        <f>$B$38*'05 - Relação de funcionários'!R38</f>
        <v>6290.2818079999997</v>
      </c>
      <c r="T38" s="499">
        <f>$B$38*'05 - Relação de funcionários'!S38</f>
        <v>6290.2818079999997</v>
      </c>
      <c r="U38" s="499">
        <f>$B$38*'05 - Relação de funcionários'!T38</f>
        <v>6290.2818079999997</v>
      </c>
      <c r="V38" s="499">
        <f>$B$38*'05 - Relação de funcionários'!U38</f>
        <v>6290.2818079999997</v>
      </c>
      <c r="W38" s="499">
        <f>$B$38*'05 - Relação de funcionários'!V38</f>
        <v>6290.2818079999997</v>
      </c>
      <c r="X38" s="499">
        <f>$B$38*'05 - Relação de funcionários'!W38</f>
        <v>6290.2818079999997</v>
      </c>
      <c r="Y38" s="499">
        <f>$B$38*'05 - Relação de funcionários'!X38</f>
        <v>6290.2818079999997</v>
      </c>
      <c r="Z38" s="499">
        <f>$B$38*'05 - Relação de funcionários'!Y38</f>
        <v>6290.2818079999997</v>
      </c>
      <c r="AA38" s="499">
        <f>$B$38*'05 - Relação de funcionários'!Z38</f>
        <v>6290.2818079999997</v>
      </c>
      <c r="AB38" s="499">
        <f>$B$38*'05 - Relação de funcionários'!AA38</f>
        <v>6290.2818079999997</v>
      </c>
      <c r="AC38" s="499">
        <f>$B$38*'05 - Relação de funcionários'!AB38</f>
        <v>6290.2818079999997</v>
      </c>
      <c r="AD38" s="499">
        <f>$B$38*'05 - Relação de funcionários'!AC38</f>
        <v>6290.2818079999997</v>
      </c>
      <c r="AE38" s="499">
        <f>$B$38*'05 - Relação de funcionários'!AD38</f>
        <v>6290.2818079999997</v>
      </c>
      <c r="AF38" s="499">
        <f>$B$38*'05 - Relação de funcionários'!AE38</f>
        <v>6290.2818079999997</v>
      </c>
      <c r="AG38" s="499">
        <f>$B$38*'05 - Relação de funcionários'!AF38</f>
        <v>6290.2818079999997</v>
      </c>
      <c r="AH38" s="499">
        <f>$B$38*'05 - Relação de funcionários'!AG38</f>
        <v>6290.2818079999997</v>
      </c>
      <c r="AI38" s="499">
        <f>$B$38*'05 - Relação de funcionários'!AH38</f>
        <v>6290.2818079999997</v>
      </c>
      <c r="AJ38" s="499">
        <f>$B$38*'05 - Relação de funcionários'!AI38</f>
        <v>6290.2818079999997</v>
      </c>
      <c r="AK38" s="499">
        <f>$B$38*'05 - Relação de funcionários'!AJ38</f>
        <v>6290.2818079999997</v>
      </c>
    </row>
    <row r="39" spans="1:37" ht="13.15" customHeight="1" x14ac:dyDescent="0.2">
      <c r="A39" s="19"/>
      <c r="B39" s="508"/>
      <c r="C39" s="499"/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7" s="18" customFormat="1" ht="13.15" customHeight="1" x14ac:dyDescent="0.2">
      <c r="A40" s="17" t="s">
        <v>801</v>
      </c>
      <c r="B40" s="508"/>
      <c r="C40" s="12">
        <f t="shared" ref="C40:AK40" si="13" xml:space="preserve"> SUM( C$41:C$41 )</f>
        <v>21018.120800000001</v>
      </c>
      <c r="D40" s="12">
        <f t="shared" si="13"/>
        <v>21018.120800000001</v>
      </c>
      <c r="E40" s="12">
        <f t="shared" si="13"/>
        <v>21018.120800000001</v>
      </c>
      <c r="F40" s="12">
        <f t="shared" si="13"/>
        <v>21018.120800000001</v>
      </c>
      <c r="G40" s="12">
        <f t="shared" si="13"/>
        <v>21018.120800000001</v>
      </c>
      <c r="H40" s="12">
        <f t="shared" si="13"/>
        <v>21018.120800000001</v>
      </c>
      <c r="I40" s="12">
        <f t="shared" si="13"/>
        <v>21018.120800000001</v>
      </c>
      <c r="J40" s="12">
        <f t="shared" si="13"/>
        <v>21018.120800000001</v>
      </c>
      <c r="K40" s="12">
        <f t="shared" si="13"/>
        <v>21018.120800000001</v>
      </c>
      <c r="L40" s="12">
        <f t="shared" si="13"/>
        <v>21018.120800000001</v>
      </c>
      <c r="M40" s="12">
        <f t="shared" si="13"/>
        <v>21018.120800000001</v>
      </c>
      <c r="N40" s="12">
        <f t="shared" si="13"/>
        <v>21018.120800000001</v>
      </c>
      <c r="O40" s="12">
        <f t="shared" si="13"/>
        <v>21018.120800000001</v>
      </c>
      <c r="P40" s="12">
        <f t="shared" si="13"/>
        <v>21018.120800000001</v>
      </c>
      <c r="Q40" s="12">
        <f t="shared" si="13"/>
        <v>21018.120800000001</v>
      </c>
      <c r="R40" s="12">
        <f t="shared" si="13"/>
        <v>21018.120800000001</v>
      </c>
      <c r="S40" s="12">
        <f t="shared" si="13"/>
        <v>21018.120800000001</v>
      </c>
      <c r="T40" s="12">
        <f t="shared" si="13"/>
        <v>21018.120800000001</v>
      </c>
      <c r="U40" s="12">
        <f t="shared" si="13"/>
        <v>21018.120800000001</v>
      </c>
      <c r="V40" s="12">
        <f t="shared" si="13"/>
        <v>21018.120800000001</v>
      </c>
      <c r="W40" s="12">
        <f t="shared" si="13"/>
        <v>21018.120800000001</v>
      </c>
      <c r="X40" s="12">
        <f t="shared" si="13"/>
        <v>21018.120800000001</v>
      </c>
      <c r="Y40" s="12">
        <f t="shared" si="13"/>
        <v>21018.120800000001</v>
      </c>
      <c r="Z40" s="12">
        <f t="shared" si="13"/>
        <v>21018.120800000001</v>
      </c>
      <c r="AA40" s="12">
        <f t="shared" si="13"/>
        <v>21018.120800000001</v>
      </c>
      <c r="AB40" s="12">
        <f t="shared" si="13"/>
        <v>21018.120800000001</v>
      </c>
      <c r="AC40" s="12">
        <f t="shared" si="13"/>
        <v>21018.120800000001</v>
      </c>
      <c r="AD40" s="12">
        <f t="shared" si="13"/>
        <v>21018.120800000001</v>
      </c>
      <c r="AE40" s="12">
        <f t="shared" si="13"/>
        <v>21018.120800000001</v>
      </c>
      <c r="AF40" s="12">
        <f t="shared" si="13"/>
        <v>21018.120800000001</v>
      </c>
      <c r="AG40" s="12">
        <f t="shared" si="13"/>
        <v>21018.120800000001</v>
      </c>
      <c r="AH40" s="12">
        <f t="shared" si="13"/>
        <v>21018.120800000001</v>
      </c>
      <c r="AI40" s="12">
        <f t="shared" si="13"/>
        <v>21018.120800000001</v>
      </c>
      <c r="AJ40" s="12">
        <f t="shared" si="13"/>
        <v>21018.120800000001</v>
      </c>
      <c r="AK40" s="12">
        <f t="shared" si="13"/>
        <v>21018.120800000001</v>
      </c>
    </row>
    <row r="41" spans="1:37" ht="13.15" customHeight="1" x14ac:dyDescent="0.2">
      <c r="A41" s="15" t="s">
        <v>862</v>
      </c>
      <c r="B41" s="508">
        <f>'06 - Salários e encargos'!B28</f>
        <v>21018.120800000001</v>
      </c>
      <c r="C41" s="499">
        <f>$B$41*'05 - Relação de funcionários'!B41</f>
        <v>21018.120800000001</v>
      </c>
      <c r="D41" s="499">
        <f>$B$41*'05 - Relação de funcionários'!C41</f>
        <v>21018.120800000001</v>
      </c>
      <c r="E41" s="499">
        <f>$B$41*'05 - Relação de funcionários'!D41</f>
        <v>21018.120800000001</v>
      </c>
      <c r="F41" s="499">
        <f>$B$41*'05 - Relação de funcionários'!E41</f>
        <v>21018.120800000001</v>
      </c>
      <c r="G41" s="499">
        <f>$B$41*'05 - Relação de funcionários'!F41</f>
        <v>21018.120800000001</v>
      </c>
      <c r="H41" s="499">
        <f>$B$41*'05 - Relação de funcionários'!G41</f>
        <v>21018.120800000001</v>
      </c>
      <c r="I41" s="499">
        <f>$B$41*'05 - Relação de funcionários'!H41</f>
        <v>21018.120800000001</v>
      </c>
      <c r="J41" s="499">
        <f>$B$41*'05 - Relação de funcionários'!I41</f>
        <v>21018.120800000001</v>
      </c>
      <c r="K41" s="499">
        <f>$B$41*'05 - Relação de funcionários'!J41</f>
        <v>21018.120800000001</v>
      </c>
      <c r="L41" s="499">
        <f>$B$41*'05 - Relação de funcionários'!K41</f>
        <v>21018.120800000001</v>
      </c>
      <c r="M41" s="499">
        <f>$B$41*'05 - Relação de funcionários'!L41</f>
        <v>21018.120800000001</v>
      </c>
      <c r="N41" s="499">
        <f>$B$41*'05 - Relação de funcionários'!M41</f>
        <v>21018.120800000001</v>
      </c>
      <c r="O41" s="499">
        <f>$B$41*'05 - Relação de funcionários'!N41</f>
        <v>21018.120800000001</v>
      </c>
      <c r="P41" s="499">
        <f>$B$41*'05 - Relação de funcionários'!O41</f>
        <v>21018.120800000001</v>
      </c>
      <c r="Q41" s="499">
        <f>$B$41*'05 - Relação de funcionários'!P41</f>
        <v>21018.120800000001</v>
      </c>
      <c r="R41" s="499">
        <f>$B$41*'05 - Relação de funcionários'!Q41</f>
        <v>21018.120800000001</v>
      </c>
      <c r="S41" s="499">
        <f>$B$41*'05 - Relação de funcionários'!R41</f>
        <v>21018.120800000001</v>
      </c>
      <c r="T41" s="499">
        <f>$B$41*'05 - Relação de funcionários'!S41</f>
        <v>21018.120800000001</v>
      </c>
      <c r="U41" s="499">
        <f>$B$41*'05 - Relação de funcionários'!T41</f>
        <v>21018.120800000001</v>
      </c>
      <c r="V41" s="499">
        <f>$B$41*'05 - Relação de funcionários'!U41</f>
        <v>21018.120800000001</v>
      </c>
      <c r="W41" s="499">
        <f>$B$41*'05 - Relação de funcionários'!V41</f>
        <v>21018.120800000001</v>
      </c>
      <c r="X41" s="499">
        <f>$B$41*'05 - Relação de funcionários'!W41</f>
        <v>21018.120800000001</v>
      </c>
      <c r="Y41" s="499">
        <f>$B$41*'05 - Relação de funcionários'!X41</f>
        <v>21018.120800000001</v>
      </c>
      <c r="Z41" s="499">
        <f>$B$41*'05 - Relação de funcionários'!Y41</f>
        <v>21018.120800000001</v>
      </c>
      <c r="AA41" s="499">
        <f>$B$41*'05 - Relação de funcionários'!Z41</f>
        <v>21018.120800000001</v>
      </c>
      <c r="AB41" s="499">
        <f>$B$41*'05 - Relação de funcionários'!AA41</f>
        <v>21018.120800000001</v>
      </c>
      <c r="AC41" s="499">
        <f>$B$41*'05 - Relação de funcionários'!AB41</f>
        <v>21018.120800000001</v>
      </c>
      <c r="AD41" s="499">
        <f>$B$41*'05 - Relação de funcionários'!AC41</f>
        <v>21018.120800000001</v>
      </c>
      <c r="AE41" s="499">
        <f>$B$41*'05 - Relação de funcionários'!AD41</f>
        <v>21018.120800000001</v>
      </c>
      <c r="AF41" s="499">
        <f>$B$41*'05 - Relação de funcionários'!AE41</f>
        <v>21018.120800000001</v>
      </c>
      <c r="AG41" s="499">
        <f>$B$41*'05 - Relação de funcionários'!AF41</f>
        <v>21018.120800000001</v>
      </c>
      <c r="AH41" s="499">
        <f>$B$41*'05 - Relação de funcionários'!AG41</f>
        <v>21018.120800000001</v>
      </c>
      <c r="AI41" s="499">
        <f>$B$41*'05 - Relação de funcionários'!AH41</f>
        <v>21018.120800000001</v>
      </c>
      <c r="AJ41" s="499">
        <f>$B$41*'05 - Relação de funcionários'!AI41</f>
        <v>21018.120800000001</v>
      </c>
      <c r="AK41" s="499">
        <f>$B$41*'05 - Relação de funcionários'!AJ41</f>
        <v>21018.120800000001</v>
      </c>
    </row>
    <row r="42" spans="1:37" ht="13.15" customHeight="1" x14ac:dyDescent="0.2">
      <c r="A42" s="16"/>
      <c r="B42" s="508"/>
      <c r="C42" s="499"/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7" ht="13.15" customHeight="1" x14ac:dyDescent="0.2">
      <c r="A43" s="16" t="s">
        <v>835</v>
      </c>
      <c r="B43" s="508"/>
      <c r="C43" s="12">
        <f xml:space="preserve"> SUM( C$44:C$53 )</f>
        <v>466682.72770400008</v>
      </c>
      <c r="D43" s="12">
        <f t="shared" ref="D43:AK43" si="14" xml:space="preserve"> SUM( D$44:D$53 )</f>
        <v>466682.72770400008</v>
      </c>
      <c r="E43" s="12">
        <f t="shared" si="14"/>
        <v>466682.72770400008</v>
      </c>
      <c r="F43" s="12">
        <f t="shared" si="14"/>
        <v>466682.72770400008</v>
      </c>
      <c r="G43" s="12">
        <f t="shared" si="14"/>
        <v>466682.72770400008</v>
      </c>
      <c r="H43" s="12">
        <f t="shared" si="14"/>
        <v>511031.51598400006</v>
      </c>
      <c r="I43" s="12">
        <f t="shared" si="14"/>
        <v>511031.51598400006</v>
      </c>
      <c r="J43" s="12">
        <f t="shared" si="14"/>
        <v>528134.18195999996</v>
      </c>
      <c r="K43" s="12">
        <f t="shared" si="14"/>
        <v>528134.18195999996</v>
      </c>
      <c r="L43" s="12">
        <f t="shared" si="14"/>
        <v>528134.18195999996</v>
      </c>
      <c r="M43" s="12">
        <f t="shared" si="14"/>
        <v>528134.18195999996</v>
      </c>
      <c r="N43" s="12">
        <f t="shared" si="14"/>
        <v>528134.18195999996</v>
      </c>
      <c r="O43" s="12">
        <f t="shared" si="14"/>
        <v>528134.18195999996</v>
      </c>
      <c r="P43" s="12">
        <f t="shared" si="14"/>
        <v>528134.18195999996</v>
      </c>
      <c r="Q43" s="12">
        <f t="shared" si="14"/>
        <v>528134.18195999996</v>
      </c>
      <c r="R43" s="12">
        <f t="shared" si="14"/>
        <v>528134.18195999996</v>
      </c>
      <c r="S43" s="12">
        <f t="shared" si="14"/>
        <v>528134.18195999996</v>
      </c>
      <c r="T43" s="12">
        <f t="shared" si="14"/>
        <v>528134.18195999996</v>
      </c>
      <c r="U43" s="12">
        <f t="shared" si="14"/>
        <v>528134.18195999996</v>
      </c>
      <c r="V43" s="12">
        <f t="shared" si="14"/>
        <v>528134.18195999996</v>
      </c>
      <c r="W43" s="12">
        <f t="shared" si="14"/>
        <v>528134.18195999996</v>
      </c>
      <c r="X43" s="12">
        <f t="shared" si="14"/>
        <v>528134.18195999996</v>
      </c>
      <c r="Y43" s="12">
        <f t="shared" si="14"/>
        <v>528134.18195999996</v>
      </c>
      <c r="Z43" s="12">
        <f t="shared" si="14"/>
        <v>528134.18195999996</v>
      </c>
      <c r="AA43" s="12">
        <f t="shared" si="14"/>
        <v>528134.18195999996</v>
      </c>
      <c r="AB43" s="12">
        <f t="shared" si="14"/>
        <v>528134.18195999996</v>
      </c>
      <c r="AC43" s="12">
        <f t="shared" si="14"/>
        <v>528134.18195999996</v>
      </c>
      <c r="AD43" s="12">
        <f t="shared" si="14"/>
        <v>528134.18195999996</v>
      </c>
      <c r="AE43" s="12">
        <f t="shared" si="14"/>
        <v>528134.18195999996</v>
      </c>
      <c r="AF43" s="12">
        <f t="shared" si="14"/>
        <v>528134.18195999996</v>
      </c>
      <c r="AG43" s="12">
        <f t="shared" si="14"/>
        <v>528134.18195999996</v>
      </c>
      <c r="AH43" s="12">
        <f t="shared" si="14"/>
        <v>528134.18195999996</v>
      </c>
      <c r="AI43" s="12">
        <f t="shared" si="14"/>
        <v>528134.18195999996</v>
      </c>
      <c r="AJ43" s="12">
        <f t="shared" si="14"/>
        <v>528134.18195999996</v>
      </c>
      <c r="AK43" s="12">
        <f t="shared" si="14"/>
        <v>528134.18195999996</v>
      </c>
    </row>
    <row r="44" spans="1:37" s="40" customFormat="1" ht="13.15" customHeight="1" x14ac:dyDescent="0.2">
      <c r="A44" s="15" t="s">
        <v>863</v>
      </c>
      <c r="B44" s="455">
        <f>'06 - Salários e encargos'!B36</f>
        <v>8016.7999999999993</v>
      </c>
      <c r="C44" s="41">
        <f>$B$44*'05 - Relação de funcionários'!B44</f>
        <v>8016.7999999999993</v>
      </c>
      <c r="D44" s="41">
        <f>$B$44*'05 - Relação de funcionários'!C44</f>
        <v>8016.7999999999993</v>
      </c>
      <c r="E44" s="41">
        <f>$B$44*'05 - Relação de funcionários'!D44</f>
        <v>8016.7999999999993</v>
      </c>
      <c r="F44" s="41">
        <f>$B$44*'05 - Relação de funcionários'!E44</f>
        <v>8016.7999999999993</v>
      </c>
      <c r="G44" s="41">
        <f>$B$44*'05 - Relação de funcionários'!F44</f>
        <v>8016.7999999999993</v>
      </c>
      <c r="H44" s="41">
        <f>$B$44*'05 - Relação de funcionários'!G44</f>
        <v>8016.7999999999993</v>
      </c>
      <c r="I44" s="41">
        <f>$B$44*'05 - Relação de funcionários'!H44</f>
        <v>8016.7999999999993</v>
      </c>
      <c r="J44" s="41">
        <f>$B$44*'05 - Relação de funcionários'!I44</f>
        <v>8016.7999999999993</v>
      </c>
      <c r="K44" s="41">
        <f>$B$44*'05 - Relação de funcionários'!J44</f>
        <v>8016.7999999999993</v>
      </c>
      <c r="L44" s="41">
        <f>$B$44*'05 - Relação de funcionários'!K44</f>
        <v>8016.7999999999993</v>
      </c>
      <c r="M44" s="41">
        <f>$B$44*'05 - Relação de funcionários'!L44</f>
        <v>8016.7999999999993</v>
      </c>
      <c r="N44" s="41">
        <f>$B$44*'05 - Relação de funcionários'!M44</f>
        <v>8016.7999999999993</v>
      </c>
      <c r="O44" s="41">
        <f>$B$44*'05 - Relação de funcionários'!N44</f>
        <v>8016.7999999999993</v>
      </c>
      <c r="P44" s="41">
        <f>$B$44*'05 - Relação de funcionários'!O44</f>
        <v>8016.7999999999993</v>
      </c>
      <c r="Q44" s="41">
        <f>$B$44*'05 - Relação de funcionários'!P44</f>
        <v>8016.7999999999993</v>
      </c>
      <c r="R44" s="41">
        <f>$B$44*'05 - Relação de funcionários'!Q44</f>
        <v>8016.7999999999993</v>
      </c>
      <c r="S44" s="41">
        <f>$B$44*'05 - Relação de funcionários'!R44</f>
        <v>8016.7999999999993</v>
      </c>
      <c r="T44" s="41">
        <f>$B$44*'05 - Relação de funcionários'!S44</f>
        <v>8016.7999999999993</v>
      </c>
      <c r="U44" s="41">
        <f>$B$44*'05 - Relação de funcionários'!T44</f>
        <v>8016.7999999999993</v>
      </c>
      <c r="V44" s="41">
        <f>$B$44*'05 - Relação de funcionários'!U44</f>
        <v>8016.7999999999993</v>
      </c>
      <c r="W44" s="41">
        <f>$B$44*'05 - Relação de funcionários'!V44</f>
        <v>8016.7999999999993</v>
      </c>
      <c r="X44" s="41">
        <f>$B$44*'05 - Relação de funcionários'!W44</f>
        <v>8016.7999999999993</v>
      </c>
      <c r="Y44" s="41">
        <f>$B$44*'05 - Relação de funcionários'!X44</f>
        <v>8016.7999999999993</v>
      </c>
      <c r="Z44" s="41">
        <f>$B$44*'05 - Relação de funcionários'!Y44</f>
        <v>8016.7999999999993</v>
      </c>
      <c r="AA44" s="41">
        <f>$B$44*'05 - Relação de funcionários'!Z44</f>
        <v>8016.7999999999993</v>
      </c>
      <c r="AB44" s="41">
        <f>$B$44*'05 - Relação de funcionários'!AA44</f>
        <v>8016.7999999999993</v>
      </c>
      <c r="AC44" s="41">
        <f>$B$44*'05 - Relação de funcionários'!AB44</f>
        <v>8016.7999999999993</v>
      </c>
      <c r="AD44" s="41">
        <f>$B$44*'05 - Relação de funcionários'!AC44</f>
        <v>8016.7999999999993</v>
      </c>
      <c r="AE44" s="41">
        <f>$B$44*'05 - Relação de funcionários'!AD44</f>
        <v>8016.7999999999993</v>
      </c>
      <c r="AF44" s="41">
        <f>$B$44*'05 - Relação de funcionários'!AE44</f>
        <v>8016.7999999999993</v>
      </c>
      <c r="AG44" s="41">
        <f>$B$44*'05 - Relação de funcionários'!AF44</f>
        <v>8016.7999999999993</v>
      </c>
      <c r="AH44" s="41">
        <f>$B$44*'05 - Relação de funcionários'!AG44</f>
        <v>8016.7999999999993</v>
      </c>
      <c r="AI44" s="41">
        <f>$B$44*'05 - Relação de funcionários'!AH44</f>
        <v>8016.7999999999993</v>
      </c>
      <c r="AJ44" s="41">
        <f>$B$44*'05 - Relação de funcionários'!AI44</f>
        <v>8016.7999999999993</v>
      </c>
      <c r="AK44" s="41">
        <f>$B$44*'05 - Relação de funcionários'!AJ44</f>
        <v>8016.7999999999993</v>
      </c>
    </row>
    <row r="45" spans="1:37" s="40" customFormat="1" ht="13.15" customHeight="1" x14ac:dyDescent="0.2">
      <c r="A45" s="16" t="s">
        <v>864</v>
      </c>
      <c r="B45" s="455"/>
      <c r="C45" s="37"/>
      <c r="D45" s="37">
        <f>C45*'05 - Relação de funcionários'!C45</f>
        <v>0</v>
      </c>
      <c r="E45" s="37">
        <f>D45*'05 - Relação de funcionários'!D45</f>
        <v>0</v>
      </c>
      <c r="F45" s="37">
        <f>E45*'05 - Relação de funcionários'!E45</f>
        <v>0</v>
      </c>
      <c r="G45" s="37">
        <f>F45*'05 - Relação de funcionários'!F45</f>
        <v>0</v>
      </c>
      <c r="H45" s="37">
        <f>G45*'05 - Relação de funcionários'!G45</f>
        <v>0</v>
      </c>
      <c r="I45" s="37">
        <f>H45*'05 - Relação de funcionários'!H45</f>
        <v>0</v>
      </c>
      <c r="J45" s="37">
        <f>I45*'05 - Relação de funcionários'!I45</f>
        <v>0</v>
      </c>
      <c r="K45" s="37">
        <f>J45*'05 - Relação de funcionários'!J45</f>
        <v>0</v>
      </c>
      <c r="L45" s="37">
        <f>K45*'05 - Relação de funcionários'!K45</f>
        <v>0</v>
      </c>
      <c r="M45" s="37">
        <f>L45*'05 - Relação de funcionários'!L45</f>
        <v>0</v>
      </c>
      <c r="N45" s="37">
        <f>M45*'05 - Relação de funcionários'!M45</f>
        <v>0</v>
      </c>
      <c r="O45" s="37">
        <f>N45*'05 - Relação de funcionários'!N45</f>
        <v>0</v>
      </c>
      <c r="P45" s="37">
        <f>O45*'05 - Relação de funcionários'!O45</f>
        <v>0</v>
      </c>
      <c r="Q45" s="37">
        <f>P45*'05 - Relação de funcionários'!P45</f>
        <v>0</v>
      </c>
      <c r="R45" s="37">
        <f>Q45*'05 - Relação de funcionários'!Q45</f>
        <v>0</v>
      </c>
      <c r="S45" s="37">
        <f>R45*'05 - Relação de funcionários'!R45</f>
        <v>0</v>
      </c>
      <c r="T45" s="37">
        <f>S45*'05 - Relação de funcionários'!S45</f>
        <v>0</v>
      </c>
      <c r="U45" s="37">
        <f>T45*'05 - Relação de funcionários'!T45</f>
        <v>0</v>
      </c>
      <c r="V45" s="37">
        <f>U45*'05 - Relação de funcionários'!U45</f>
        <v>0</v>
      </c>
      <c r="W45" s="37">
        <f>V45*'05 - Relação de funcionários'!V45</f>
        <v>0</v>
      </c>
      <c r="X45" s="37">
        <f>W45*'05 - Relação de funcionários'!W45</f>
        <v>0</v>
      </c>
      <c r="Y45" s="37">
        <f>X45*'05 - Relação de funcionários'!X45</f>
        <v>0</v>
      </c>
      <c r="Z45" s="37">
        <f>Y45*'05 - Relação de funcionários'!Y45</f>
        <v>0</v>
      </c>
      <c r="AA45" s="37">
        <f>Z45*'05 - Relação de funcionários'!Z45</f>
        <v>0</v>
      </c>
      <c r="AB45" s="37">
        <f>AA45*'05 - Relação de funcionários'!AA45</f>
        <v>0</v>
      </c>
      <c r="AC45" s="37">
        <f>AB45*'05 - Relação de funcionários'!AB45</f>
        <v>0</v>
      </c>
      <c r="AD45" s="37">
        <f>AC45*'05 - Relação de funcionários'!AC45</f>
        <v>0</v>
      </c>
      <c r="AE45" s="37">
        <f>AD45*'05 - Relação de funcionários'!AD45</f>
        <v>0</v>
      </c>
      <c r="AF45" s="37">
        <f>AE45*'05 - Relação de funcionários'!AE45</f>
        <v>0</v>
      </c>
    </row>
    <row r="46" spans="1:37" s="40" customFormat="1" ht="13.15" customHeight="1" x14ac:dyDescent="0.2">
      <c r="A46" s="39" t="s">
        <v>883</v>
      </c>
      <c r="B46" s="455">
        <f>'06 - Salários e encargos'!B38</f>
        <v>4853.8615040000004</v>
      </c>
      <c r="C46" s="37">
        <f>($B$46*'05 - Relação de funcionários'!B46)+(('05 - Relação de funcionários'!B46/3)*('06 - Salários e encargos'!$C$38*'01 - Dados de Entrada'!$C$41))</f>
        <v>130137.42310400002</v>
      </c>
      <c r="D46" s="37">
        <f>($B$46*'05 - Relação de funcionários'!C46)+(('05 - Relação de funcionários'!C46/3)*('06 - Salários e encargos'!$C$38*'01 - Dados de Entrada'!$C$41))</f>
        <v>130137.42310400002</v>
      </c>
      <c r="E46" s="37">
        <f>($B$46*'05 - Relação de funcionários'!D46)+(('05 - Relação de funcionários'!D46/3)*('06 - Salários e encargos'!$C$38*'01 - Dados de Entrada'!$C$41))</f>
        <v>130137.42310400002</v>
      </c>
      <c r="F46" s="37">
        <f>($B$46*'05 - Relação de funcionários'!E46)+(('05 - Relação de funcionários'!E46/3)*('06 - Salários e encargos'!$C$38*'01 - Dados de Entrada'!$C$41))</f>
        <v>130137.42310400002</v>
      </c>
      <c r="G46" s="37">
        <f>($B$46*'05 - Relação de funcionários'!F46)+(('05 - Relação de funcionários'!F46/3)*('06 - Salários e encargos'!$C$38*'01 - Dados de Entrada'!$C$41))</f>
        <v>130137.42310400002</v>
      </c>
      <c r="H46" s="37">
        <f>($B$46*'05 - Relação de funcionários'!G46)+(('05 - Relação de funcionários'!G46/3)*('06 - Salários e encargos'!$C$38*'01 - Dados de Entrada'!$C$41))</f>
        <v>145153.27961600001</v>
      </c>
      <c r="I46" s="37">
        <f>($B$46*'05 - Relação de funcionários'!H46)+(('05 - Relação de funcionários'!H46/3)*('06 - Salários e encargos'!$C$38*'01 - Dados de Entrada'!$C$41))</f>
        <v>145153.27961600001</v>
      </c>
      <c r="J46" s="37">
        <f>($B$46*'05 - Relação de funcionários'!I46)+(('05 - Relação de funcionários'!I46/3)*('06 - Salários e encargos'!$C$38*'01 - Dados de Entrada'!$C$41))</f>
        <v>145153.27961600001</v>
      </c>
      <c r="K46" s="37">
        <f>($B$46*'05 - Relação de funcionários'!J46)+(('05 - Relação de funcionários'!J46/3)*('06 - Salários e encargos'!$C$38*'01 - Dados de Entrada'!$C$41))</f>
        <v>145153.27961600001</v>
      </c>
      <c r="L46" s="37">
        <f>($B$46*'05 - Relação de funcionários'!K46)+(('05 - Relação de funcionários'!K46/3)*('06 - Salários e encargos'!$C$38*'01 - Dados de Entrada'!$C$41))</f>
        <v>145153.27961600001</v>
      </c>
      <c r="M46" s="37">
        <f>($B$46*'05 - Relação de funcionários'!L46)+(('05 - Relação de funcionários'!L46/3)*('06 - Salários e encargos'!$C$38*'01 - Dados de Entrada'!$C$41))</f>
        <v>145153.27961600001</v>
      </c>
      <c r="N46" s="37">
        <f>($B$46*'05 - Relação de funcionários'!M46)+(('05 - Relação de funcionários'!M46/3)*('06 - Salários e encargos'!$C$38*'01 - Dados de Entrada'!$C$41))</f>
        <v>145153.27961600001</v>
      </c>
      <c r="O46" s="37">
        <f>($B$46*'05 - Relação de funcionários'!N46)+(('05 - Relação de funcionários'!N46/3)*('06 - Salários e encargos'!$C$38*'01 - Dados de Entrada'!$C$41))</f>
        <v>145153.27961600001</v>
      </c>
      <c r="P46" s="37">
        <f>($B$46*'05 - Relação de funcionários'!O46)+(('05 - Relação de funcionários'!O46/3)*('06 - Salários e encargos'!$C$38*'01 - Dados de Entrada'!$C$41))</f>
        <v>145153.27961600001</v>
      </c>
      <c r="Q46" s="37">
        <f>($B$46*'05 - Relação de funcionários'!P46)+(('05 - Relação de funcionários'!P46/3)*('06 - Salários e encargos'!$C$38*'01 - Dados de Entrada'!$C$41))</f>
        <v>145153.27961600001</v>
      </c>
      <c r="R46" s="37">
        <f>($B$46*'05 - Relação de funcionários'!Q46)+(('05 - Relação de funcionários'!Q46/3)*('06 - Salários e encargos'!$C$38*'01 - Dados de Entrada'!$C$41))</f>
        <v>145153.27961600001</v>
      </c>
      <c r="S46" s="37">
        <f>($B$46*'05 - Relação de funcionários'!R46)+(('05 - Relação de funcionários'!R46/3)*('06 - Salários e encargos'!$C$38*'01 - Dados de Entrada'!$C$41))</f>
        <v>145153.27961600001</v>
      </c>
      <c r="T46" s="37">
        <f>($B$46*'05 - Relação de funcionários'!S46)+(('05 - Relação de funcionários'!S46/3)*('06 - Salários e encargos'!$C$38*'01 - Dados de Entrada'!$C$41))</f>
        <v>145153.27961600001</v>
      </c>
      <c r="U46" s="37">
        <f>($B$46*'05 - Relação de funcionários'!T46)+(('05 - Relação de funcionários'!T46/3)*('06 - Salários e encargos'!$C$38*'01 - Dados de Entrada'!$C$41))</f>
        <v>145153.27961600001</v>
      </c>
      <c r="V46" s="37">
        <f>($B$46*'05 - Relação de funcionários'!U46)+(('05 - Relação de funcionários'!U46/3)*('06 - Salários e encargos'!$C$38*'01 - Dados de Entrada'!$C$41))</f>
        <v>145153.27961600001</v>
      </c>
      <c r="W46" s="37">
        <f>($B$46*'05 - Relação de funcionários'!V46)+(('05 - Relação de funcionários'!V46/3)*('06 - Salários e encargos'!$C$38*'01 - Dados de Entrada'!$C$41))</f>
        <v>145153.27961600001</v>
      </c>
      <c r="X46" s="37">
        <f>($B$46*'05 - Relação de funcionários'!W46)+(('05 - Relação de funcionários'!W46/3)*('06 - Salários e encargos'!$C$38*'01 - Dados de Entrada'!$C$41))</f>
        <v>145153.27961600001</v>
      </c>
      <c r="Y46" s="37">
        <f>($B$46*'05 - Relação de funcionários'!X46)+(('05 - Relação de funcionários'!X46/3)*('06 - Salários e encargos'!$C$38*'01 - Dados de Entrada'!$C$41))</f>
        <v>145153.27961600001</v>
      </c>
      <c r="Z46" s="37">
        <f>($B$46*'05 - Relação de funcionários'!Y46)+(('05 - Relação de funcionários'!Y46/3)*('06 - Salários e encargos'!$C$38*'01 - Dados de Entrada'!$C$41))</f>
        <v>145153.27961600001</v>
      </c>
      <c r="AA46" s="37">
        <f>($B$46*'05 - Relação de funcionários'!Z46)+(('05 - Relação de funcionários'!Z46/3)*('06 - Salários e encargos'!$C$38*'01 - Dados de Entrada'!$C$41))</f>
        <v>145153.27961600001</v>
      </c>
      <c r="AB46" s="37">
        <f>($B$46*'05 - Relação de funcionários'!AA46)+(('05 - Relação de funcionários'!AA46/3)*('06 - Salários e encargos'!$C$38*'01 - Dados de Entrada'!$C$41))</f>
        <v>145153.27961600001</v>
      </c>
      <c r="AC46" s="37">
        <f>($B$46*'05 - Relação de funcionários'!AB46)+(('05 - Relação de funcionários'!AB46/3)*('06 - Salários e encargos'!$C$38*'01 - Dados de Entrada'!$C$41))</f>
        <v>145153.27961600001</v>
      </c>
      <c r="AD46" s="37">
        <f>($B$46*'05 - Relação de funcionários'!AC46)+(('05 - Relação de funcionários'!AC46/3)*('06 - Salários e encargos'!$C$38*'01 - Dados de Entrada'!$C$41))</f>
        <v>145153.27961600001</v>
      </c>
      <c r="AE46" s="37">
        <f>($B$46*'05 - Relação de funcionários'!AD46)+(('05 - Relação de funcionários'!AD46/3)*('06 - Salários e encargos'!$C$38*'01 - Dados de Entrada'!$C$41))</f>
        <v>145153.27961600001</v>
      </c>
      <c r="AF46" s="37">
        <f>($B$46*'05 - Relação de funcionários'!AE46)+(('05 - Relação de funcionários'!AE46/3)*('06 - Salários e encargos'!$C$38*'01 - Dados de Entrada'!$C$41))</f>
        <v>145153.27961600001</v>
      </c>
      <c r="AG46" s="37">
        <f>($B$46*'05 - Relação de funcionários'!AF46)+(('05 - Relação de funcionários'!AF46/3)*('06 - Salários e encargos'!$C$38*'01 - Dados de Entrada'!$C$41))</f>
        <v>145153.27961600001</v>
      </c>
      <c r="AH46" s="37">
        <f>($B$46*'05 - Relação de funcionários'!AG46)+(('05 - Relação de funcionários'!AG46/3)*('06 - Salários e encargos'!$C$38*'01 - Dados de Entrada'!$C$41))</f>
        <v>145153.27961600001</v>
      </c>
      <c r="AI46" s="37">
        <f>($B$46*'05 - Relação de funcionários'!AH46)+(('05 - Relação de funcionários'!AH46/3)*('06 - Salários e encargos'!$C$38*'01 - Dados de Entrada'!$C$41))</f>
        <v>145153.27961600001</v>
      </c>
      <c r="AJ46" s="37">
        <f>($B$46*'05 - Relação de funcionários'!AI46)+(('05 - Relação de funcionários'!AI46/3)*('06 - Salários e encargos'!$C$38*'01 - Dados de Entrada'!$C$41))</f>
        <v>145153.27961600001</v>
      </c>
      <c r="AK46" s="37">
        <f>($B$46*'05 - Relação de funcionários'!AJ46)+(('05 - Relação de funcionários'!AJ46/3)*('06 - Salários e encargos'!$C$38*'01 - Dados de Entrada'!$C$41))</f>
        <v>145153.27961600001</v>
      </c>
    </row>
    <row r="47" spans="1:37" s="40" customFormat="1" ht="13.15" customHeight="1" x14ac:dyDescent="0.2">
      <c r="A47" s="39" t="s">
        <v>903</v>
      </c>
      <c r="B47" s="455">
        <f>'06 - Salários e encargos'!B39</f>
        <v>4082.9348239999999</v>
      </c>
      <c r="C47" s="37">
        <f>$B$47*SUM('05 - Relação de funcionários'!B47:B47)+(('05 - Relação de funcionários'!B47/3)*('06 - Salários e encargos'!$C$39*'01 - Dados de Entrada'!$C$41))</f>
        <v>184378.42825600001</v>
      </c>
      <c r="D47" s="37">
        <f>$B$47*SUM('05 - Relação de funcionários'!C47:C47)+(('05 - Relação de funcionários'!C47/3)*('06 - Salários e encargos'!$C$39*'01 - Dados de Entrada'!$C$41))</f>
        <v>184378.42825600001</v>
      </c>
      <c r="E47" s="37">
        <f>$B$47*SUM('05 - Relação de funcionários'!D47:D47)+(('05 - Relação de funcionários'!D47/3)*('06 - Salários e encargos'!$C$39*'01 - Dados de Entrada'!$C$41))</f>
        <v>184378.42825600001</v>
      </c>
      <c r="F47" s="37">
        <f>$B$47*SUM('05 - Relação de funcionários'!E47:E47)+(('05 - Relação de funcionários'!E47/3)*('06 - Salários e encargos'!$C$39*'01 - Dados de Entrada'!$C$41))</f>
        <v>184378.42825600001</v>
      </c>
      <c r="G47" s="37">
        <f>$B$47*SUM('05 - Relação de funcionários'!F47:F47)+(('05 - Relação de funcionários'!F47/3)*('06 - Salários e encargos'!$C$39*'01 - Dados de Entrada'!$C$41))</f>
        <v>184378.42825600001</v>
      </c>
      <c r="H47" s="37">
        <f>$B$47*SUM('05 - Relação de funcionários'!G47:G47)+(('05 - Relação de funcionários'!G47/3)*('06 - Salários e encargos'!$C$39*'01 - Dados de Entrada'!$C$41))</f>
        <v>213711.36002399999</v>
      </c>
      <c r="I47" s="37">
        <f>$B$47*SUM('05 - Relação de funcionários'!H47:H47)+(('05 - Relação de funcionários'!H47/3)*('06 - Salários e encargos'!$C$39*'01 - Dados de Entrada'!$C$41))</f>
        <v>213711.36002399999</v>
      </c>
      <c r="J47" s="37">
        <f>$B$47*SUM('05 - Relação de funcionários'!I47:I47)+(('05 - Relação de funcionários'!I47/3)*('06 - Salários e encargos'!$C$39*'01 - Dados de Entrada'!$C$41))</f>
        <v>213711.36002399999</v>
      </c>
      <c r="K47" s="37">
        <f>$B$47*SUM('05 - Relação de funcionários'!J47:J47)+(('05 - Relação de funcionários'!J47/3)*('06 - Salários e encargos'!$C$39*'01 - Dados de Entrada'!$C$41))</f>
        <v>213711.36002399999</v>
      </c>
      <c r="L47" s="37">
        <f>$B$47*SUM('05 - Relação de funcionários'!K47:K47)+(('05 - Relação de funcionários'!K47/3)*('06 - Salários e encargos'!$C$39*'01 - Dados de Entrada'!$C$41))</f>
        <v>213711.36002399999</v>
      </c>
      <c r="M47" s="37">
        <f>$B$47*SUM('05 - Relação de funcionários'!L47:L47)+(('05 - Relação de funcionários'!L47/3)*('06 - Salários e encargos'!$C$39*'01 - Dados de Entrada'!$C$41))</f>
        <v>213711.36002399999</v>
      </c>
      <c r="N47" s="37">
        <f>$B$47*SUM('05 - Relação de funcionários'!M47:M47)+(('05 - Relação de funcionários'!M47/3)*('06 - Salários e encargos'!$C$39*'01 - Dados de Entrada'!$C$41))</f>
        <v>213711.36002399999</v>
      </c>
      <c r="O47" s="37">
        <f>$B$47*SUM('05 - Relação de funcionários'!N47:N47)+(('05 - Relação de funcionários'!N47/3)*('06 - Salários e encargos'!$C$39*'01 - Dados de Entrada'!$C$41))</f>
        <v>213711.36002399999</v>
      </c>
      <c r="P47" s="37">
        <f>$B$47*SUM('05 - Relação de funcionários'!O47:O47)+(('05 - Relação de funcionários'!O47/3)*('06 - Salários e encargos'!$C$39*'01 - Dados de Entrada'!$C$41))</f>
        <v>213711.36002399999</v>
      </c>
      <c r="Q47" s="37">
        <f>$B$47*SUM('05 - Relação de funcionários'!P47:P47)+(('05 - Relação de funcionários'!P47/3)*('06 - Salários e encargos'!$C$39*'01 - Dados de Entrada'!$C$41))</f>
        <v>213711.36002399999</v>
      </c>
      <c r="R47" s="37">
        <f>$B$47*SUM('05 - Relação de funcionários'!Q47:Q47)+(('05 - Relação de funcionários'!Q47/3)*('06 - Salários e encargos'!$C$39*'01 - Dados de Entrada'!$C$41))</f>
        <v>213711.36002399999</v>
      </c>
      <c r="S47" s="37">
        <f>$B$47*SUM('05 - Relação de funcionários'!R47:R47)+(('05 - Relação de funcionários'!R47/3)*('06 - Salários e encargos'!$C$39*'01 - Dados de Entrada'!$C$41))</f>
        <v>213711.36002399999</v>
      </c>
      <c r="T47" s="37">
        <f>$B$47*SUM('05 - Relação de funcionários'!S47:S47)+(('05 - Relação de funcionários'!S47/3)*('06 - Salários e encargos'!$C$39*'01 - Dados de Entrada'!$C$41))</f>
        <v>213711.36002399999</v>
      </c>
      <c r="U47" s="37">
        <f>$B$47*SUM('05 - Relação de funcionários'!T47:T47)+(('05 - Relação de funcionários'!T47/3)*('06 - Salários e encargos'!$C$39*'01 - Dados de Entrada'!$C$41))</f>
        <v>213711.36002399999</v>
      </c>
      <c r="V47" s="37">
        <f>$B$47*SUM('05 - Relação de funcionários'!U47:U47)+(('05 - Relação de funcionários'!U47/3)*('06 - Salários e encargos'!$C$39*'01 - Dados de Entrada'!$C$41))</f>
        <v>213711.36002399999</v>
      </c>
      <c r="W47" s="37">
        <f>$B$47*SUM('05 - Relação de funcionários'!V47:V47)+(('05 - Relação de funcionários'!V47/3)*('06 - Salários e encargos'!$C$39*'01 - Dados de Entrada'!$C$41))</f>
        <v>213711.36002399999</v>
      </c>
      <c r="X47" s="37">
        <f>$B$47*SUM('05 - Relação de funcionários'!W47:W47)+(('05 - Relação de funcionários'!W47/3)*('06 - Salários e encargos'!$C$39*'01 - Dados de Entrada'!$C$41))</f>
        <v>213711.36002399999</v>
      </c>
      <c r="Y47" s="37">
        <f>$B$47*SUM('05 - Relação de funcionários'!X47:X47)+(('05 - Relação de funcionários'!X47/3)*('06 - Salários e encargos'!$C$39*'01 - Dados de Entrada'!$C$41))</f>
        <v>213711.36002399999</v>
      </c>
      <c r="Z47" s="37">
        <f>$B$47*SUM('05 - Relação de funcionários'!Y47:Y47)+(('05 - Relação de funcionários'!Y47/3)*('06 - Salários e encargos'!$C$39*'01 - Dados de Entrada'!$C$41))</f>
        <v>213711.36002399999</v>
      </c>
      <c r="AA47" s="37">
        <f>$B$47*SUM('05 - Relação de funcionários'!Z47:Z47)+(('05 - Relação de funcionários'!Z47/3)*('06 - Salários e encargos'!$C$39*'01 - Dados de Entrada'!$C$41))</f>
        <v>213711.36002399999</v>
      </c>
      <c r="AB47" s="37">
        <f>$B$47*SUM('05 - Relação de funcionários'!AA47:AA47)+(('05 - Relação de funcionários'!AA47/3)*('06 - Salários e encargos'!$C$39*'01 - Dados de Entrada'!$C$41))</f>
        <v>213711.36002399999</v>
      </c>
      <c r="AC47" s="37">
        <f>$B$47*SUM('05 - Relação de funcionários'!AB47:AB47)+(('05 - Relação de funcionários'!AB47/3)*('06 - Salários e encargos'!$C$39*'01 - Dados de Entrada'!$C$41))</f>
        <v>213711.36002399999</v>
      </c>
      <c r="AD47" s="37">
        <f>$B$47*SUM('05 - Relação de funcionários'!AC47:AC47)+(('05 - Relação de funcionários'!AC47/3)*('06 - Salários e encargos'!$C$39*'01 - Dados de Entrada'!$C$41))</f>
        <v>213711.36002399999</v>
      </c>
      <c r="AE47" s="37">
        <f>$B$47*SUM('05 - Relação de funcionários'!AD47:AD47)+(('05 - Relação de funcionários'!AD47/3)*('06 - Salários e encargos'!$C$39*'01 - Dados de Entrada'!$C$41))</f>
        <v>213711.36002399999</v>
      </c>
      <c r="AF47" s="37">
        <f>$B$47*SUM('05 - Relação de funcionários'!AE47:AE47)+(('05 - Relação de funcionários'!AE47/3)*('06 - Salários e encargos'!$C$39*'01 - Dados de Entrada'!$C$41))</f>
        <v>213711.36002399999</v>
      </c>
      <c r="AG47" s="37">
        <f>$B$47*SUM('05 - Relação de funcionários'!AF47:AF47)+(('05 - Relação de funcionários'!AF47/3)*('06 - Salários e encargos'!$C$39*'01 - Dados de Entrada'!$C$41))</f>
        <v>213711.36002399999</v>
      </c>
      <c r="AH47" s="37">
        <f>$B$47*SUM('05 - Relação de funcionários'!AG47:AG47)+(('05 - Relação de funcionários'!AG47/3)*('06 - Salários e encargos'!$C$39*'01 - Dados de Entrada'!$C$41))</f>
        <v>213711.36002399999</v>
      </c>
      <c r="AI47" s="37">
        <f>$B$47*SUM('05 - Relação de funcionários'!AH47:AH47)+(('05 - Relação de funcionários'!AH47/3)*('06 - Salários e encargos'!$C$39*'01 - Dados de Entrada'!$C$41))</f>
        <v>213711.36002399999</v>
      </c>
      <c r="AJ47" s="37">
        <f>$B$47*SUM('05 - Relação de funcionários'!AI47:AI47)+(('05 - Relação de funcionários'!AI47/3)*('06 - Salários e encargos'!$C$39*'01 - Dados de Entrada'!$C$41))</f>
        <v>213711.36002399999</v>
      </c>
      <c r="AK47" s="37">
        <f>$B$47*SUM('05 - Relação de funcionários'!AJ47:AJ47)+(('05 - Relação de funcionários'!AJ47/3)*('06 - Salários e encargos'!$C$39*'01 - Dados de Entrada'!$C$41))</f>
        <v>213711.36002399999</v>
      </c>
    </row>
    <row r="48" spans="1:37" s="40" customFormat="1" ht="13.15" customHeight="1" x14ac:dyDescent="0.2">
      <c r="A48" s="39" t="s">
        <v>867</v>
      </c>
      <c r="B48" s="455">
        <f>'06 - Salários e encargos'!B40</f>
        <v>5003.5501599999998</v>
      </c>
      <c r="C48" s="37">
        <f>($B$48*'05 - Relação de funcionários'!B48)+(('05 - Relação de funcionários'!B48/3)*('06 - Salários e encargos'!$C$40*'01 - Dados de Entrada'!$C$41))</f>
        <v>15497.250480000001</v>
      </c>
      <c r="D48" s="37">
        <f>($B$48*'05 - Relação de funcionários'!C48)+(('05 - Relação de funcionários'!C48/3)*('06 - Salários e encargos'!$C$40*'01 - Dados de Entrada'!$C$41))</f>
        <v>15497.250480000001</v>
      </c>
      <c r="E48" s="37">
        <f>($B$48*'05 - Relação de funcionários'!D48)+(('05 - Relação de funcionários'!D48/3)*('06 - Salários e encargos'!$C$40*'01 - Dados de Entrada'!$C$41))</f>
        <v>15497.250480000001</v>
      </c>
      <c r="F48" s="37">
        <f>($B$48*'05 - Relação de funcionários'!E48)+(('05 - Relação de funcionários'!E48/3)*('06 - Salários e encargos'!$C$40*'01 - Dados de Entrada'!$C$41))</f>
        <v>15497.250480000001</v>
      </c>
      <c r="G48" s="37">
        <f>($B$48*'05 - Relação de funcionários'!F48)+(('05 - Relação de funcionários'!F48/3)*('06 - Salários e encargos'!$C$40*'01 - Dados de Entrada'!$C$41))</f>
        <v>15497.250480000001</v>
      </c>
      <c r="H48" s="37">
        <f>($B$48*'05 - Relação de funcionários'!G48)+(('05 - Relação de funcionários'!G48/3)*('06 - Salários e encargos'!$C$40*'01 - Dados de Entrada'!$C$41))</f>
        <v>15497.250480000001</v>
      </c>
      <c r="I48" s="37">
        <f>($B$48*'05 - Relação de funcionários'!H48)+(('05 - Relação de funcionários'!H48/3)*('06 - Salários e encargos'!$C$40*'01 - Dados de Entrada'!$C$41))</f>
        <v>15497.250480000001</v>
      </c>
      <c r="J48" s="37">
        <f>($B$48*'05 - Relação de funcionários'!I48)+(('05 - Relação de funcionários'!I48/3)*('06 - Salários e encargos'!$C$40*'01 - Dados de Entrada'!$C$41))</f>
        <v>15497.250480000001</v>
      </c>
      <c r="K48" s="37">
        <f>($B$48*'05 - Relação de funcionários'!J48)+(('05 - Relação de funcionários'!J48/3)*('06 - Salários e encargos'!$C$40*'01 - Dados de Entrada'!$C$41))</f>
        <v>15497.250480000001</v>
      </c>
      <c r="L48" s="37">
        <f>($B$48*'05 - Relação de funcionários'!K48)+(('05 - Relação de funcionários'!K48/3)*('06 - Salários e encargos'!$C$40*'01 - Dados de Entrada'!$C$41))</f>
        <v>15497.250480000001</v>
      </c>
      <c r="M48" s="37">
        <f>($B$48*'05 - Relação de funcionários'!L48)+(('05 - Relação de funcionários'!L48/3)*('06 - Salários e encargos'!$C$40*'01 - Dados de Entrada'!$C$41))</f>
        <v>15497.250480000001</v>
      </c>
      <c r="N48" s="37">
        <f>($B$48*'05 - Relação de funcionários'!M48)+(('05 - Relação de funcionários'!M48/3)*('06 - Salários e encargos'!$C$40*'01 - Dados de Entrada'!$C$41))</f>
        <v>15497.250480000001</v>
      </c>
      <c r="O48" s="37">
        <f>($B$48*'05 - Relação de funcionários'!N48)+(('05 - Relação de funcionários'!N48/3)*('06 - Salários e encargos'!$C$40*'01 - Dados de Entrada'!$C$41))</f>
        <v>15497.250480000001</v>
      </c>
      <c r="P48" s="37">
        <f>($B$48*'05 - Relação de funcionários'!O48)+(('05 - Relação de funcionários'!O48/3)*('06 - Salários e encargos'!$C$40*'01 - Dados de Entrada'!$C$41))</f>
        <v>15497.250480000001</v>
      </c>
      <c r="Q48" s="37">
        <f>($B$48*'05 - Relação de funcionários'!P48)+(('05 - Relação de funcionários'!P48/3)*('06 - Salários e encargos'!$C$40*'01 - Dados de Entrada'!$C$41))</f>
        <v>15497.250480000001</v>
      </c>
      <c r="R48" s="37">
        <f>($B$48*'05 - Relação de funcionários'!Q48)+(('05 - Relação de funcionários'!Q48/3)*('06 - Salários e encargos'!$C$40*'01 - Dados de Entrada'!$C$41))</f>
        <v>15497.250480000001</v>
      </c>
      <c r="S48" s="37">
        <f>($B$48*'05 - Relação de funcionários'!R48)+(('05 - Relação de funcionários'!R48/3)*('06 - Salários e encargos'!$C$40*'01 - Dados de Entrada'!$C$41))</f>
        <v>15497.250480000001</v>
      </c>
      <c r="T48" s="37">
        <f>($B$48*'05 - Relação de funcionários'!S48)+(('05 - Relação de funcionários'!S48/3)*('06 - Salários e encargos'!$C$40*'01 - Dados de Entrada'!$C$41))</f>
        <v>15497.250480000001</v>
      </c>
      <c r="U48" s="37">
        <f>($B$48*'05 - Relação de funcionários'!T48)+(('05 - Relação de funcionários'!T48/3)*('06 - Salários e encargos'!$C$40*'01 - Dados de Entrada'!$C$41))</f>
        <v>15497.250480000001</v>
      </c>
      <c r="V48" s="37">
        <f>($B$48*'05 - Relação de funcionários'!U48)+(('05 - Relação de funcionários'!U48/3)*('06 - Salários e encargos'!$C$40*'01 - Dados de Entrada'!$C$41))</f>
        <v>15497.250480000001</v>
      </c>
      <c r="W48" s="37">
        <f>($B$48*'05 - Relação de funcionários'!V48)+(('05 - Relação de funcionários'!V48/3)*('06 - Salários e encargos'!$C$40*'01 - Dados de Entrada'!$C$41))</f>
        <v>15497.250480000001</v>
      </c>
      <c r="X48" s="37">
        <f>($B$48*'05 - Relação de funcionários'!W48)+(('05 - Relação de funcionários'!W48/3)*('06 - Salários e encargos'!$C$40*'01 - Dados de Entrada'!$C$41))</f>
        <v>15497.250480000001</v>
      </c>
      <c r="Y48" s="37">
        <f>($B$48*'05 - Relação de funcionários'!X48)+(('05 - Relação de funcionários'!X48/3)*('06 - Salários e encargos'!$C$40*'01 - Dados de Entrada'!$C$41))</f>
        <v>15497.250480000001</v>
      </c>
      <c r="Z48" s="37">
        <f>($B$48*'05 - Relação de funcionários'!Y48)+(('05 - Relação de funcionários'!Y48/3)*('06 - Salários e encargos'!$C$40*'01 - Dados de Entrada'!$C$41))</f>
        <v>15497.250480000001</v>
      </c>
      <c r="AA48" s="37">
        <f>($B$48*'05 - Relação de funcionários'!Z48)+(('05 - Relação de funcionários'!Z48/3)*('06 - Salários e encargos'!$C$40*'01 - Dados de Entrada'!$C$41))</f>
        <v>15497.250480000001</v>
      </c>
      <c r="AB48" s="37">
        <f>($B$48*'05 - Relação de funcionários'!AA48)+(('05 - Relação de funcionários'!AA48/3)*('06 - Salários e encargos'!$C$40*'01 - Dados de Entrada'!$C$41))</f>
        <v>15497.250480000001</v>
      </c>
      <c r="AC48" s="37">
        <f>($B$48*'05 - Relação de funcionários'!AB48)+(('05 - Relação de funcionários'!AB48/3)*('06 - Salários e encargos'!$C$40*'01 - Dados de Entrada'!$C$41))</f>
        <v>15497.250480000001</v>
      </c>
      <c r="AD48" s="37">
        <f>($B$48*'05 - Relação de funcionários'!AC48)+(('05 - Relação de funcionários'!AC48/3)*('06 - Salários e encargos'!$C$40*'01 - Dados de Entrada'!$C$41))</f>
        <v>15497.250480000001</v>
      </c>
      <c r="AE48" s="37">
        <f>($B$48*'05 - Relação de funcionários'!AD48)+(('05 - Relação de funcionários'!AD48/3)*('06 - Salários e encargos'!$C$40*'01 - Dados de Entrada'!$C$41))</f>
        <v>15497.250480000001</v>
      </c>
      <c r="AF48" s="37">
        <f>($B$48*'05 - Relação de funcionários'!AE48)+(('05 - Relação de funcionários'!AE48/3)*('06 - Salários e encargos'!$C$40*'01 - Dados de Entrada'!$C$41))</f>
        <v>15497.250480000001</v>
      </c>
      <c r="AG48" s="37">
        <f>($B$48*'05 - Relação de funcionários'!AF48)+(('05 - Relação de funcionários'!AF48/3)*('06 - Salários e encargos'!$C$40*'01 - Dados de Entrada'!$C$41))</f>
        <v>15497.250480000001</v>
      </c>
      <c r="AH48" s="37">
        <f>($B$48*'05 - Relação de funcionários'!AG48)+(('05 - Relação de funcionários'!AG48/3)*('06 - Salários e encargos'!$C$40*'01 - Dados de Entrada'!$C$41))</f>
        <v>15497.250480000001</v>
      </c>
      <c r="AI48" s="37">
        <f>($B$48*'05 - Relação de funcionários'!AH48)+(('05 - Relação de funcionários'!AH48/3)*('06 - Salários e encargos'!$C$40*'01 - Dados de Entrada'!$C$41))</f>
        <v>15497.250480000001</v>
      </c>
      <c r="AJ48" s="37">
        <f>($B$48*'05 - Relação de funcionários'!AI48)+(('05 - Relação de funcionários'!AI48/3)*('06 - Salários e encargos'!$C$40*'01 - Dados de Entrada'!$C$41))</f>
        <v>15497.250480000001</v>
      </c>
      <c r="AK48" s="37">
        <f>($B$48*'05 - Relação de funcionários'!AJ48)+(('05 - Relação de funcionários'!AJ48/3)*('06 - Salários e encargos'!$C$40*'01 - Dados de Entrada'!$C$41))</f>
        <v>15497.250480000001</v>
      </c>
    </row>
    <row r="49" spans="1:37" s="40" customFormat="1" ht="13.15" customHeight="1" x14ac:dyDescent="0.2">
      <c r="A49" s="39" t="s">
        <v>868</v>
      </c>
      <c r="B49" s="455">
        <f>'06 - Salários e encargos'!B41</f>
        <v>5551.08</v>
      </c>
      <c r="C49" s="37">
        <f>($B$49*'05 - Relação de funcionários'!B49)</f>
        <v>5551.08</v>
      </c>
      <c r="D49" s="37">
        <f>($B$49*'05 - Relação de funcionários'!C49)</f>
        <v>5551.08</v>
      </c>
      <c r="E49" s="37">
        <f>($B$49*'05 - Relação de funcionários'!D49)</f>
        <v>5551.08</v>
      </c>
      <c r="F49" s="37">
        <f>($B$49*'05 - Relação de funcionários'!E49)</f>
        <v>5551.08</v>
      </c>
      <c r="G49" s="37">
        <f>($B$49*'05 - Relação de funcionários'!F49)</f>
        <v>5551.08</v>
      </c>
      <c r="H49" s="37">
        <f>($B$49*'05 - Relação de funcionários'!G49)</f>
        <v>5551.08</v>
      </c>
      <c r="I49" s="37">
        <f>($B$49*'05 - Relação de funcionários'!H49)</f>
        <v>5551.08</v>
      </c>
      <c r="J49" s="37">
        <f>($B$49*'05 - Relação de funcionários'!I49)</f>
        <v>5551.08</v>
      </c>
      <c r="K49" s="37">
        <f>($B$49*'05 - Relação de funcionários'!J49)</f>
        <v>5551.08</v>
      </c>
      <c r="L49" s="37">
        <f>($B$49*'05 - Relação de funcionários'!K49)</f>
        <v>5551.08</v>
      </c>
      <c r="M49" s="37">
        <f>($B$49*'05 - Relação de funcionários'!L49)</f>
        <v>5551.08</v>
      </c>
      <c r="N49" s="37">
        <f>($B$49*'05 - Relação de funcionários'!M49)</f>
        <v>5551.08</v>
      </c>
      <c r="O49" s="37">
        <f>($B$49*'05 - Relação de funcionários'!N49)</f>
        <v>5551.08</v>
      </c>
      <c r="P49" s="37">
        <f>($B$49*'05 - Relação de funcionários'!O49)</f>
        <v>5551.08</v>
      </c>
      <c r="Q49" s="37">
        <f>($B$49*'05 - Relação de funcionários'!P49)</f>
        <v>5551.08</v>
      </c>
      <c r="R49" s="37">
        <f>($B$49*'05 - Relação de funcionários'!Q49)</f>
        <v>5551.08</v>
      </c>
      <c r="S49" s="37">
        <f>($B$49*'05 - Relação de funcionários'!R49)</f>
        <v>5551.08</v>
      </c>
      <c r="T49" s="37">
        <f>($B$49*'05 - Relação de funcionários'!S49)</f>
        <v>5551.08</v>
      </c>
      <c r="U49" s="37">
        <f>($B$49*'05 - Relação de funcionários'!T49)</f>
        <v>5551.08</v>
      </c>
      <c r="V49" s="37">
        <f>($B$49*'05 - Relação de funcionários'!U49)</f>
        <v>5551.08</v>
      </c>
      <c r="W49" s="37">
        <f>($B$49*'05 - Relação de funcionários'!V49)</f>
        <v>5551.08</v>
      </c>
      <c r="X49" s="37">
        <f>($B$49*'05 - Relação de funcionários'!W49)</f>
        <v>5551.08</v>
      </c>
      <c r="Y49" s="37">
        <f>($B$49*'05 - Relação de funcionários'!X49)</f>
        <v>5551.08</v>
      </c>
      <c r="Z49" s="37">
        <f>($B$49*'05 - Relação de funcionários'!Y49)</f>
        <v>5551.08</v>
      </c>
      <c r="AA49" s="37">
        <f>($B$49*'05 - Relação de funcionários'!Z49)</f>
        <v>5551.08</v>
      </c>
      <c r="AB49" s="37">
        <f>($B$49*'05 - Relação de funcionários'!AA49)</f>
        <v>5551.08</v>
      </c>
      <c r="AC49" s="37">
        <f>($B$49*'05 - Relação de funcionários'!AB49)</f>
        <v>5551.08</v>
      </c>
      <c r="AD49" s="37">
        <f>($B$49*'05 - Relação de funcionários'!AC49)</f>
        <v>5551.08</v>
      </c>
      <c r="AE49" s="37">
        <f>($B$49*'05 - Relação de funcionários'!AD49)</f>
        <v>5551.08</v>
      </c>
      <c r="AF49" s="37">
        <f>($B$49*'05 - Relação de funcionários'!AE49)</f>
        <v>5551.08</v>
      </c>
      <c r="AG49" s="37">
        <f>($B$49*'05 - Relação de funcionários'!AF49)</f>
        <v>5551.08</v>
      </c>
      <c r="AH49" s="37">
        <f>($B$49*'05 - Relação de funcionários'!AG49)</f>
        <v>5551.08</v>
      </c>
      <c r="AI49" s="37">
        <f>($B$49*'05 - Relação de funcionários'!AH49)</f>
        <v>5551.08</v>
      </c>
      <c r="AJ49" s="37">
        <f>($B$49*'05 - Relação de funcionários'!AI49)</f>
        <v>5551.08</v>
      </c>
      <c r="AK49" s="37">
        <f>($B$49*'05 - Relação de funcionários'!AJ49)</f>
        <v>5551.08</v>
      </c>
    </row>
    <row r="50" spans="1:37" s="40" customFormat="1" ht="13.15" customHeight="1" x14ac:dyDescent="0.2">
      <c r="A50" s="16" t="s">
        <v>869</v>
      </c>
      <c r="B50" s="455"/>
      <c r="C50" s="37"/>
      <c r="D50" s="37">
        <f>C50*'05 - Relação de funcionários'!C50</f>
        <v>0</v>
      </c>
      <c r="E50" s="37">
        <f>D50*'05 - Relação de funcionários'!D50</f>
        <v>0</v>
      </c>
      <c r="F50" s="37">
        <f>E50*'05 - Relação de funcionários'!E50</f>
        <v>0</v>
      </c>
      <c r="G50" s="37">
        <f>F50*'05 - Relação de funcionários'!F50</f>
        <v>0</v>
      </c>
      <c r="H50" s="37">
        <f>G50*'05 - Relação de funcionários'!G50</f>
        <v>0</v>
      </c>
      <c r="I50" s="37">
        <f>H50*'05 - Relação de funcionários'!H50</f>
        <v>0</v>
      </c>
      <c r="J50" s="37">
        <f>I50*'05 - Relação de funcionários'!I50</f>
        <v>0</v>
      </c>
      <c r="K50" s="37">
        <f>J50*'05 - Relação de funcionários'!J50</f>
        <v>0</v>
      </c>
      <c r="L50" s="37">
        <f>K50*'05 - Relação de funcionários'!K50</f>
        <v>0</v>
      </c>
      <c r="M50" s="37">
        <f>L50*'05 - Relação de funcionários'!L50</f>
        <v>0</v>
      </c>
      <c r="N50" s="37">
        <f>M50*'05 - Relação de funcionários'!M50</f>
        <v>0</v>
      </c>
      <c r="O50" s="37">
        <f>N50*'05 - Relação de funcionários'!N50</f>
        <v>0</v>
      </c>
      <c r="P50" s="37">
        <f>O50*'05 - Relação de funcionários'!O50</f>
        <v>0</v>
      </c>
      <c r="Q50" s="37">
        <f>P50*'05 - Relação de funcionários'!P50</f>
        <v>0</v>
      </c>
      <c r="R50" s="37">
        <f>Q50*'05 - Relação de funcionários'!Q50</f>
        <v>0</v>
      </c>
      <c r="S50" s="37">
        <f>R50*'05 - Relação de funcionários'!R50</f>
        <v>0</v>
      </c>
      <c r="T50" s="37">
        <f>S50*'05 - Relação de funcionários'!S50</f>
        <v>0</v>
      </c>
      <c r="U50" s="37">
        <f>T50*'05 - Relação de funcionários'!T50</f>
        <v>0</v>
      </c>
      <c r="V50" s="37">
        <f>U50*'05 - Relação de funcionários'!U50</f>
        <v>0</v>
      </c>
      <c r="W50" s="37">
        <f>V50*'05 - Relação de funcionários'!V50</f>
        <v>0</v>
      </c>
      <c r="X50" s="37">
        <f>W50*'05 - Relação de funcionários'!W50</f>
        <v>0</v>
      </c>
      <c r="Y50" s="37">
        <f>X50*'05 - Relação de funcionários'!X50</f>
        <v>0</v>
      </c>
      <c r="Z50" s="37">
        <f>Y50*'05 - Relação de funcionários'!Y50</f>
        <v>0</v>
      </c>
      <c r="AA50" s="37">
        <f>Z50*'05 - Relação de funcionários'!Z50</f>
        <v>0</v>
      </c>
      <c r="AB50" s="37">
        <f>AA50*'05 - Relação de funcionários'!AA50</f>
        <v>0</v>
      </c>
      <c r="AC50" s="37">
        <f>AB50*'05 - Relação de funcionários'!AB50</f>
        <v>0</v>
      </c>
      <c r="AD50" s="37">
        <f>AC50*'05 - Relação de funcionários'!AC50</f>
        <v>0</v>
      </c>
      <c r="AE50" s="37">
        <f>AD50*'05 - Relação de funcionários'!AD50</f>
        <v>0</v>
      </c>
      <c r="AF50" s="37">
        <f>AE50*'05 - Relação de funcionários'!AE50</f>
        <v>0</v>
      </c>
    </row>
    <row r="51" spans="1:37" s="40" customFormat="1" ht="13.15" customHeight="1" x14ac:dyDescent="0.2">
      <c r="A51" s="39" t="s">
        <v>883</v>
      </c>
      <c r="B51" s="455">
        <f>'06 - Salários e encargos'!B43</f>
        <v>4853.8615040000004</v>
      </c>
      <c r="C51" s="37">
        <f>$B$51*'05 - Relação de funcionários'!B51</f>
        <v>43684.753536000004</v>
      </c>
      <c r="D51" s="37">
        <f>$B$51*'05 - Relação de funcionários'!C51</f>
        <v>43684.753536000004</v>
      </c>
      <c r="E51" s="37">
        <f>$B$51*'05 - Relação de funcionários'!D51</f>
        <v>43684.753536000004</v>
      </c>
      <c r="F51" s="37">
        <f>$B$51*'05 - Relação de funcionários'!E51</f>
        <v>43684.753536000004</v>
      </c>
      <c r="G51" s="37">
        <f>$B$51*'05 - Relação de funcionários'!F51</f>
        <v>43684.753536000004</v>
      </c>
      <c r="H51" s="37">
        <f>$B$51*'05 - Relação de funcionários'!G51</f>
        <v>43684.753536000004</v>
      </c>
      <c r="I51" s="37">
        <f>$B$51*'05 - Relação de funcionários'!H51</f>
        <v>43684.753536000004</v>
      </c>
      <c r="J51" s="37">
        <f>$B$51*'05 - Relação de funcionários'!I51</f>
        <v>48538.615040000004</v>
      </c>
      <c r="K51" s="37">
        <f>$B$51*'05 - Relação de funcionários'!J51</f>
        <v>48538.615040000004</v>
      </c>
      <c r="L51" s="37">
        <f>$B$51*'05 - Relação de funcionários'!K51</f>
        <v>48538.615040000004</v>
      </c>
      <c r="M51" s="37">
        <f>$B$51*'05 - Relação de funcionários'!L51</f>
        <v>48538.615040000004</v>
      </c>
      <c r="N51" s="37">
        <f>$B$51*'05 - Relação de funcionários'!M51</f>
        <v>48538.615040000004</v>
      </c>
      <c r="O51" s="37">
        <f>$B$51*'05 - Relação de funcionários'!N51</f>
        <v>48538.615040000004</v>
      </c>
      <c r="P51" s="37">
        <f>$B$51*'05 - Relação de funcionários'!O51</f>
        <v>48538.615040000004</v>
      </c>
      <c r="Q51" s="37">
        <f>$B$51*'05 - Relação de funcionários'!P51</f>
        <v>48538.615040000004</v>
      </c>
      <c r="R51" s="37">
        <f>$B$51*'05 - Relação de funcionários'!Q51</f>
        <v>48538.615040000004</v>
      </c>
      <c r="S51" s="37">
        <f>$B$51*'05 - Relação de funcionários'!R51</f>
        <v>48538.615040000004</v>
      </c>
      <c r="T51" s="37">
        <f>$B$51*'05 - Relação de funcionários'!S51</f>
        <v>48538.615040000004</v>
      </c>
      <c r="U51" s="37">
        <f>$B$51*'05 - Relação de funcionários'!T51</f>
        <v>48538.615040000004</v>
      </c>
      <c r="V51" s="37">
        <f>$B$51*'05 - Relação de funcionários'!U51</f>
        <v>48538.615040000004</v>
      </c>
      <c r="W51" s="37">
        <f>$B$51*'05 - Relação de funcionários'!V51</f>
        <v>48538.615040000004</v>
      </c>
      <c r="X51" s="37">
        <f>$B$51*'05 - Relação de funcionários'!W51</f>
        <v>48538.615040000004</v>
      </c>
      <c r="Y51" s="37">
        <f>$B$51*'05 - Relação de funcionários'!X51</f>
        <v>48538.615040000004</v>
      </c>
      <c r="Z51" s="37">
        <f>$B$51*'05 - Relação de funcionários'!Y51</f>
        <v>48538.615040000004</v>
      </c>
      <c r="AA51" s="37">
        <f>$B$51*'05 - Relação de funcionários'!Z51</f>
        <v>48538.615040000004</v>
      </c>
      <c r="AB51" s="37">
        <f>$B$51*'05 - Relação de funcionários'!AA51</f>
        <v>48538.615040000004</v>
      </c>
      <c r="AC51" s="37">
        <f>$B$51*'05 - Relação de funcionários'!AB51</f>
        <v>48538.615040000004</v>
      </c>
      <c r="AD51" s="37">
        <f>$B$51*'05 - Relação de funcionários'!AC51</f>
        <v>48538.615040000004</v>
      </c>
      <c r="AE51" s="37">
        <f>$B$51*'05 - Relação de funcionários'!AD51</f>
        <v>48538.615040000004</v>
      </c>
      <c r="AF51" s="37">
        <f>$B$51*'05 - Relação de funcionários'!AE51</f>
        <v>48538.615040000004</v>
      </c>
      <c r="AG51" s="37">
        <f>$B$51*'05 - Relação de funcionários'!AF51</f>
        <v>48538.615040000004</v>
      </c>
      <c r="AH51" s="37">
        <f>$B$51*'05 - Relação de funcionários'!AG51</f>
        <v>48538.615040000004</v>
      </c>
      <c r="AI51" s="37">
        <f>$B$51*'05 - Relação de funcionários'!AH51</f>
        <v>48538.615040000004</v>
      </c>
      <c r="AJ51" s="37">
        <f>$B$51*'05 - Relação de funcionários'!AI51</f>
        <v>48538.615040000004</v>
      </c>
      <c r="AK51" s="37">
        <f>$B$51*'05 - Relação de funcionários'!AJ51</f>
        <v>48538.615040000004</v>
      </c>
    </row>
    <row r="52" spans="1:37" s="40" customFormat="1" ht="13.15" customHeight="1" x14ac:dyDescent="0.2">
      <c r="A52" s="39" t="s">
        <v>903</v>
      </c>
      <c r="B52" s="455">
        <f>'06 - Salários e encargos'!B44</f>
        <v>4082.9348239999999</v>
      </c>
      <c r="C52" s="37">
        <f>$B$52*'05 - Relação de funcionários'!B52</f>
        <v>69409.892007999995</v>
      </c>
      <c r="D52" s="37">
        <f>$B$52*'05 - Relação de funcionários'!C52</f>
        <v>69409.892007999995</v>
      </c>
      <c r="E52" s="37">
        <f>$B$52*'05 - Relação de funcionários'!D52</f>
        <v>69409.892007999995</v>
      </c>
      <c r="F52" s="37">
        <f>$B$52*'05 - Relação de funcionários'!E52</f>
        <v>69409.892007999995</v>
      </c>
      <c r="G52" s="37">
        <f>$B$52*'05 - Relação de funcionários'!F52</f>
        <v>69409.892007999995</v>
      </c>
      <c r="H52" s="37">
        <f>$B$52*'05 - Relação de funcionários'!G52</f>
        <v>69409.892007999995</v>
      </c>
      <c r="I52" s="37">
        <f>$B$52*'05 - Relação de funcionários'!H52</f>
        <v>69409.892007999995</v>
      </c>
      <c r="J52" s="37">
        <f>$B$52*'05 - Relação de funcionários'!I52</f>
        <v>81658.696479999999</v>
      </c>
      <c r="K52" s="37">
        <f>$B$52*'05 - Relação de funcionários'!J52</f>
        <v>81658.696479999999</v>
      </c>
      <c r="L52" s="37">
        <f>$B$52*'05 - Relação de funcionários'!K52</f>
        <v>81658.696479999999</v>
      </c>
      <c r="M52" s="37">
        <f>$B$52*'05 - Relação de funcionários'!L52</f>
        <v>81658.696479999999</v>
      </c>
      <c r="N52" s="37">
        <f>$B$52*'05 - Relação de funcionários'!M52</f>
        <v>81658.696479999999</v>
      </c>
      <c r="O52" s="37">
        <f>$B$52*'05 - Relação de funcionários'!N52</f>
        <v>81658.696479999999</v>
      </c>
      <c r="P52" s="37">
        <f>$B$52*'05 - Relação de funcionários'!O52</f>
        <v>81658.696479999999</v>
      </c>
      <c r="Q52" s="37">
        <f>$B$52*'05 - Relação de funcionários'!P52</f>
        <v>81658.696479999999</v>
      </c>
      <c r="R52" s="37">
        <f>$B$52*'05 - Relação de funcionários'!Q52</f>
        <v>81658.696479999999</v>
      </c>
      <c r="S52" s="37">
        <f>$B$52*'05 - Relação de funcionários'!R52</f>
        <v>81658.696479999999</v>
      </c>
      <c r="T52" s="37">
        <f>$B$52*'05 - Relação de funcionários'!S52</f>
        <v>81658.696479999999</v>
      </c>
      <c r="U52" s="37">
        <f>$B$52*'05 - Relação de funcionários'!T52</f>
        <v>81658.696479999999</v>
      </c>
      <c r="V52" s="37">
        <f>$B$52*'05 - Relação de funcionários'!U52</f>
        <v>81658.696479999999</v>
      </c>
      <c r="W52" s="37">
        <f>$B$52*'05 - Relação de funcionários'!V52</f>
        <v>81658.696479999999</v>
      </c>
      <c r="X52" s="37">
        <f>$B$52*'05 - Relação de funcionários'!W52</f>
        <v>81658.696479999999</v>
      </c>
      <c r="Y52" s="37">
        <f>$B$52*'05 - Relação de funcionários'!X52</f>
        <v>81658.696479999999</v>
      </c>
      <c r="Z52" s="37">
        <f>$B$52*'05 - Relação de funcionários'!Y52</f>
        <v>81658.696479999999</v>
      </c>
      <c r="AA52" s="37">
        <f>$B$52*'05 - Relação de funcionários'!Z52</f>
        <v>81658.696479999999</v>
      </c>
      <c r="AB52" s="37">
        <f>$B$52*'05 - Relação de funcionários'!AA52</f>
        <v>81658.696479999999</v>
      </c>
      <c r="AC52" s="37">
        <f>$B$52*'05 - Relação de funcionários'!AB52</f>
        <v>81658.696479999999</v>
      </c>
      <c r="AD52" s="37">
        <f>$B$52*'05 - Relação de funcionários'!AC52</f>
        <v>81658.696479999999</v>
      </c>
      <c r="AE52" s="37">
        <f>$B$52*'05 - Relação de funcionários'!AD52</f>
        <v>81658.696479999999</v>
      </c>
      <c r="AF52" s="37">
        <f>$B$52*'05 - Relação de funcionários'!AE52</f>
        <v>81658.696479999999</v>
      </c>
      <c r="AG52" s="37">
        <f>$B$52*'05 - Relação de funcionários'!AF52</f>
        <v>81658.696479999999</v>
      </c>
      <c r="AH52" s="37">
        <f>$B$52*'05 - Relação de funcionários'!AG52</f>
        <v>81658.696479999999</v>
      </c>
      <c r="AI52" s="37">
        <f>$B$52*'05 - Relação de funcionários'!AH52</f>
        <v>81658.696479999999</v>
      </c>
      <c r="AJ52" s="37">
        <f>$B$52*'05 - Relação de funcionários'!AI52</f>
        <v>81658.696479999999</v>
      </c>
      <c r="AK52" s="37">
        <f>$B$52*'05 - Relação de funcionários'!AJ52</f>
        <v>81658.696479999999</v>
      </c>
    </row>
    <row r="53" spans="1:37" s="40" customFormat="1" ht="13.15" customHeight="1" x14ac:dyDescent="0.2">
      <c r="A53" s="39" t="s">
        <v>867</v>
      </c>
      <c r="B53" s="455">
        <f>'06 - Salários e encargos'!B45</f>
        <v>5003.5501599999998</v>
      </c>
      <c r="C53" s="37">
        <f>$B$53*'05 - Relação de funcionários'!B53</f>
        <v>10007.10032</v>
      </c>
      <c r="D53" s="37">
        <f>$B$53*'05 - Relação de funcionários'!C53</f>
        <v>10007.10032</v>
      </c>
      <c r="E53" s="37">
        <f>$B$53*'05 - Relação de funcionários'!D53</f>
        <v>10007.10032</v>
      </c>
      <c r="F53" s="37">
        <f>$B$53*'05 - Relação de funcionários'!E53</f>
        <v>10007.10032</v>
      </c>
      <c r="G53" s="37">
        <f>$B$53*'05 - Relação de funcionários'!F53</f>
        <v>10007.10032</v>
      </c>
      <c r="H53" s="37">
        <f>$B$53*'05 - Relação de funcionários'!G53</f>
        <v>10007.10032</v>
      </c>
      <c r="I53" s="37">
        <f>$B$53*'05 - Relação de funcionários'!H53</f>
        <v>10007.10032</v>
      </c>
      <c r="J53" s="37">
        <f>$B$53*'05 - Relação de funcionários'!I53</f>
        <v>10007.10032</v>
      </c>
      <c r="K53" s="37">
        <f>$B$53*'05 - Relação de funcionários'!J53</f>
        <v>10007.10032</v>
      </c>
      <c r="L53" s="37">
        <f>$B$53*'05 - Relação de funcionários'!K53</f>
        <v>10007.10032</v>
      </c>
      <c r="M53" s="37">
        <f>$B$53*'05 - Relação de funcionários'!L53</f>
        <v>10007.10032</v>
      </c>
      <c r="N53" s="37">
        <f>$B$53*'05 - Relação de funcionários'!M53</f>
        <v>10007.10032</v>
      </c>
      <c r="O53" s="37">
        <f>$B$53*'05 - Relação de funcionários'!N53</f>
        <v>10007.10032</v>
      </c>
      <c r="P53" s="37">
        <f>$B$53*'05 - Relação de funcionários'!O53</f>
        <v>10007.10032</v>
      </c>
      <c r="Q53" s="37">
        <f>$B$53*'05 - Relação de funcionários'!P53</f>
        <v>10007.10032</v>
      </c>
      <c r="R53" s="37">
        <f>$B$53*'05 - Relação de funcionários'!Q53</f>
        <v>10007.10032</v>
      </c>
      <c r="S53" s="37">
        <f>$B$53*'05 - Relação de funcionários'!R53</f>
        <v>10007.10032</v>
      </c>
      <c r="T53" s="37">
        <f>$B$53*'05 - Relação de funcionários'!S53</f>
        <v>10007.10032</v>
      </c>
      <c r="U53" s="37">
        <f>$B$53*'05 - Relação de funcionários'!T53</f>
        <v>10007.10032</v>
      </c>
      <c r="V53" s="37">
        <f>$B$53*'05 - Relação de funcionários'!U53</f>
        <v>10007.10032</v>
      </c>
      <c r="W53" s="37">
        <f>$B$53*'05 - Relação de funcionários'!V53</f>
        <v>10007.10032</v>
      </c>
      <c r="X53" s="37">
        <f>$B$53*'05 - Relação de funcionários'!W53</f>
        <v>10007.10032</v>
      </c>
      <c r="Y53" s="37">
        <f>$B$53*'05 - Relação de funcionários'!X53</f>
        <v>10007.10032</v>
      </c>
      <c r="Z53" s="37">
        <f>$B$53*'05 - Relação de funcionários'!Y53</f>
        <v>10007.10032</v>
      </c>
      <c r="AA53" s="37">
        <f>$B$53*'05 - Relação de funcionários'!Z53</f>
        <v>10007.10032</v>
      </c>
      <c r="AB53" s="37">
        <f>$B$53*'05 - Relação de funcionários'!AA53</f>
        <v>10007.10032</v>
      </c>
      <c r="AC53" s="37">
        <f>$B$53*'05 - Relação de funcionários'!AB53</f>
        <v>10007.10032</v>
      </c>
      <c r="AD53" s="37">
        <f>$B$53*'05 - Relação de funcionários'!AC53</f>
        <v>10007.10032</v>
      </c>
      <c r="AE53" s="37">
        <f>$B$53*'05 - Relação de funcionários'!AD53</f>
        <v>10007.10032</v>
      </c>
      <c r="AF53" s="37">
        <f>$B$53*'05 - Relação de funcionários'!AE53</f>
        <v>10007.10032</v>
      </c>
      <c r="AG53" s="37">
        <f>$B$53*'05 - Relação de funcionários'!AF53</f>
        <v>10007.10032</v>
      </c>
      <c r="AH53" s="37">
        <f>$B$53*'05 - Relação de funcionários'!AG53</f>
        <v>10007.10032</v>
      </c>
      <c r="AI53" s="37">
        <f>$B$53*'05 - Relação de funcionários'!AH53</f>
        <v>10007.10032</v>
      </c>
      <c r="AJ53" s="37">
        <f>$B$53*'05 - Relação de funcionários'!AI53</f>
        <v>10007.10032</v>
      </c>
      <c r="AK53" s="37">
        <f>$B$53*'05 - Relação de funcionários'!AJ53</f>
        <v>10007.10032</v>
      </c>
    </row>
    <row r="54" spans="1:37" s="256" customFormat="1" ht="13.15" customHeight="1" x14ac:dyDescent="0.2">
      <c r="A54" s="31" t="s">
        <v>908</v>
      </c>
      <c r="B54" s="509"/>
      <c r="C54" s="320">
        <f>SUM(C55:C56)</f>
        <v>20414.67412</v>
      </c>
      <c r="D54" s="320">
        <f t="shared" ref="D54:AK54" si="15">SUM(D55:D56)</f>
        <v>28580.543768</v>
      </c>
      <c r="E54" s="320">
        <f t="shared" si="15"/>
        <v>32663.478591999999</v>
      </c>
      <c r="F54" s="320">
        <f t="shared" si="15"/>
        <v>32663.478591999999</v>
      </c>
      <c r="G54" s="320">
        <f t="shared" si="15"/>
        <v>36746.413415999996</v>
      </c>
      <c r="H54" s="320">
        <f t="shared" si="15"/>
        <v>36746.413415999996</v>
      </c>
      <c r="I54" s="320">
        <f t="shared" si="15"/>
        <v>36746.413415999996</v>
      </c>
      <c r="J54" s="320">
        <f t="shared" si="15"/>
        <v>36746.413415999996</v>
      </c>
      <c r="K54" s="320">
        <f t="shared" si="15"/>
        <v>36746.413415999996</v>
      </c>
      <c r="L54" s="320">
        <f t="shared" si="15"/>
        <v>36746.413415999996</v>
      </c>
      <c r="M54" s="320">
        <f t="shared" si="15"/>
        <v>36746.413415999996</v>
      </c>
      <c r="N54" s="320">
        <f t="shared" si="15"/>
        <v>36746.413415999996</v>
      </c>
      <c r="O54" s="320">
        <f t="shared" si="15"/>
        <v>36746.413415999996</v>
      </c>
      <c r="P54" s="320">
        <f t="shared" si="15"/>
        <v>36746.413415999996</v>
      </c>
      <c r="Q54" s="320">
        <f t="shared" si="15"/>
        <v>36746.413415999996</v>
      </c>
      <c r="R54" s="320">
        <f t="shared" si="15"/>
        <v>36746.413415999996</v>
      </c>
      <c r="S54" s="320">
        <f t="shared" si="15"/>
        <v>36746.413415999996</v>
      </c>
      <c r="T54" s="320">
        <f t="shared" si="15"/>
        <v>36746.413415999996</v>
      </c>
      <c r="U54" s="320">
        <f t="shared" si="15"/>
        <v>36746.413415999996</v>
      </c>
      <c r="V54" s="320">
        <f t="shared" si="15"/>
        <v>36746.413415999996</v>
      </c>
      <c r="W54" s="320">
        <f t="shared" si="15"/>
        <v>36746.413415999996</v>
      </c>
      <c r="X54" s="320">
        <f t="shared" si="15"/>
        <v>36746.413415999996</v>
      </c>
      <c r="Y54" s="320">
        <f t="shared" si="15"/>
        <v>36746.413415999996</v>
      </c>
      <c r="Z54" s="320">
        <f t="shared" si="15"/>
        <v>36746.413415999996</v>
      </c>
      <c r="AA54" s="320">
        <f t="shared" si="15"/>
        <v>36746.413415999996</v>
      </c>
      <c r="AB54" s="320">
        <f t="shared" si="15"/>
        <v>36746.413415999996</v>
      </c>
      <c r="AC54" s="320">
        <f t="shared" si="15"/>
        <v>36746.413415999996</v>
      </c>
      <c r="AD54" s="320">
        <f t="shared" si="15"/>
        <v>36746.413415999996</v>
      </c>
      <c r="AE54" s="320">
        <f t="shared" si="15"/>
        <v>36746.413415999996</v>
      </c>
      <c r="AF54" s="320">
        <f t="shared" si="15"/>
        <v>36746.413415999996</v>
      </c>
      <c r="AG54" s="320">
        <f t="shared" si="15"/>
        <v>36746.413415999996</v>
      </c>
      <c r="AH54" s="320">
        <f t="shared" si="15"/>
        <v>36746.413415999996</v>
      </c>
      <c r="AI54" s="320">
        <f t="shared" si="15"/>
        <v>36746.413415999996</v>
      </c>
      <c r="AJ54" s="320">
        <f t="shared" si="15"/>
        <v>36746.413415999996</v>
      </c>
      <c r="AK54" s="320">
        <f t="shared" si="15"/>
        <v>36746.413415999996</v>
      </c>
    </row>
    <row r="55" spans="1:37" s="256" customFormat="1" ht="13.15" customHeight="1" x14ac:dyDescent="0.2">
      <c r="A55" s="261" t="s">
        <v>904</v>
      </c>
      <c r="B55" s="509">
        <f>'06 - Salários e encargos'!B47</f>
        <v>4082.9348239999999</v>
      </c>
      <c r="C55" s="496">
        <f>$B$55*'05 - Relação de funcionários'!B55</f>
        <v>20414.67412</v>
      </c>
      <c r="D55" s="496">
        <f>$B$55*'05 - Relação de funcionários'!C55</f>
        <v>20414.67412</v>
      </c>
      <c r="E55" s="496">
        <f>$B$55*'05 - Relação de funcionários'!D55</f>
        <v>20414.67412</v>
      </c>
      <c r="F55" s="496">
        <f>$B$55*'05 - Relação de funcionários'!E55</f>
        <v>20414.67412</v>
      </c>
      <c r="G55" s="496">
        <f>$B$55*'05 - Relação de funcionários'!F55</f>
        <v>20414.67412</v>
      </c>
      <c r="H55" s="496">
        <f>$B$55*'05 - Relação de funcionários'!G55</f>
        <v>20414.67412</v>
      </c>
      <c r="I55" s="496">
        <f>$B$55*'05 - Relação de funcionários'!H55</f>
        <v>20414.67412</v>
      </c>
      <c r="J55" s="496">
        <f>$B$55*'05 - Relação de funcionários'!I55</f>
        <v>20414.67412</v>
      </c>
      <c r="K55" s="496">
        <f>$B$55*'05 - Relação de funcionários'!J55</f>
        <v>20414.67412</v>
      </c>
      <c r="L55" s="496">
        <f>$B$55*'05 - Relação de funcionários'!K55</f>
        <v>20414.67412</v>
      </c>
      <c r="M55" s="496">
        <f>$B$55*'05 - Relação de funcionários'!L55</f>
        <v>20414.67412</v>
      </c>
      <c r="N55" s="496">
        <f>$B$55*'05 - Relação de funcionários'!M55</f>
        <v>20414.67412</v>
      </c>
      <c r="O55" s="496">
        <f>$B$55*'05 - Relação de funcionários'!N55</f>
        <v>20414.67412</v>
      </c>
      <c r="P55" s="496">
        <f>$B$55*'05 - Relação de funcionários'!O55</f>
        <v>20414.67412</v>
      </c>
      <c r="Q55" s="496">
        <f>$B$55*'05 - Relação de funcionários'!P55</f>
        <v>20414.67412</v>
      </c>
      <c r="R55" s="496">
        <f>$B$55*'05 - Relação de funcionários'!Q55</f>
        <v>20414.67412</v>
      </c>
      <c r="S55" s="496">
        <f>$B$55*'05 - Relação de funcionários'!R55</f>
        <v>20414.67412</v>
      </c>
      <c r="T55" s="496">
        <f>$B$55*'05 - Relação de funcionários'!S55</f>
        <v>20414.67412</v>
      </c>
      <c r="U55" s="496">
        <f>$B$55*'05 - Relação de funcionários'!T55</f>
        <v>20414.67412</v>
      </c>
      <c r="V55" s="496">
        <f>$B$55*'05 - Relação de funcionários'!U55</f>
        <v>20414.67412</v>
      </c>
      <c r="W55" s="496">
        <f>$B$55*'05 - Relação de funcionários'!V55</f>
        <v>20414.67412</v>
      </c>
      <c r="X55" s="496">
        <f>$B$55*'05 - Relação de funcionários'!W55</f>
        <v>20414.67412</v>
      </c>
      <c r="Y55" s="496">
        <f>$B$55*'05 - Relação de funcionários'!X55</f>
        <v>20414.67412</v>
      </c>
      <c r="Z55" s="496">
        <f>$B$55*'05 - Relação de funcionários'!Y55</f>
        <v>20414.67412</v>
      </c>
      <c r="AA55" s="496">
        <f>$B$55*'05 - Relação de funcionários'!Z55</f>
        <v>20414.67412</v>
      </c>
      <c r="AB55" s="496">
        <f>$B$55*'05 - Relação de funcionários'!AA55</f>
        <v>20414.67412</v>
      </c>
      <c r="AC55" s="496">
        <f>$B$55*'05 - Relação de funcionários'!AB55</f>
        <v>20414.67412</v>
      </c>
      <c r="AD55" s="496">
        <f>$B$55*'05 - Relação de funcionários'!AC55</f>
        <v>20414.67412</v>
      </c>
      <c r="AE55" s="496">
        <f>$B$55*'05 - Relação de funcionários'!AD55</f>
        <v>20414.67412</v>
      </c>
      <c r="AF55" s="496">
        <f>$B$55*'05 - Relação de funcionários'!AE55</f>
        <v>20414.67412</v>
      </c>
      <c r="AG55" s="496">
        <f>$B$55*'05 - Relação de funcionários'!AF55</f>
        <v>20414.67412</v>
      </c>
      <c r="AH55" s="496">
        <f>$B$55*'05 - Relação de funcionários'!AG55</f>
        <v>20414.67412</v>
      </c>
      <c r="AI55" s="496">
        <f>$B$55*'05 - Relação de funcionários'!AH55</f>
        <v>20414.67412</v>
      </c>
      <c r="AJ55" s="496">
        <f>$B$55*'05 - Relação de funcionários'!AI55</f>
        <v>20414.67412</v>
      </c>
      <c r="AK55" s="496">
        <f>$B$55*'05 - Relação de funcionários'!AJ55</f>
        <v>20414.67412</v>
      </c>
    </row>
    <row r="56" spans="1:37" s="256" customFormat="1" ht="13.15" customHeight="1" x14ac:dyDescent="0.2">
      <c r="A56" s="461" t="s">
        <v>873</v>
      </c>
      <c r="B56" s="509">
        <f>'06 - Salários e encargos'!B48</f>
        <v>4082.9348239999999</v>
      </c>
      <c r="C56" s="496">
        <f>$B$56*'05 - Relação de funcionários'!B56</f>
        <v>0</v>
      </c>
      <c r="D56" s="496">
        <f>$B$56*'05 - Relação de funcionários'!C56</f>
        <v>8165.8696479999999</v>
      </c>
      <c r="E56" s="496">
        <f>$B$56*'05 - Relação de funcionários'!D56</f>
        <v>12248.804472</v>
      </c>
      <c r="F56" s="496">
        <f>$B$56*'05 - Relação de funcionários'!E56</f>
        <v>12248.804472</v>
      </c>
      <c r="G56" s="496">
        <f>$B$56*'05 - Relação de funcionários'!F56</f>
        <v>16331.739296</v>
      </c>
      <c r="H56" s="496">
        <f>$B$56*'05 - Relação de funcionários'!G56</f>
        <v>16331.739296</v>
      </c>
      <c r="I56" s="496">
        <f>$B$56*'05 - Relação de funcionários'!H56</f>
        <v>16331.739296</v>
      </c>
      <c r="J56" s="496">
        <f>$B$56*'05 - Relação de funcionários'!I56</f>
        <v>16331.739296</v>
      </c>
      <c r="K56" s="496">
        <f>$B$56*'05 - Relação de funcionários'!J56</f>
        <v>16331.739296</v>
      </c>
      <c r="L56" s="496">
        <f>$B$56*'05 - Relação de funcionários'!K56</f>
        <v>16331.739296</v>
      </c>
      <c r="M56" s="496">
        <f>$B$56*'05 - Relação de funcionários'!L56</f>
        <v>16331.739296</v>
      </c>
      <c r="N56" s="496">
        <f>$B$56*'05 - Relação de funcionários'!M56</f>
        <v>16331.739296</v>
      </c>
      <c r="O56" s="496">
        <f>$B$56*'05 - Relação de funcionários'!N56</f>
        <v>16331.739296</v>
      </c>
      <c r="P56" s="496">
        <f>$B$56*'05 - Relação de funcionários'!O56</f>
        <v>16331.739296</v>
      </c>
      <c r="Q56" s="496">
        <f>$B$56*'05 - Relação de funcionários'!P56</f>
        <v>16331.739296</v>
      </c>
      <c r="R56" s="496">
        <f>$B$56*'05 - Relação de funcionários'!Q56</f>
        <v>16331.739296</v>
      </c>
      <c r="S56" s="496">
        <f>$B$56*'05 - Relação de funcionários'!R56</f>
        <v>16331.739296</v>
      </c>
      <c r="T56" s="496">
        <f>$B$56*'05 - Relação de funcionários'!S56</f>
        <v>16331.739296</v>
      </c>
      <c r="U56" s="496">
        <f>$B$56*'05 - Relação de funcionários'!T56</f>
        <v>16331.739296</v>
      </c>
      <c r="V56" s="496">
        <f>$B$56*'05 - Relação de funcionários'!U56</f>
        <v>16331.739296</v>
      </c>
      <c r="W56" s="496">
        <f>$B$56*'05 - Relação de funcionários'!V56</f>
        <v>16331.739296</v>
      </c>
      <c r="X56" s="496">
        <f>$B$56*'05 - Relação de funcionários'!W56</f>
        <v>16331.739296</v>
      </c>
      <c r="Y56" s="496">
        <f>$B$56*'05 - Relação de funcionários'!X56</f>
        <v>16331.739296</v>
      </c>
      <c r="Z56" s="496">
        <f>$B$56*'05 - Relação de funcionários'!Y56</f>
        <v>16331.739296</v>
      </c>
      <c r="AA56" s="496">
        <f>$B$56*'05 - Relação de funcionários'!Z56</f>
        <v>16331.739296</v>
      </c>
      <c r="AB56" s="496">
        <f>$B$56*'05 - Relação de funcionários'!AA56</f>
        <v>16331.739296</v>
      </c>
      <c r="AC56" s="496">
        <f>$B$56*'05 - Relação de funcionários'!AB56</f>
        <v>16331.739296</v>
      </c>
      <c r="AD56" s="496">
        <f>$B$56*'05 - Relação de funcionários'!AC56</f>
        <v>16331.739296</v>
      </c>
      <c r="AE56" s="496">
        <f>$B$56*'05 - Relação de funcionários'!AD56</f>
        <v>16331.739296</v>
      </c>
      <c r="AF56" s="496">
        <f>$B$56*'05 - Relação de funcionários'!AE56</f>
        <v>16331.739296</v>
      </c>
      <c r="AG56" s="496">
        <f>$B$56*'05 - Relação de funcionários'!AF56</f>
        <v>16331.739296</v>
      </c>
      <c r="AH56" s="496">
        <f>$B$56*'05 - Relação de funcionários'!AG56</f>
        <v>16331.739296</v>
      </c>
      <c r="AI56" s="496">
        <f>$B$56*'05 - Relação de funcionários'!AH56</f>
        <v>16331.739296</v>
      </c>
      <c r="AJ56" s="496">
        <f>$B$56*'05 - Relação de funcionários'!AI56</f>
        <v>16331.739296</v>
      </c>
      <c r="AK56" s="496">
        <f>$B$56*'05 - Relação de funcionários'!AJ56</f>
        <v>16331.739296</v>
      </c>
    </row>
    <row r="57" spans="1:37" s="256" customFormat="1" ht="13.15" customHeight="1" x14ac:dyDescent="0.2">
      <c r="A57" s="471" t="s">
        <v>837</v>
      </c>
      <c r="B57" s="509"/>
      <c r="C57" s="320">
        <f t="shared" ref="C57:AK57" si="16">SUM(C58:C58)</f>
        <v>9707.7230080000008</v>
      </c>
      <c r="D57" s="320">
        <f t="shared" si="16"/>
        <v>9707.7230080000008</v>
      </c>
      <c r="E57" s="320">
        <f t="shared" si="16"/>
        <v>9707.7230080000008</v>
      </c>
      <c r="F57" s="320">
        <f t="shared" si="16"/>
        <v>9707.7230080000008</v>
      </c>
      <c r="G57" s="320">
        <f t="shared" si="16"/>
        <v>9707.7230080000008</v>
      </c>
      <c r="H57" s="320">
        <f t="shared" si="16"/>
        <v>9707.7230080000008</v>
      </c>
      <c r="I57" s="320">
        <f t="shared" si="16"/>
        <v>9707.7230080000008</v>
      </c>
      <c r="J57" s="320">
        <f t="shared" si="16"/>
        <v>9707.7230080000008</v>
      </c>
      <c r="K57" s="320">
        <f t="shared" si="16"/>
        <v>9707.7230080000008</v>
      </c>
      <c r="L57" s="320">
        <f t="shared" si="16"/>
        <v>9707.7230080000008</v>
      </c>
      <c r="M57" s="320">
        <f t="shared" si="16"/>
        <v>9707.7230080000008</v>
      </c>
      <c r="N57" s="320">
        <f t="shared" si="16"/>
        <v>9707.7230080000008</v>
      </c>
      <c r="O57" s="320">
        <f t="shared" si="16"/>
        <v>9707.7230080000008</v>
      </c>
      <c r="P57" s="320">
        <f t="shared" si="16"/>
        <v>9707.7230080000008</v>
      </c>
      <c r="Q57" s="320">
        <f t="shared" si="16"/>
        <v>9707.7230080000008</v>
      </c>
      <c r="R57" s="320">
        <f t="shared" si="16"/>
        <v>9707.7230080000008</v>
      </c>
      <c r="S57" s="320">
        <f t="shared" si="16"/>
        <v>9707.7230080000008</v>
      </c>
      <c r="T57" s="320">
        <f t="shared" si="16"/>
        <v>9707.7230080000008</v>
      </c>
      <c r="U57" s="320">
        <f t="shared" si="16"/>
        <v>9707.7230080000008</v>
      </c>
      <c r="V57" s="320">
        <f t="shared" si="16"/>
        <v>9707.7230080000008</v>
      </c>
      <c r="W57" s="320">
        <f t="shared" si="16"/>
        <v>9707.7230080000008</v>
      </c>
      <c r="X57" s="320">
        <f t="shared" si="16"/>
        <v>9707.7230080000008</v>
      </c>
      <c r="Y57" s="320">
        <f t="shared" si="16"/>
        <v>9707.7230080000008</v>
      </c>
      <c r="Z57" s="320">
        <f t="shared" si="16"/>
        <v>9707.7230080000008</v>
      </c>
      <c r="AA57" s="320">
        <f t="shared" si="16"/>
        <v>9707.7230080000008</v>
      </c>
      <c r="AB57" s="320">
        <f t="shared" si="16"/>
        <v>9707.7230080000008</v>
      </c>
      <c r="AC57" s="320">
        <f t="shared" si="16"/>
        <v>9707.7230080000008</v>
      </c>
      <c r="AD57" s="320">
        <f t="shared" si="16"/>
        <v>9707.7230080000008</v>
      </c>
      <c r="AE57" s="320">
        <f t="shared" si="16"/>
        <v>9707.7230080000008</v>
      </c>
      <c r="AF57" s="320">
        <f t="shared" si="16"/>
        <v>9707.7230080000008</v>
      </c>
      <c r="AG57" s="320">
        <f t="shared" si="16"/>
        <v>9707.7230080000008</v>
      </c>
      <c r="AH57" s="320">
        <f t="shared" si="16"/>
        <v>9707.7230080000008</v>
      </c>
      <c r="AI57" s="320">
        <f t="shared" si="16"/>
        <v>9707.7230080000008</v>
      </c>
      <c r="AJ57" s="320">
        <f t="shared" si="16"/>
        <v>9707.7230080000008</v>
      </c>
      <c r="AK57" s="320">
        <f t="shared" si="16"/>
        <v>9707.7230080000008</v>
      </c>
    </row>
    <row r="58" spans="1:37" s="256" customFormat="1" ht="13.15" customHeight="1" x14ac:dyDescent="0.2">
      <c r="A58" s="32" t="s">
        <v>865</v>
      </c>
      <c r="B58" s="509">
        <f>'06 - Salários e encargos'!B50</f>
        <v>4853.8615040000004</v>
      </c>
      <c r="C58" s="496">
        <f>$B$58*'05 - Relação de funcionários'!B58</f>
        <v>9707.7230080000008</v>
      </c>
      <c r="D58" s="496">
        <f>$B$58*'05 - Relação de funcionários'!C58</f>
        <v>9707.7230080000008</v>
      </c>
      <c r="E58" s="496">
        <f>$B$58*'05 - Relação de funcionários'!D58</f>
        <v>9707.7230080000008</v>
      </c>
      <c r="F58" s="496">
        <f>$B$58*'05 - Relação de funcionários'!E58</f>
        <v>9707.7230080000008</v>
      </c>
      <c r="G58" s="496">
        <f>$B$58*'05 - Relação de funcionários'!F58</f>
        <v>9707.7230080000008</v>
      </c>
      <c r="H58" s="496">
        <f>$B$58*'05 - Relação de funcionários'!G58</f>
        <v>9707.7230080000008</v>
      </c>
      <c r="I58" s="496">
        <f>$B$58*'05 - Relação de funcionários'!H58</f>
        <v>9707.7230080000008</v>
      </c>
      <c r="J58" s="496">
        <f>$B$58*'05 - Relação de funcionários'!I58</f>
        <v>9707.7230080000008</v>
      </c>
      <c r="K58" s="496">
        <f>$B$58*'05 - Relação de funcionários'!J58</f>
        <v>9707.7230080000008</v>
      </c>
      <c r="L58" s="496">
        <f>$B$58*'05 - Relação de funcionários'!K58</f>
        <v>9707.7230080000008</v>
      </c>
      <c r="M58" s="496">
        <f>$B$58*'05 - Relação de funcionários'!L58</f>
        <v>9707.7230080000008</v>
      </c>
      <c r="N58" s="496">
        <f>$B$58*'05 - Relação de funcionários'!M58</f>
        <v>9707.7230080000008</v>
      </c>
      <c r="O58" s="496">
        <f>$B$58*'05 - Relação de funcionários'!N58</f>
        <v>9707.7230080000008</v>
      </c>
      <c r="P58" s="496">
        <f>$B$58*'05 - Relação de funcionários'!O58</f>
        <v>9707.7230080000008</v>
      </c>
      <c r="Q58" s="496">
        <f>$B$58*'05 - Relação de funcionários'!P58</f>
        <v>9707.7230080000008</v>
      </c>
      <c r="R58" s="496">
        <f>$B$58*'05 - Relação de funcionários'!Q58</f>
        <v>9707.7230080000008</v>
      </c>
      <c r="S58" s="496">
        <f>$B$58*'05 - Relação de funcionários'!R58</f>
        <v>9707.7230080000008</v>
      </c>
      <c r="T58" s="496">
        <f>$B$58*'05 - Relação de funcionários'!S58</f>
        <v>9707.7230080000008</v>
      </c>
      <c r="U58" s="496">
        <f>$B$58*'05 - Relação de funcionários'!T58</f>
        <v>9707.7230080000008</v>
      </c>
      <c r="V58" s="496">
        <f>$B$58*'05 - Relação de funcionários'!U58</f>
        <v>9707.7230080000008</v>
      </c>
      <c r="W58" s="496">
        <f>$B$58*'05 - Relação de funcionários'!V58</f>
        <v>9707.7230080000008</v>
      </c>
      <c r="X58" s="496">
        <f>$B$58*'05 - Relação de funcionários'!W58</f>
        <v>9707.7230080000008</v>
      </c>
      <c r="Y58" s="496">
        <f>$B$58*'05 - Relação de funcionários'!X58</f>
        <v>9707.7230080000008</v>
      </c>
      <c r="Z58" s="496">
        <f>$B$58*'05 - Relação de funcionários'!Y58</f>
        <v>9707.7230080000008</v>
      </c>
      <c r="AA58" s="496">
        <f>$B$58*'05 - Relação de funcionários'!Z58</f>
        <v>9707.7230080000008</v>
      </c>
      <c r="AB58" s="496">
        <f>$B$58*'05 - Relação de funcionários'!AA58</f>
        <v>9707.7230080000008</v>
      </c>
      <c r="AC58" s="496">
        <f>$B$58*'05 - Relação de funcionários'!AB58</f>
        <v>9707.7230080000008</v>
      </c>
      <c r="AD58" s="496">
        <f>$B$58*'05 - Relação de funcionários'!AC58</f>
        <v>9707.7230080000008</v>
      </c>
      <c r="AE58" s="496">
        <f>$B$58*'05 - Relação de funcionários'!AD58</f>
        <v>9707.7230080000008</v>
      </c>
      <c r="AF58" s="496">
        <f>$B$58*'05 - Relação de funcionários'!AE58</f>
        <v>9707.7230080000008</v>
      </c>
      <c r="AG58" s="496">
        <f>$B$58*'05 - Relação de funcionários'!AF58</f>
        <v>9707.7230080000008</v>
      </c>
      <c r="AH58" s="496">
        <f>$B$58*'05 - Relação de funcionários'!AG58</f>
        <v>9707.7230080000008</v>
      </c>
      <c r="AI58" s="496">
        <f>$B$58*'05 - Relação de funcionários'!AH58</f>
        <v>9707.7230080000008</v>
      </c>
      <c r="AJ58" s="496">
        <f>$B$58*'05 - Relação de funcionários'!AI58</f>
        <v>9707.7230080000008</v>
      </c>
      <c r="AK58" s="496">
        <f>$B$58*'05 - Relação de funcionários'!AJ58</f>
        <v>9707.7230080000008</v>
      </c>
    </row>
    <row r="59" spans="1:37" ht="13.15" customHeight="1" x14ac:dyDescent="0.2">
      <c r="A59" s="31" t="s">
        <v>874</v>
      </c>
      <c r="B59" s="508"/>
      <c r="C59" s="12">
        <f t="shared" ref="C59:AK59" si="17" xml:space="preserve"> SUM( C$60:C$64 )</f>
        <v>54985.594119999994</v>
      </c>
      <c r="D59" s="12">
        <f t="shared" si="17"/>
        <v>54985.594119999994</v>
      </c>
      <c r="E59" s="12">
        <f t="shared" si="17"/>
        <v>54985.594119999994</v>
      </c>
      <c r="F59" s="12">
        <f t="shared" si="17"/>
        <v>54985.594119999994</v>
      </c>
      <c r="G59" s="12">
        <f t="shared" si="17"/>
        <v>54985.594119999994</v>
      </c>
      <c r="H59" s="12">
        <f t="shared" si="17"/>
        <v>54985.594119999994</v>
      </c>
      <c r="I59" s="12">
        <f t="shared" si="17"/>
        <v>54985.594119999994</v>
      </c>
      <c r="J59" s="12">
        <f t="shared" si="17"/>
        <v>54985.594119999994</v>
      </c>
      <c r="K59" s="12">
        <f t="shared" si="17"/>
        <v>54985.594119999994</v>
      </c>
      <c r="L59" s="12">
        <f t="shared" si="17"/>
        <v>54985.594119999994</v>
      </c>
      <c r="M59" s="12">
        <f t="shared" si="17"/>
        <v>54985.594119999994</v>
      </c>
      <c r="N59" s="12">
        <f t="shared" si="17"/>
        <v>54985.594119999994</v>
      </c>
      <c r="O59" s="12">
        <f t="shared" si="17"/>
        <v>54985.594119999994</v>
      </c>
      <c r="P59" s="12">
        <f t="shared" si="17"/>
        <v>54985.594119999994</v>
      </c>
      <c r="Q59" s="12">
        <f t="shared" si="17"/>
        <v>54985.594119999994</v>
      </c>
      <c r="R59" s="12">
        <f t="shared" si="17"/>
        <v>54985.594119999994</v>
      </c>
      <c r="S59" s="12">
        <f t="shared" si="17"/>
        <v>54985.594119999994</v>
      </c>
      <c r="T59" s="12">
        <f t="shared" si="17"/>
        <v>54985.594119999994</v>
      </c>
      <c r="U59" s="12">
        <f t="shared" si="17"/>
        <v>54985.594119999994</v>
      </c>
      <c r="V59" s="12">
        <f t="shared" si="17"/>
        <v>54985.594119999994</v>
      </c>
      <c r="W59" s="12">
        <f t="shared" si="17"/>
        <v>54985.594119999994</v>
      </c>
      <c r="X59" s="12">
        <f t="shared" si="17"/>
        <v>54985.594119999994</v>
      </c>
      <c r="Y59" s="12">
        <f t="shared" si="17"/>
        <v>54985.594119999994</v>
      </c>
      <c r="Z59" s="12">
        <f t="shared" si="17"/>
        <v>54985.594119999994</v>
      </c>
      <c r="AA59" s="12">
        <f t="shared" si="17"/>
        <v>54985.594119999994</v>
      </c>
      <c r="AB59" s="12">
        <f t="shared" si="17"/>
        <v>54985.594119999994</v>
      </c>
      <c r="AC59" s="12">
        <f t="shared" si="17"/>
        <v>54985.594119999994</v>
      </c>
      <c r="AD59" s="12">
        <f t="shared" si="17"/>
        <v>54985.594119999994</v>
      </c>
      <c r="AE59" s="12">
        <f t="shared" si="17"/>
        <v>54985.594119999994</v>
      </c>
      <c r="AF59" s="12">
        <f t="shared" si="17"/>
        <v>54985.594119999994</v>
      </c>
      <c r="AG59" s="12">
        <f t="shared" si="17"/>
        <v>54985.594119999994</v>
      </c>
      <c r="AH59" s="12">
        <f t="shared" si="17"/>
        <v>54985.594119999994</v>
      </c>
      <c r="AI59" s="12">
        <f t="shared" si="17"/>
        <v>54985.594119999994</v>
      </c>
      <c r="AJ59" s="12">
        <f t="shared" si="17"/>
        <v>54985.594119999994</v>
      </c>
      <c r="AK59" s="12">
        <f t="shared" si="17"/>
        <v>54985.594119999994</v>
      </c>
    </row>
    <row r="60" spans="1:37" ht="13.15" customHeight="1" x14ac:dyDescent="0.2">
      <c r="A60" s="32" t="s">
        <v>875</v>
      </c>
      <c r="B60" s="508">
        <f>'06 - Salários e encargos'!B52</f>
        <v>13852.714</v>
      </c>
      <c r="C60" s="499">
        <f>$B$60*'05 - Relação de funcionários'!B60</f>
        <v>13852.714</v>
      </c>
      <c r="D60" s="499">
        <f>$B$60*'05 - Relação de funcionários'!C60</f>
        <v>13852.714</v>
      </c>
      <c r="E60" s="499">
        <f>$B$60*'05 - Relação de funcionários'!D60</f>
        <v>13852.714</v>
      </c>
      <c r="F60" s="499">
        <f>$B$60*'05 - Relação de funcionários'!E60</f>
        <v>13852.714</v>
      </c>
      <c r="G60" s="499">
        <f>$B$60*'05 - Relação de funcionários'!F60</f>
        <v>13852.714</v>
      </c>
      <c r="H60" s="499">
        <f>$B$60*'05 - Relação de funcionários'!G60</f>
        <v>13852.714</v>
      </c>
      <c r="I60" s="499">
        <f>$B$60*'05 - Relação de funcionários'!H60</f>
        <v>13852.714</v>
      </c>
      <c r="J60" s="499">
        <f>$B$60*'05 - Relação de funcionários'!I60</f>
        <v>13852.714</v>
      </c>
      <c r="K60" s="499">
        <f>$B$60*'05 - Relação de funcionários'!J60</f>
        <v>13852.714</v>
      </c>
      <c r="L60" s="499">
        <f>$B$60*'05 - Relação de funcionários'!K60</f>
        <v>13852.714</v>
      </c>
      <c r="M60" s="499">
        <f>$B$60*'05 - Relação de funcionários'!L60</f>
        <v>13852.714</v>
      </c>
      <c r="N60" s="499">
        <f>$B$60*'05 - Relação de funcionários'!M60</f>
        <v>13852.714</v>
      </c>
      <c r="O60" s="499">
        <f>$B$60*'05 - Relação de funcionários'!N60</f>
        <v>13852.714</v>
      </c>
      <c r="P60" s="499">
        <f>$B$60*'05 - Relação de funcionários'!O60</f>
        <v>13852.714</v>
      </c>
      <c r="Q60" s="499">
        <f>$B$60*'05 - Relação de funcionários'!P60</f>
        <v>13852.714</v>
      </c>
      <c r="R60" s="499">
        <f>$B$60*'05 - Relação de funcionários'!Q60</f>
        <v>13852.714</v>
      </c>
      <c r="S60" s="499">
        <f>$B$60*'05 - Relação de funcionários'!R60</f>
        <v>13852.714</v>
      </c>
      <c r="T60" s="499">
        <f>$B$60*'05 - Relação de funcionários'!S60</f>
        <v>13852.714</v>
      </c>
      <c r="U60" s="499">
        <f>$B$60*'05 - Relação de funcionários'!T60</f>
        <v>13852.714</v>
      </c>
      <c r="V60" s="499">
        <f>$B$60*'05 - Relação de funcionários'!U60</f>
        <v>13852.714</v>
      </c>
      <c r="W60" s="499">
        <f>$B$60*'05 - Relação de funcionários'!V60</f>
        <v>13852.714</v>
      </c>
      <c r="X60" s="499">
        <f>$B$60*'05 - Relação de funcionários'!W60</f>
        <v>13852.714</v>
      </c>
      <c r="Y60" s="499">
        <f>$B$60*'05 - Relação de funcionários'!X60</f>
        <v>13852.714</v>
      </c>
      <c r="Z60" s="499">
        <f>$B$60*'05 - Relação de funcionários'!Y60</f>
        <v>13852.714</v>
      </c>
      <c r="AA60" s="499">
        <f>$B$60*'05 - Relação de funcionários'!Z60</f>
        <v>13852.714</v>
      </c>
      <c r="AB60" s="499">
        <f>$B$60*'05 - Relação de funcionários'!AA60</f>
        <v>13852.714</v>
      </c>
      <c r="AC60" s="499">
        <f>$B$60*'05 - Relação de funcionários'!AB60</f>
        <v>13852.714</v>
      </c>
      <c r="AD60" s="499">
        <f>$B$60*'05 - Relação de funcionários'!AC60</f>
        <v>13852.714</v>
      </c>
      <c r="AE60" s="499">
        <f>$B$60*'05 - Relação de funcionários'!AD60</f>
        <v>13852.714</v>
      </c>
      <c r="AF60" s="499">
        <f>$B$60*'05 - Relação de funcionários'!AE60</f>
        <v>13852.714</v>
      </c>
      <c r="AG60" s="499">
        <f>$B$60*'05 - Relação de funcionários'!AF60</f>
        <v>13852.714</v>
      </c>
      <c r="AH60" s="499">
        <f>$B$60*'05 - Relação de funcionários'!AG60</f>
        <v>13852.714</v>
      </c>
      <c r="AI60" s="499">
        <f>$B$60*'05 - Relação de funcionários'!AH60</f>
        <v>13852.714</v>
      </c>
      <c r="AJ60" s="499">
        <f>$B$60*'05 - Relação de funcionários'!AI60</f>
        <v>13852.714</v>
      </c>
      <c r="AK60" s="499">
        <f>$B$60*'05 - Relação de funcionários'!AJ60</f>
        <v>13852.714</v>
      </c>
    </row>
    <row r="61" spans="1:37" ht="13.15" customHeight="1" x14ac:dyDescent="0.2">
      <c r="A61" s="32" t="s">
        <v>876</v>
      </c>
      <c r="B61" s="508">
        <f>'06 - Salários e encargos'!B53</f>
        <v>10507.4</v>
      </c>
      <c r="C61" s="499">
        <f>$B$61*'05 - Relação de funcionários'!B61</f>
        <v>21014.799999999999</v>
      </c>
      <c r="D61" s="499">
        <f>$B$61*'05 - Relação de funcionários'!C61</f>
        <v>21014.799999999999</v>
      </c>
      <c r="E61" s="499">
        <f>$B$61*'05 - Relação de funcionários'!D61</f>
        <v>21014.799999999999</v>
      </c>
      <c r="F61" s="499">
        <f>$B$61*'05 - Relação de funcionários'!E61</f>
        <v>21014.799999999999</v>
      </c>
      <c r="G61" s="499">
        <f>$B$61*'05 - Relação de funcionários'!F61</f>
        <v>21014.799999999999</v>
      </c>
      <c r="H61" s="499">
        <f>$B$61*'05 - Relação de funcionários'!G61</f>
        <v>21014.799999999999</v>
      </c>
      <c r="I61" s="499">
        <f>$B$61*'05 - Relação de funcionários'!H61</f>
        <v>21014.799999999999</v>
      </c>
      <c r="J61" s="499">
        <f>$B$61*'05 - Relação de funcionários'!I61</f>
        <v>21014.799999999999</v>
      </c>
      <c r="K61" s="499">
        <f>$B$61*'05 - Relação de funcionários'!J61</f>
        <v>21014.799999999999</v>
      </c>
      <c r="L61" s="499">
        <f>$B$61*'05 - Relação de funcionários'!K61</f>
        <v>21014.799999999999</v>
      </c>
      <c r="M61" s="499">
        <f>$B$61*'05 - Relação de funcionários'!L61</f>
        <v>21014.799999999999</v>
      </c>
      <c r="N61" s="499">
        <f>$B$61*'05 - Relação de funcionários'!M61</f>
        <v>21014.799999999999</v>
      </c>
      <c r="O61" s="499">
        <f>$B$61*'05 - Relação de funcionários'!N61</f>
        <v>21014.799999999999</v>
      </c>
      <c r="P61" s="499">
        <f>$B$61*'05 - Relação de funcionários'!O61</f>
        <v>21014.799999999999</v>
      </c>
      <c r="Q61" s="499">
        <f>$B$61*'05 - Relação de funcionários'!P61</f>
        <v>21014.799999999999</v>
      </c>
      <c r="R61" s="499">
        <f>$B$61*'05 - Relação de funcionários'!Q61</f>
        <v>21014.799999999999</v>
      </c>
      <c r="S61" s="499">
        <f>$B$61*'05 - Relação de funcionários'!R61</f>
        <v>21014.799999999999</v>
      </c>
      <c r="T61" s="499">
        <f>$B$61*'05 - Relação de funcionários'!S61</f>
        <v>21014.799999999999</v>
      </c>
      <c r="U61" s="499">
        <f>$B$61*'05 - Relação de funcionários'!T61</f>
        <v>21014.799999999999</v>
      </c>
      <c r="V61" s="499">
        <f>$B$61*'05 - Relação de funcionários'!U61</f>
        <v>21014.799999999999</v>
      </c>
      <c r="W61" s="499">
        <f>$B$61*'05 - Relação de funcionários'!V61</f>
        <v>21014.799999999999</v>
      </c>
      <c r="X61" s="499">
        <f>$B$61*'05 - Relação de funcionários'!W61</f>
        <v>21014.799999999999</v>
      </c>
      <c r="Y61" s="499">
        <f>$B$61*'05 - Relação de funcionários'!X61</f>
        <v>21014.799999999999</v>
      </c>
      <c r="Z61" s="499">
        <f>$B$61*'05 - Relação de funcionários'!Y61</f>
        <v>21014.799999999999</v>
      </c>
      <c r="AA61" s="499">
        <f>$B$61*'05 - Relação de funcionários'!Z61</f>
        <v>21014.799999999999</v>
      </c>
      <c r="AB61" s="499">
        <f>$B$61*'05 - Relação de funcionários'!AA61</f>
        <v>21014.799999999999</v>
      </c>
      <c r="AC61" s="499">
        <f>$B$61*'05 - Relação de funcionários'!AB61</f>
        <v>21014.799999999999</v>
      </c>
      <c r="AD61" s="499">
        <f>$B$61*'05 - Relação de funcionários'!AC61</f>
        <v>21014.799999999999</v>
      </c>
      <c r="AE61" s="499">
        <f>$B$61*'05 - Relação de funcionários'!AD61</f>
        <v>21014.799999999999</v>
      </c>
      <c r="AF61" s="499">
        <f>$B$61*'05 - Relação de funcionários'!AE61</f>
        <v>21014.799999999999</v>
      </c>
      <c r="AG61" s="499">
        <f>$B$61*'05 - Relação de funcionários'!AF61</f>
        <v>21014.799999999999</v>
      </c>
      <c r="AH61" s="499">
        <f>$B$61*'05 - Relação de funcionários'!AG61</f>
        <v>21014.799999999999</v>
      </c>
      <c r="AI61" s="499">
        <f>$B$61*'05 - Relação de funcionários'!AH61</f>
        <v>21014.799999999999</v>
      </c>
      <c r="AJ61" s="499">
        <f>$B$61*'05 - Relação de funcionários'!AI61</f>
        <v>21014.799999999999</v>
      </c>
      <c r="AK61" s="499">
        <f>$B$61*'05 - Relação de funcionários'!AJ61</f>
        <v>21014.799999999999</v>
      </c>
    </row>
    <row r="62" spans="1:37" ht="13.15" customHeight="1" x14ac:dyDescent="0.2">
      <c r="A62" s="32" t="s">
        <v>877</v>
      </c>
      <c r="B62" s="508">
        <f>'06 - Salários e encargos'!B54</f>
        <v>4151.9815559999997</v>
      </c>
      <c r="C62" s="499">
        <f>$B$62*'05 - Relação de funcionários'!B62</f>
        <v>8303.9631119999995</v>
      </c>
      <c r="D62" s="499">
        <f>$B$62*'05 - Relação de funcionários'!C62</f>
        <v>8303.9631119999995</v>
      </c>
      <c r="E62" s="499">
        <f>$B$62*'05 - Relação de funcionários'!D62</f>
        <v>8303.9631119999995</v>
      </c>
      <c r="F62" s="499">
        <f>$B$62*'05 - Relação de funcionários'!E62</f>
        <v>8303.9631119999995</v>
      </c>
      <c r="G62" s="499">
        <f>$B$62*'05 - Relação de funcionários'!F62</f>
        <v>8303.9631119999995</v>
      </c>
      <c r="H62" s="499">
        <f>$B$62*'05 - Relação de funcionários'!G62</f>
        <v>8303.9631119999995</v>
      </c>
      <c r="I62" s="499">
        <f>$B$62*'05 - Relação de funcionários'!H62</f>
        <v>8303.9631119999995</v>
      </c>
      <c r="J62" s="499">
        <f>$B$62*'05 - Relação de funcionários'!I62</f>
        <v>8303.9631119999995</v>
      </c>
      <c r="K62" s="499">
        <f>$B$62*'05 - Relação de funcionários'!J62</f>
        <v>8303.9631119999995</v>
      </c>
      <c r="L62" s="499">
        <f>$B$62*'05 - Relação de funcionários'!K62</f>
        <v>8303.9631119999995</v>
      </c>
      <c r="M62" s="499">
        <f>$B$62*'05 - Relação de funcionários'!L62</f>
        <v>8303.9631119999995</v>
      </c>
      <c r="N62" s="499">
        <f>$B$62*'05 - Relação de funcionários'!M62</f>
        <v>8303.9631119999995</v>
      </c>
      <c r="O62" s="499">
        <f>$B$62*'05 - Relação de funcionários'!N62</f>
        <v>8303.9631119999995</v>
      </c>
      <c r="P62" s="499">
        <f>$B$62*'05 - Relação de funcionários'!O62</f>
        <v>8303.9631119999995</v>
      </c>
      <c r="Q62" s="499">
        <f>$B$62*'05 - Relação de funcionários'!P62</f>
        <v>8303.9631119999995</v>
      </c>
      <c r="R62" s="499">
        <f>$B$62*'05 - Relação de funcionários'!Q62</f>
        <v>8303.9631119999995</v>
      </c>
      <c r="S62" s="499">
        <f>$B$62*'05 - Relação de funcionários'!R62</f>
        <v>8303.9631119999995</v>
      </c>
      <c r="T62" s="499">
        <f>$B$62*'05 - Relação de funcionários'!S62</f>
        <v>8303.9631119999995</v>
      </c>
      <c r="U62" s="499">
        <f>$B$62*'05 - Relação de funcionários'!T62</f>
        <v>8303.9631119999995</v>
      </c>
      <c r="V62" s="499">
        <f>$B$62*'05 - Relação de funcionários'!U62</f>
        <v>8303.9631119999995</v>
      </c>
      <c r="W62" s="499">
        <f>$B$62*'05 - Relação de funcionários'!V62</f>
        <v>8303.9631119999995</v>
      </c>
      <c r="X62" s="499">
        <f>$B$62*'05 - Relação de funcionários'!W62</f>
        <v>8303.9631119999995</v>
      </c>
      <c r="Y62" s="499">
        <f>$B$62*'05 - Relação de funcionários'!X62</f>
        <v>8303.9631119999995</v>
      </c>
      <c r="Z62" s="499">
        <f>$B$62*'05 - Relação de funcionários'!Y62</f>
        <v>8303.9631119999995</v>
      </c>
      <c r="AA62" s="499">
        <f>$B$62*'05 - Relação de funcionários'!Z62</f>
        <v>8303.9631119999995</v>
      </c>
      <c r="AB62" s="499">
        <f>$B$62*'05 - Relação de funcionários'!AA62</f>
        <v>8303.9631119999995</v>
      </c>
      <c r="AC62" s="499">
        <f>$B$62*'05 - Relação de funcionários'!AB62</f>
        <v>8303.9631119999995</v>
      </c>
      <c r="AD62" s="499">
        <f>$B$62*'05 - Relação de funcionários'!AC62</f>
        <v>8303.9631119999995</v>
      </c>
      <c r="AE62" s="499">
        <f>$B$62*'05 - Relação de funcionários'!AD62</f>
        <v>8303.9631119999995</v>
      </c>
      <c r="AF62" s="499">
        <f>$B$62*'05 - Relação de funcionários'!AE62</f>
        <v>8303.9631119999995</v>
      </c>
      <c r="AG62" s="499">
        <f>$B$62*'05 - Relação de funcionários'!AF62</f>
        <v>8303.9631119999995</v>
      </c>
      <c r="AH62" s="499">
        <f>$B$62*'05 - Relação de funcionários'!AG62</f>
        <v>8303.9631119999995</v>
      </c>
      <c r="AI62" s="499">
        <f>$B$62*'05 - Relação de funcionários'!AH62</f>
        <v>8303.9631119999995</v>
      </c>
      <c r="AJ62" s="499">
        <f>$B$62*'05 - Relação de funcionários'!AI62</f>
        <v>8303.9631119999995</v>
      </c>
      <c r="AK62" s="499">
        <f>$B$62*'05 - Relação de funcionários'!AJ62</f>
        <v>8303.9631119999995</v>
      </c>
    </row>
    <row r="63" spans="1:37" ht="13.15" customHeight="1" x14ac:dyDescent="0.2">
      <c r="A63" s="32" t="s">
        <v>878</v>
      </c>
      <c r="B63" s="508">
        <f>'06 - Salários e encargos'!B55</f>
        <v>5371.8352000000004</v>
      </c>
      <c r="C63" s="499">
        <f>$B$63*'05 - Relação de funcionários'!B63</f>
        <v>5371.8352000000004</v>
      </c>
      <c r="D63" s="499">
        <f>$B$63*'05 - Relação de funcionários'!C63</f>
        <v>5371.8352000000004</v>
      </c>
      <c r="E63" s="499">
        <f>$B$63*'05 - Relação de funcionários'!D63</f>
        <v>5371.8352000000004</v>
      </c>
      <c r="F63" s="499">
        <f>$B$63*'05 - Relação de funcionários'!E63</f>
        <v>5371.8352000000004</v>
      </c>
      <c r="G63" s="499">
        <f>$B$63*'05 - Relação de funcionários'!F63</f>
        <v>5371.8352000000004</v>
      </c>
      <c r="H63" s="499">
        <f>$B$63*'05 - Relação de funcionários'!G63</f>
        <v>5371.8352000000004</v>
      </c>
      <c r="I63" s="499">
        <f>$B$63*'05 - Relação de funcionários'!H63</f>
        <v>5371.8352000000004</v>
      </c>
      <c r="J63" s="499">
        <f>$B$63*'05 - Relação de funcionários'!I63</f>
        <v>5371.8352000000004</v>
      </c>
      <c r="K63" s="499">
        <f>$B$63*'05 - Relação de funcionários'!J63</f>
        <v>5371.8352000000004</v>
      </c>
      <c r="L63" s="499">
        <f>$B$63*'05 - Relação de funcionários'!K63</f>
        <v>5371.8352000000004</v>
      </c>
      <c r="M63" s="499">
        <f>$B$63*'05 - Relação de funcionários'!L63</f>
        <v>5371.8352000000004</v>
      </c>
      <c r="N63" s="499">
        <f>$B$63*'05 - Relação de funcionários'!M63</f>
        <v>5371.8352000000004</v>
      </c>
      <c r="O63" s="499">
        <f>$B$63*'05 - Relação de funcionários'!N63</f>
        <v>5371.8352000000004</v>
      </c>
      <c r="P63" s="499">
        <f>$B$63*'05 - Relação de funcionários'!O63</f>
        <v>5371.8352000000004</v>
      </c>
      <c r="Q63" s="499">
        <f>$B$63*'05 - Relação de funcionários'!P63</f>
        <v>5371.8352000000004</v>
      </c>
      <c r="R63" s="499">
        <f>$B$63*'05 - Relação de funcionários'!Q63</f>
        <v>5371.8352000000004</v>
      </c>
      <c r="S63" s="499">
        <f>$B$63*'05 - Relação de funcionários'!R63</f>
        <v>5371.8352000000004</v>
      </c>
      <c r="T63" s="499">
        <f>$B$63*'05 - Relação de funcionários'!S63</f>
        <v>5371.8352000000004</v>
      </c>
      <c r="U63" s="499">
        <f>$B$63*'05 - Relação de funcionários'!T63</f>
        <v>5371.8352000000004</v>
      </c>
      <c r="V63" s="499">
        <f>$B$63*'05 - Relação de funcionários'!U63</f>
        <v>5371.8352000000004</v>
      </c>
      <c r="W63" s="499">
        <f>$B$63*'05 - Relação de funcionários'!V63</f>
        <v>5371.8352000000004</v>
      </c>
      <c r="X63" s="499">
        <f>$B$63*'05 - Relação de funcionários'!W63</f>
        <v>5371.8352000000004</v>
      </c>
      <c r="Y63" s="499">
        <f>$B$63*'05 - Relação de funcionários'!X63</f>
        <v>5371.8352000000004</v>
      </c>
      <c r="Z63" s="499">
        <f>$B$63*'05 - Relação de funcionários'!Y63</f>
        <v>5371.8352000000004</v>
      </c>
      <c r="AA63" s="499">
        <f>$B$63*'05 - Relação de funcionários'!Z63</f>
        <v>5371.8352000000004</v>
      </c>
      <c r="AB63" s="499">
        <f>$B$63*'05 - Relação de funcionários'!AA63</f>
        <v>5371.8352000000004</v>
      </c>
      <c r="AC63" s="499">
        <f>$B$63*'05 - Relação de funcionários'!AB63</f>
        <v>5371.8352000000004</v>
      </c>
      <c r="AD63" s="499">
        <f>$B$63*'05 - Relação de funcionários'!AC63</f>
        <v>5371.8352000000004</v>
      </c>
      <c r="AE63" s="499">
        <f>$B$63*'05 - Relação de funcionários'!AD63</f>
        <v>5371.8352000000004</v>
      </c>
      <c r="AF63" s="499">
        <f>$B$63*'05 - Relação de funcionários'!AE63</f>
        <v>5371.8352000000004</v>
      </c>
      <c r="AG63" s="499">
        <f>$B$63*'05 - Relação de funcionários'!AF63</f>
        <v>5371.8352000000004</v>
      </c>
      <c r="AH63" s="499">
        <f>$B$63*'05 - Relação de funcionários'!AG63</f>
        <v>5371.8352000000004</v>
      </c>
      <c r="AI63" s="499">
        <f>$B$63*'05 - Relação de funcionários'!AH63</f>
        <v>5371.8352000000004</v>
      </c>
      <c r="AJ63" s="499">
        <f>$B$63*'05 - Relação de funcionários'!AI63</f>
        <v>5371.8352000000004</v>
      </c>
      <c r="AK63" s="499">
        <f>$B$63*'05 - Relação de funcionários'!AJ63</f>
        <v>5371.8352000000004</v>
      </c>
    </row>
    <row r="64" spans="1:37" ht="13.15" customHeight="1" x14ac:dyDescent="0.2">
      <c r="A64" s="32" t="s">
        <v>879</v>
      </c>
      <c r="B64" s="508">
        <f>'06 - Salários e encargos'!B56</f>
        <v>3221.1409039999999</v>
      </c>
      <c r="C64" s="499">
        <f>$B$64*'05 - Relação de funcionários'!B64</f>
        <v>6442.2818079999997</v>
      </c>
      <c r="D64" s="499">
        <f>$B$64*'05 - Relação de funcionários'!C64</f>
        <v>6442.2818079999997</v>
      </c>
      <c r="E64" s="499">
        <f>$B$64*'05 - Relação de funcionários'!D64</f>
        <v>6442.2818079999997</v>
      </c>
      <c r="F64" s="499">
        <f>$B$64*'05 - Relação de funcionários'!E64</f>
        <v>6442.2818079999997</v>
      </c>
      <c r="G64" s="499">
        <f>$B$64*'05 - Relação de funcionários'!F64</f>
        <v>6442.2818079999997</v>
      </c>
      <c r="H64" s="499">
        <f>$B$64*'05 - Relação de funcionários'!G64</f>
        <v>6442.2818079999997</v>
      </c>
      <c r="I64" s="499">
        <f>$B$64*'05 - Relação de funcionários'!H64</f>
        <v>6442.2818079999997</v>
      </c>
      <c r="J64" s="499">
        <f>$B$64*'05 - Relação de funcionários'!I64</f>
        <v>6442.2818079999997</v>
      </c>
      <c r="K64" s="499">
        <f>$B$64*'05 - Relação de funcionários'!J64</f>
        <v>6442.2818079999997</v>
      </c>
      <c r="L64" s="499">
        <f>$B$64*'05 - Relação de funcionários'!K64</f>
        <v>6442.2818079999997</v>
      </c>
      <c r="M64" s="499">
        <f>$B$64*'05 - Relação de funcionários'!L64</f>
        <v>6442.2818079999997</v>
      </c>
      <c r="N64" s="499">
        <f>$B$64*'05 - Relação de funcionários'!M64</f>
        <v>6442.2818079999997</v>
      </c>
      <c r="O64" s="499">
        <f>$B$64*'05 - Relação de funcionários'!N64</f>
        <v>6442.2818079999997</v>
      </c>
      <c r="P64" s="499">
        <f>$B$64*'05 - Relação de funcionários'!O64</f>
        <v>6442.2818079999997</v>
      </c>
      <c r="Q64" s="499">
        <f>$B$64*'05 - Relação de funcionários'!P64</f>
        <v>6442.2818079999997</v>
      </c>
      <c r="R64" s="499">
        <f>$B$64*'05 - Relação de funcionários'!Q64</f>
        <v>6442.2818079999997</v>
      </c>
      <c r="S64" s="499">
        <f>$B$64*'05 - Relação de funcionários'!R64</f>
        <v>6442.2818079999997</v>
      </c>
      <c r="T64" s="499">
        <f>$B$64*'05 - Relação de funcionários'!S64</f>
        <v>6442.2818079999997</v>
      </c>
      <c r="U64" s="499">
        <f>$B$64*'05 - Relação de funcionários'!T64</f>
        <v>6442.2818079999997</v>
      </c>
      <c r="V64" s="499">
        <f>$B$64*'05 - Relação de funcionários'!U64</f>
        <v>6442.2818079999997</v>
      </c>
      <c r="W64" s="499">
        <f>$B$64*'05 - Relação de funcionários'!V64</f>
        <v>6442.2818079999997</v>
      </c>
      <c r="X64" s="499">
        <f>$B$64*'05 - Relação de funcionários'!W64</f>
        <v>6442.2818079999997</v>
      </c>
      <c r="Y64" s="499">
        <f>$B$64*'05 - Relação de funcionários'!X64</f>
        <v>6442.2818079999997</v>
      </c>
      <c r="Z64" s="499">
        <f>$B$64*'05 - Relação de funcionários'!Y64</f>
        <v>6442.2818079999997</v>
      </c>
      <c r="AA64" s="499">
        <f>$B$64*'05 - Relação de funcionários'!Z64</f>
        <v>6442.2818079999997</v>
      </c>
      <c r="AB64" s="499">
        <f>$B$64*'05 - Relação de funcionários'!AA64</f>
        <v>6442.2818079999997</v>
      </c>
      <c r="AC64" s="499">
        <f>$B$64*'05 - Relação de funcionários'!AB64</f>
        <v>6442.2818079999997</v>
      </c>
      <c r="AD64" s="499">
        <f>$B$64*'05 - Relação de funcionários'!AC64</f>
        <v>6442.2818079999997</v>
      </c>
      <c r="AE64" s="499">
        <f>$B$64*'05 - Relação de funcionários'!AD64</f>
        <v>6442.2818079999997</v>
      </c>
      <c r="AF64" s="499">
        <f>$B$64*'05 - Relação de funcionários'!AE64</f>
        <v>6442.2818079999997</v>
      </c>
      <c r="AG64" s="499">
        <f>$B$64*'05 - Relação de funcionários'!AF64</f>
        <v>6442.2818079999997</v>
      </c>
      <c r="AH64" s="499">
        <f>$B$64*'05 - Relação de funcionários'!AG64</f>
        <v>6442.2818079999997</v>
      </c>
      <c r="AI64" s="499">
        <f>$B$64*'05 - Relação de funcionários'!AH64</f>
        <v>6442.2818079999997</v>
      </c>
      <c r="AJ64" s="499">
        <f>$B$64*'05 - Relação de funcionários'!AI64</f>
        <v>6442.2818079999997</v>
      </c>
      <c r="AK64" s="499">
        <f>$B$64*'05 - Relação de funcionários'!AJ64</f>
        <v>6442.2818079999997</v>
      </c>
    </row>
    <row r="65" spans="1:37" ht="13.15" customHeight="1" x14ac:dyDescent="0.2">
      <c r="A65" s="32"/>
      <c r="B65" s="508"/>
      <c r="C65" s="499"/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G65" s="499"/>
      <c r="AH65" s="499"/>
      <c r="AI65" s="499"/>
      <c r="AJ65" s="499"/>
      <c r="AK65" s="499"/>
    </row>
    <row r="66" spans="1:37" s="256" customFormat="1" ht="13.15" customHeight="1" x14ac:dyDescent="0.2">
      <c r="A66" s="337" t="s">
        <v>909</v>
      </c>
      <c r="B66" s="456"/>
    </row>
    <row r="67" spans="1:37" s="258" customFormat="1" ht="13.15" customHeight="1" x14ac:dyDescent="0.2">
      <c r="A67" s="257" t="s">
        <v>880</v>
      </c>
      <c r="B67" s="457"/>
      <c r="C67" s="338">
        <f>SUM(C68:C70)</f>
        <v>195104.588624</v>
      </c>
      <c r="D67" s="338">
        <f t="shared" ref="D67:AK67" si="18">SUM(D68:D70)</f>
        <v>195104.588624</v>
      </c>
      <c r="E67" s="338">
        <f t="shared" si="18"/>
        <v>195104.588624</v>
      </c>
      <c r="F67" s="338">
        <f t="shared" si="18"/>
        <v>195104.588624</v>
      </c>
      <c r="G67" s="338">
        <f t="shared" si="18"/>
        <v>195104.588624</v>
      </c>
      <c r="H67" s="338">
        <f t="shared" si="18"/>
        <v>195104.588624</v>
      </c>
      <c r="I67" s="338">
        <f t="shared" si="18"/>
        <v>195104.588624</v>
      </c>
      <c r="J67" s="338">
        <f t="shared" si="18"/>
        <v>195104.588624</v>
      </c>
      <c r="K67" s="338">
        <f t="shared" si="18"/>
        <v>195104.588624</v>
      </c>
      <c r="L67" s="338">
        <f t="shared" si="18"/>
        <v>195104.588624</v>
      </c>
      <c r="M67" s="338">
        <f t="shared" si="18"/>
        <v>195104.588624</v>
      </c>
      <c r="N67" s="338">
        <f t="shared" si="18"/>
        <v>195104.588624</v>
      </c>
      <c r="O67" s="338">
        <f t="shared" si="18"/>
        <v>195104.588624</v>
      </c>
      <c r="P67" s="338">
        <f t="shared" si="18"/>
        <v>195104.588624</v>
      </c>
      <c r="Q67" s="338">
        <f t="shared" si="18"/>
        <v>195104.588624</v>
      </c>
      <c r="R67" s="338">
        <f t="shared" si="18"/>
        <v>195104.588624</v>
      </c>
      <c r="S67" s="338">
        <f t="shared" si="18"/>
        <v>195104.588624</v>
      </c>
      <c r="T67" s="338">
        <f t="shared" si="18"/>
        <v>195104.588624</v>
      </c>
      <c r="U67" s="338">
        <f t="shared" si="18"/>
        <v>195104.588624</v>
      </c>
      <c r="V67" s="338">
        <f t="shared" si="18"/>
        <v>195104.588624</v>
      </c>
      <c r="W67" s="338">
        <f t="shared" si="18"/>
        <v>195104.588624</v>
      </c>
      <c r="X67" s="338">
        <f t="shared" si="18"/>
        <v>195104.588624</v>
      </c>
      <c r="Y67" s="338">
        <f t="shared" si="18"/>
        <v>195104.588624</v>
      </c>
      <c r="Z67" s="338">
        <f t="shared" si="18"/>
        <v>195104.588624</v>
      </c>
      <c r="AA67" s="338">
        <f t="shared" si="18"/>
        <v>195104.588624</v>
      </c>
      <c r="AB67" s="338">
        <f t="shared" si="18"/>
        <v>195104.588624</v>
      </c>
      <c r="AC67" s="338">
        <f t="shared" si="18"/>
        <v>195104.588624</v>
      </c>
      <c r="AD67" s="338">
        <f t="shared" si="18"/>
        <v>195104.588624</v>
      </c>
      <c r="AE67" s="338">
        <f t="shared" si="18"/>
        <v>195104.588624</v>
      </c>
      <c r="AF67" s="338">
        <f t="shared" si="18"/>
        <v>195104.588624</v>
      </c>
      <c r="AG67" s="338">
        <f t="shared" si="18"/>
        <v>195104.588624</v>
      </c>
      <c r="AH67" s="338">
        <f t="shared" si="18"/>
        <v>195104.588624</v>
      </c>
      <c r="AI67" s="338">
        <f t="shared" si="18"/>
        <v>195104.588624</v>
      </c>
      <c r="AJ67" s="338">
        <f t="shared" si="18"/>
        <v>195104.588624</v>
      </c>
      <c r="AK67" s="338">
        <f t="shared" si="18"/>
        <v>195104.588624</v>
      </c>
    </row>
    <row r="68" spans="1:37" s="256" customFormat="1" ht="13.15" customHeight="1" x14ac:dyDescent="0.2">
      <c r="A68" s="32" t="s">
        <v>883</v>
      </c>
      <c r="B68" s="458">
        <f>'06 - Salários e encargos'!$B$59</f>
        <v>4744.8615040000004</v>
      </c>
      <c r="C68" s="339">
        <f>$B$68*'05 - Relação de funcionários'!B67</f>
        <v>18979.446016000002</v>
      </c>
      <c r="D68" s="339">
        <f>$B$68*'05 - Relação de funcionários'!C67</f>
        <v>18979.446016000002</v>
      </c>
      <c r="E68" s="339">
        <f>$B$68*'05 - Relação de funcionários'!D67</f>
        <v>18979.446016000002</v>
      </c>
      <c r="F68" s="339">
        <f>$B$68*'05 - Relação de funcionários'!E67</f>
        <v>18979.446016000002</v>
      </c>
      <c r="G68" s="339">
        <f>$B$68*'05 - Relação de funcionários'!F67</f>
        <v>18979.446016000002</v>
      </c>
      <c r="H68" s="339">
        <f>$B$68*'05 - Relação de funcionários'!G67</f>
        <v>18979.446016000002</v>
      </c>
      <c r="I68" s="339">
        <f>$B$68*'05 - Relação de funcionários'!H67</f>
        <v>18979.446016000002</v>
      </c>
      <c r="J68" s="339">
        <f>$B$68*'05 - Relação de funcionários'!I67</f>
        <v>18979.446016000002</v>
      </c>
      <c r="K68" s="339">
        <f>$B$68*'05 - Relação de funcionários'!J67</f>
        <v>18979.446016000002</v>
      </c>
      <c r="L68" s="339">
        <f>$B$68*'05 - Relação de funcionários'!K67</f>
        <v>18979.446016000002</v>
      </c>
      <c r="M68" s="339">
        <f>$B$68*'05 - Relação de funcionários'!L67</f>
        <v>18979.446016000002</v>
      </c>
      <c r="N68" s="339">
        <f>$B$68*'05 - Relação de funcionários'!M67</f>
        <v>18979.446016000002</v>
      </c>
      <c r="O68" s="339">
        <f>$B$68*'05 - Relação de funcionários'!N67</f>
        <v>18979.446016000002</v>
      </c>
      <c r="P68" s="339">
        <f>$B$68*'05 - Relação de funcionários'!O67</f>
        <v>18979.446016000002</v>
      </c>
      <c r="Q68" s="339">
        <f>$B$68*'05 - Relação de funcionários'!P67</f>
        <v>18979.446016000002</v>
      </c>
      <c r="R68" s="339">
        <f>$B$68*'05 - Relação de funcionários'!Q67</f>
        <v>18979.446016000002</v>
      </c>
      <c r="S68" s="339">
        <f>$B$68*'05 - Relação de funcionários'!R67</f>
        <v>18979.446016000002</v>
      </c>
      <c r="T68" s="339">
        <f>$B$68*'05 - Relação de funcionários'!S67</f>
        <v>18979.446016000002</v>
      </c>
      <c r="U68" s="339">
        <f>$B$68*'05 - Relação de funcionários'!T67</f>
        <v>18979.446016000002</v>
      </c>
      <c r="V68" s="339">
        <f>$B$68*'05 - Relação de funcionários'!U67</f>
        <v>18979.446016000002</v>
      </c>
      <c r="W68" s="339">
        <f>$B$68*'05 - Relação de funcionários'!V67</f>
        <v>18979.446016000002</v>
      </c>
      <c r="X68" s="339">
        <f>$B$68*'05 - Relação de funcionários'!W67</f>
        <v>18979.446016000002</v>
      </c>
      <c r="Y68" s="339">
        <f>$B$68*'05 - Relação de funcionários'!X67</f>
        <v>18979.446016000002</v>
      </c>
      <c r="Z68" s="339">
        <f>$B$68*'05 - Relação de funcionários'!Y67</f>
        <v>18979.446016000002</v>
      </c>
      <c r="AA68" s="339">
        <f>$B$68*'05 - Relação de funcionários'!Z67</f>
        <v>18979.446016000002</v>
      </c>
      <c r="AB68" s="339">
        <f>$B$68*'05 - Relação de funcionários'!AA67</f>
        <v>18979.446016000002</v>
      </c>
      <c r="AC68" s="339">
        <f>$B$68*'05 - Relação de funcionários'!AB67</f>
        <v>18979.446016000002</v>
      </c>
      <c r="AD68" s="339">
        <f>$B$68*'05 - Relação de funcionários'!AC67</f>
        <v>18979.446016000002</v>
      </c>
      <c r="AE68" s="339">
        <f>$B$68*'05 - Relação de funcionários'!AD67</f>
        <v>18979.446016000002</v>
      </c>
      <c r="AF68" s="339">
        <f>$B$68*'05 - Relação de funcionários'!AE67</f>
        <v>18979.446016000002</v>
      </c>
      <c r="AG68" s="339">
        <f>$B$68*'05 - Relação de funcionários'!AF67</f>
        <v>18979.446016000002</v>
      </c>
      <c r="AH68" s="339">
        <f>$B$68*'05 - Relação de funcionários'!AG67</f>
        <v>18979.446016000002</v>
      </c>
      <c r="AI68" s="339">
        <f>$B$68*'05 - Relação de funcionários'!AH67</f>
        <v>18979.446016000002</v>
      </c>
      <c r="AJ68" s="339">
        <f>$B$68*'05 - Relação de funcionários'!AI67</f>
        <v>18979.446016000002</v>
      </c>
      <c r="AK68" s="339">
        <f>$B$68*'05 - Relação de funcionários'!AJ67</f>
        <v>18979.446016000002</v>
      </c>
    </row>
    <row r="69" spans="1:37" s="256" customFormat="1" ht="13.15" customHeight="1" x14ac:dyDescent="0.2">
      <c r="A69" s="32" t="s">
        <v>906</v>
      </c>
      <c r="B69" s="458">
        <f>'06 - Salários e encargos'!$B$60</f>
        <v>4082.9348239999999</v>
      </c>
      <c r="C69" s="339">
        <f>$B$69*'05 - Relação de funcionários'!B68</f>
        <v>171483.26260799999</v>
      </c>
      <c r="D69" s="339">
        <f>$B$69*'05 - Relação de funcionários'!C68</f>
        <v>171483.26260799999</v>
      </c>
      <c r="E69" s="339">
        <f>$B$69*'05 - Relação de funcionários'!D68</f>
        <v>171483.26260799999</v>
      </c>
      <c r="F69" s="339">
        <f>$B$69*'05 - Relação de funcionários'!E68</f>
        <v>171483.26260799999</v>
      </c>
      <c r="G69" s="339">
        <f>$B$69*'05 - Relação de funcionários'!F68</f>
        <v>171483.26260799999</v>
      </c>
      <c r="H69" s="339">
        <f>$B$69*'05 - Relação de funcionários'!G68</f>
        <v>171483.26260799999</v>
      </c>
      <c r="I69" s="339">
        <f>$B$69*'05 - Relação de funcionários'!H68</f>
        <v>171483.26260799999</v>
      </c>
      <c r="J69" s="339">
        <f>$B$69*'05 - Relação de funcionários'!I68</f>
        <v>171483.26260799999</v>
      </c>
      <c r="K69" s="339">
        <f>$B$69*'05 - Relação de funcionários'!J68</f>
        <v>171483.26260799999</v>
      </c>
      <c r="L69" s="339">
        <f>$B$69*'05 - Relação de funcionários'!K68</f>
        <v>171483.26260799999</v>
      </c>
      <c r="M69" s="339">
        <f>$B$69*'05 - Relação de funcionários'!L68</f>
        <v>171483.26260799999</v>
      </c>
      <c r="N69" s="339">
        <f>$B$69*'05 - Relação de funcionários'!M68</f>
        <v>171483.26260799999</v>
      </c>
      <c r="O69" s="339">
        <f>$B$69*'05 - Relação de funcionários'!N68</f>
        <v>171483.26260799999</v>
      </c>
      <c r="P69" s="339">
        <f>$B$69*'05 - Relação de funcionários'!O68</f>
        <v>171483.26260799999</v>
      </c>
      <c r="Q69" s="339">
        <f>$B$69*'05 - Relação de funcionários'!P68</f>
        <v>171483.26260799999</v>
      </c>
      <c r="R69" s="339">
        <f>$B$69*'05 - Relação de funcionários'!Q68</f>
        <v>171483.26260799999</v>
      </c>
      <c r="S69" s="339">
        <f>$B$69*'05 - Relação de funcionários'!R68</f>
        <v>171483.26260799999</v>
      </c>
      <c r="T69" s="339">
        <f>$B$69*'05 - Relação de funcionários'!S68</f>
        <v>171483.26260799999</v>
      </c>
      <c r="U69" s="339">
        <f>$B$69*'05 - Relação de funcionários'!T68</f>
        <v>171483.26260799999</v>
      </c>
      <c r="V69" s="339">
        <f>$B$69*'05 - Relação de funcionários'!U68</f>
        <v>171483.26260799999</v>
      </c>
      <c r="W69" s="339">
        <f>$B$69*'05 - Relação de funcionários'!V68</f>
        <v>171483.26260799999</v>
      </c>
      <c r="X69" s="339">
        <f>$B$69*'05 - Relação de funcionários'!W68</f>
        <v>171483.26260799999</v>
      </c>
      <c r="Y69" s="339">
        <f>$B$69*'05 - Relação de funcionários'!X68</f>
        <v>171483.26260799999</v>
      </c>
      <c r="Z69" s="339">
        <f>$B$69*'05 - Relação de funcionários'!Y68</f>
        <v>171483.26260799999</v>
      </c>
      <c r="AA69" s="339">
        <f>$B$69*'05 - Relação de funcionários'!Z68</f>
        <v>171483.26260799999</v>
      </c>
      <c r="AB69" s="339">
        <f>$B$69*'05 - Relação de funcionários'!AA68</f>
        <v>171483.26260799999</v>
      </c>
      <c r="AC69" s="339">
        <f>$B$69*'05 - Relação de funcionários'!AB68</f>
        <v>171483.26260799999</v>
      </c>
      <c r="AD69" s="339">
        <f>$B$69*'05 - Relação de funcionários'!AC68</f>
        <v>171483.26260799999</v>
      </c>
      <c r="AE69" s="339">
        <f>$B$69*'05 - Relação de funcionários'!AD68</f>
        <v>171483.26260799999</v>
      </c>
      <c r="AF69" s="339">
        <f>$B$69*'05 - Relação de funcionários'!AE68</f>
        <v>171483.26260799999</v>
      </c>
      <c r="AG69" s="339">
        <f>$B$69*'05 - Relação de funcionários'!AF68</f>
        <v>171483.26260799999</v>
      </c>
      <c r="AH69" s="339">
        <f>$B$69*'05 - Relação de funcionários'!AG68</f>
        <v>171483.26260799999</v>
      </c>
      <c r="AI69" s="339">
        <f>$B$69*'05 - Relação de funcionários'!AH68</f>
        <v>171483.26260799999</v>
      </c>
      <c r="AJ69" s="339">
        <f>$B$69*'05 - Relação de funcionários'!AI68</f>
        <v>171483.26260799999</v>
      </c>
      <c r="AK69" s="339">
        <f>$B$69*'05 - Relação de funcionários'!AJ68</f>
        <v>171483.26260799999</v>
      </c>
    </row>
    <row r="70" spans="1:37" s="256" customFormat="1" ht="13.15" customHeight="1" x14ac:dyDescent="0.2">
      <c r="A70" s="32" t="s">
        <v>867</v>
      </c>
      <c r="B70" s="458">
        <f>'06 - Salários e encargos'!$B$61</f>
        <v>4641.88</v>
      </c>
      <c r="C70" s="339">
        <f>$B$70*'05 - Relação de funcionários'!B69</f>
        <v>4641.88</v>
      </c>
      <c r="D70" s="339">
        <f>$B$70*'05 - Relação de funcionários'!C69</f>
        <v>4641.88</v>
      </c>
      <c r="E70" s="339">
        <f>$B$70*'05 - Relação de funcionários'!D69</f>
        <v>4641.88</v>
      </c>
      <c r="F70" s="339">
        <f>$B$70*'05 - Relação de funcionários'!E69</f>
        <v>4641.88</v>
      </c>
      <c r="G70" s="339">
        <f>$B$70*'05 - Relação de funcionários'!F69</f>
        <v>4641.88</v>
      </c>
      <c r="H70" s="339">
        <f>$B$70*'05 - Relação de funcionários'!G69</f>
        <v>4641.88</v>
      </c>
      <c r="I70" s="339">
        <f>$B$70*'05 - Relação de funcionários'!H69</f>
        <v>4641.88</v>
      </c>
      <c r="J70" s="339">
        <f>$B$70*'05 - Relação de funcionários'!I69</f>
        <v>4641.88</v>
      </c>
      <c r="K70" s="339">
        <f>$B$70*'05 - Relação de funcionários'!J69</f>
        <v>4641.88</v>
      </c>
      <c r="L70" s="339">
        <f>$B$70*'05 - Relação de funcionários'!K69</f>
        <v>4641.88</v>
      </c>
      <c r="M70" s="339">
        <f>$B$70*'05 - Relação de funcionários'!L69</f>
        <v>4641.88</v>
      </c>
      <c r="N70" s="339">
        <f>$B$70*'05 - Relação de funcionários'!M69</f>
        <v>4641.88</v>
      </c>
      <c r="O70" s="339">
        <f>$B$70*'05 - Relação de funcionários'!N69</f>
        <v>4641.88</v>
      </c>
      <c r="P70" s="339">
        <f>$B$70*'05 - Relação de funcionários'!O69</f>
        <v>4641.88</v>
      </c>
      <c r="Q70" s="339">
        <f>$B$70*'05 - Relação de funcionários'!P69</f>
        <v>4641.88</v>
      </c>
      <c r="R70" s="339">
        <f>$B$70*'05 - Relação de funcionários'!Q69</f>
        <v>4641.88</v>
      </c>
      <c r="S70" s="339">
        <f>$B$70*'05 - Relação de funcionários'!R69</f>
        <v>4641.88</v>
      </c>
      <c r="T70" s="339">
        <f>$B$70*'05 - Relação de funcionários'!S69</f>
        <v>4641.88</v>
      </c>
      <c r="U70" s="339">
        <f>$B$70*'05 - Relação de funcionários'!T69</f>
        <v>4641.88</v>
      </c>
      <c r="V70" s="339">
        <f>$B$70*'05 - Relação de funcionários'!U69</f>
        <v>4641.88</v>
      </c>
      <c r="W70" s="339">
        <f>$B$70*'05 - Relação de funcionários'!V69</f>
        <v>4641.88</v>
      </c>
      <c r="X70" s="339">
        <f>$B$70*'05 - Relação de funcionários'!W69</f>
        <v>4641.88</v>
      </c>
      <c r="Y70" s="339">
        <f>$B$70*'05 - Relação de funcionários'!X69</f>
        <v>4641.88</v>
      </c>
      <c r="Z70" s="339">
        <f>$B$70*'05 - Relação de funcionários'!Y69</f>
        <v>4641.88</v>
      </c>
      <c r="AA70" s="339">
        <f>$B$70*'05 - Relação de funcionários'!Z69</f>
        <v>4641.88</v>
      </c>
      <c r="AB70" s="339">
        <f>$B$70*'05 - Relação de funcionários'!AA69</f>
        <v>4641.88</v>
      </c>
      <c r="AC70" s="339">
        <f>$B$70*'05 - Relação de funcionários'!AB69</f>
        <v>4641.88</v>
      </c>
      <c r="AD70" s="339">
        <f>$B$70*'05 - Relação de funcionários'!AC69</f>
        <v>4641.88</v>
      </c>
      <c r="AE70" s="339">
        <f>$B$70*'05 - Relação de funcionários'!AD69</f>
        <v>4641.88</v>
      </c>
      <c r="AF70" s="339">
        <f>$B$70*'05 - Relação de funcionários'!AE69</f>
        <v>4641.88</v>
      </c>
      <c r="AG70" s="339">
        <f>$B$70*'05 - Relação de funcionários'!AF69</f>
        <v>4641.88</v>
      </c>
      <c r="AH70" s="339">
        <f>$B$70*'05 - Relação de funcionários'!AG69</f>
        <v>4641.88</v>
      </c>
      <c r="AI70" s="339">
        <f>$B$70*'05 - Relação de funcionários'!AH69</f>
        <v>4641.88</v>
      </c>
      <c r="AJ70" s="339">
        <f>$B$70*'05 - Relação de funcionários'!AI69</f>
        <v>4641.88</v>
      </c>
      <c r="AK70" s="339">
        <f>$B$70*'05 - Relação de funcionários'!AJ69</f>
        <v>4641.88</v>
      </c>
    </row>
    <row r="71" spans="1:37" s="258" customFormat="1" ht="13.15" customHeight="1" x14ac:dyDescent="0.2">
      <c r="A71" s="257" t="s">
        <v>839</v>
      </c>
      <c r="B71" s="459"/>
      <c r="C71" s="338">
        <f>SUM(C72:C74)</f>
        <v>104618.095816</v>
      </c>
      <c r="D71" s="338">
        <f t="shared" ref="D71:AK71" si="19">SUM(D72:D74)</f>
        <v>104618.095816</v>
      </c>
      <c r="E71" s="338">
        <f t="shared" si="19"/>
        <v>104618.095816</v>
      </c>
      <c r="F71" s="338">
        <f t="shared" si="19"/>
        <v>104618.095816</v>
      </c>
      <c r="G71" s="338">
        <f t="shared" si="19"/>
        <v>104618.095816</v>
      </c>
      <c r="H71" s="338">
        <f t="shared" si="19"/>
        <v>104618.095816</v>
      </c>
      <c r="I71" s="338">
        <f t="shared" si="19"/>
        <v>104618.095816</v>
      </c>
      <c r="J71" s="338">
        <f t="shared" si="19"/>
        <v>104618.095816</v>
      </c>
      <c r="K71" s="338">
        <f t="shared" si="19"/>
        <v>104618.095816</v>
      </c>
      <c r="L71" s="338">
        <f t="shared" si="19"/>
        <v>104618.095816</v>
      </c>
      <c r="M71" s="338">
        <f t="shared" si="19"/>
        <v>104618.095816</v>
      </c>
      <c r="N71" s="338">
        <f t="shared" si="19"/>
        <v>104618.095816</v>
      </c>
      <c r="O71" s="338">
        <f t="shared" si="19"/>
        <v>104618.095816</v>
      </c>
      <c r="P71" s="338">
        <f t="shared" si="19"/>
        <v>104618.095816</v>
      </c>
      <c r="Q71" s="338">
        <f t="shared" si="19"/>
        <v>104618.095816</v>
      </c>
      <c r="R71" s="338">
        <f t="shared" si="19"/>
        <v>104618.095816</v>
      </c>
      <c r="S71" s="338">
        <f t="shared" si="19"/>
        <v>104618.095816</v>
      </c>
      <c r="T71" s="338">
        <f t="shared" si="19"/>
        <v>104618.095816</v>
      </c>
      <c r="U71" s="338">
        <f t="shared" si="19"/>
        <v>104618.095816</v>
      </c>
      <c r="V71" s="338">
        <f t="shared" si="19"/>
        <v>104618.095816</v>
      </c>
      <c r="W71" s="338">
        <f t="shared" si="19"/>
        <v>104618.095816</v>
      </c>
      <c r="X71" s="338">
        <f t="shared" si="19"/>
        <v>104618.095816</v>
      </c>
      <c r="Y71" s="338">
        <f t="shared" si="19"/>
        <v>104618.095816</v>
      </c>
      <c r="Z71" s="338">
        <f t="shared" si="19"/>
        <v>104618.095816</v>
      </c>
      <c r="AA71" s="338">
        <f t="shared" si="19"/>
        <v>104618.095816</v>
      </c>
      <c r="AB71" s="338">
        <f t="shared" si="19"/>
        <v>104618.095816</v>
      </c>
      <c r="AC71" s="338">
        <f t="shared" si="19"/>
        <v>104618.095816</v>
      </c>
      <c r="AD71" s="338">
        <f t="shared" si="19"/>
        <v>104618.095816</v>
      </c>
      <c r="AE71" s="338">
        <f t="shared" si="19"/>
        <v>104618.095816</v>
      </c>
      <c r="AF71" s="338">
        <f t="shared" si="19"/>
        <v>104618.095816</v>
      </c>
      <c r="AG71" s="338">
        <f t="shared" si="19"/>
        <v>104618.095816</v>
      </c>
      <c r="AH71" s="338">
        <f t="shared" si="19"/>
        <v>104618.095816</v>
      </c>
      <c r="AI71" s="338">
        <f t="shared" si="19"/>
        <v>104618.095816</v>
      </c>
      <c r="AJ71" s="338">
        <f t="shared" si="19"/>
        <v>104618.095816</v>
      </c>
      <c r="AK71" s="338">
        <f t="shared" si="19"/>
        <v>104618.095816</v>
      </c>
    </row>
    <row r="72" spans="1:37" s="256" customFormat="1" ht="13.15" customHeight="1" x14ac:dyDescent="0.2">
      <c r="A72" s="32" t="s">
        <v>883</v>
      </c>
      <c r="B72" s="458">
        <f>'06 - Salários e encargos'!B59</f>
        <v>4744.8615040000004</v>
      </c>
      <c r="C72" s="339">
        <f>$B$72*'05 - Relação de funcionários'!B72</f>
        <v>14234.584512000001</v>
      </c>
      <c r="D72" s="339">
        <f>$B$72*'05 - Relação de funcionários'!C72</f>
        <v>14234.584512000001</v>
      </c>
      <c r="E72" s="339">
        <f>$B$72*'05 - Relação de funcionários'!D72</f>
        <v>14234.584512000001</v>
      </c>
      <c r="F72" s="339">
        <f>$B$72*'05 - Relação de funcionários'!E72</f>
        <v>14234.584512000001</v>
      </c>
      <c r="G72" s="339">
        <f>$B$72*'05 - Relação de funcionários'!F72</f>
        <v>14234.584512000001</v>
      </c>
      <c r="H72" s="339">
        <f>$B$72*'05 - Relação de funcionários'!G72</f>
        <v>14234.584512000001</v>
      </c>
      <c r="I72" s="339">
        <f>$B$72*'05 - Relação de funcionários'!H72</f>
        <v>14234.584512000001</v>
      </c>
      <c r="J72" s="339">
        <f>$B$72*'05 - Relação de funcionários'!I72</f>
        <v>14234.584512000001</v>
      </c>
      <c r="K72" s="339">
        <f>$B$72*'05 - Relação de funcionários'!J72</f>
        <v>14234.584512000001</v>
      </c>
      <c r="L72" s="339">
        <f>$B$72*'05 - Relação de funcionários'!K72</f>
        <v>14234.584512000001</v>
      </c>
      <c r="M72" s="339">
        <f>$B$72*'05 - Relação de funcionários'!L72</f>
        <v>14234.584512000001</v>
      </c>
      <c r="N72" s="339">
        <f>$B$72*'05 - Relação de funcionários'!M72</f>
        <v>14234.584512000001</v>
      </c>
      <c r="O72" s="339">
        <f>$B$72*'05 - Relação de funcionários'!N72</f>
        <v>14234.584512000001</v>
      </c>
      <c r="P72" s="339">
        <f>$B$72*'05 - Relação de funcionários'!O72</f>
        <v>14234.584512000001</v>
      </c>
      <c r="Q72" s="339">
        <f>$B$72*'05 - Relação de funcionários'!P72</f>
        <v>14234.584512000001</v>
      </c>
      <c r="R72" s="339">
        <f>$B$72*'05 - Relação de funcionários'!Q72</f>
        <v>14234.584512000001</v>
      </c>
      <c r="S72" s="339">
        <f>$B$72*'05 - Relação de funcionários'!R72</f>
        <v>14234.584512000001</v>
      </c>
      <c r="T72" s="339">
        <f>$B$72*'05 - Relação de funcionários'!S72</f>
        <v>14234.584512000001</v>
      </c>
      <c r="U72" s="339">
        <f>$B$72*'05 - Relação de funcionários'!T72</f>
        <v>14234.584512000001</v>
      </c>
      <c r="V72" s="339">
        <f>$B$72*'05 - Relação de funcionários'!U72</f>
        <v>14234.584512000001</v>
      </c>
      <c r="W72" s="339">
        <f>$B$72*'05 - Relação de funcionários'!V72</f>
        <v>14234.584512000001</v>
      </c>
      <c r="X72" s="339">
        <f>$B$72*'05 - Relação de funcionários'!W72</f>
        <v>14234.584512000001</v>
      </c>
      <c r="Y72" s="339">
        <f>$B$72*'05 - Relação de funcionários'!X72</f>
        <v>14234.584512000001</v>
      </c>
      <c r="Z72" s="339">
        <f>$B$72*'05 - Relação de funcionários'!Y72</f>
        <v>14234.584512000001</v>
      </c>
      <c r="AA72" s="339">
        <f>$B$72*'05 - Relação de funcionários'!Z72</f>
        <v>14234.584512000001</v>
      </c>
      <c r="AB72" s="339">
        <f>$B$72*'05 - Relação de funcionários'!AA72</f>
        <v>14234.584512000001</v>
      </c>
      <c r="AC72" s="339">
        <f>$B$72*'05 - Relação de funcionários'!AB72</f>
        <v>14234.584512000001</v>
      </c>
      <c r="AD72" s="339">
        <f>$B$72*'05 - Relação de funcionários'!AC72</f>
        <v>14234.584512000001</v>
      </c>
      <c r="AE72" s="339">
        <f>$B$72*'05 - Relação de funcionários'!AD72</f>
        <v>14234.584512000001</v>
      </c>
      <c r="AF72" s="339">
        <f>$B$72*'05 - Relação de funcionários'!AE72</f>
        <v>14234.584512000001</v>
      </c>
      <c r="AG72" s="339">
        <f>$B$72*'05 - Relação de funcionários'!AF72</f>
        <v>14234.584512000001</v>
      </c>
      <c r="AH72" s="339">
        <f>$B$72*'05 - Relação de funcionários'!AG72</f>
        <v>14234.584512000001</v>
      </c>
      <c r="AI72" s="339">
        <f>$B$72*'05 - Relação de funcionários'!AH72</f>
        <v>14234.584512000001</v>
      </c>
      <c r="AJ72" s="339">
        <f>$B$72*'05 - Relação de funcionários'!AI72</f>
        <v>14234.584512000001</v>
      </c>
      <c r="AK72" s="339">
        <f>$B$72*'05 - Relação de funcionários'!AJ72</f>
        <v>14234.584512000001</v>
      </c>
    </row>
    <row r="73" spans="1:37" s="256" customFormat="1" ht="13.15" customHeight="1" x14ac:dyDescent="0.2">
      <c r="A73" s="32" t="s">
        <v>882</v>
      </c>
      <c r="B73" s="458">
        <f>'06 - Salários e encargos'!$B$60</f>
        <v>4082.9348239999999</v>
      </c>
      <c r="C73" s="339">
        <f>$B$73*'05 - Relação de funcionários'!B73</f>
        <v>85741.631303999995</v>
      </c>
      <c r="D73" s="339">
        <f>$B$73*'05 - Relação de funcionários'!C73</f>
        <v>85741.631303999995</v>
      </c>
      <c r="E73" s="339">
        <f>$B$73*'05 - Relação de funcionários'!D73</f>
        <v>85741.631303999995</v>
      </c>
      <c r="F73" s="339">
        <f>$B$73*'05 - Relação de funcionários'!E73</f>
        <v>85741.631303999995</v>
      </c>
      <c r="G73" s="339">
        <f>$B$73*'05 - Relação de funcionários'!F73</f>
        <v>85741.631303999995</v>
      </c>
      <c r="H73" s="339">
        <f>$B$73*'05 - Relação de funcionários'!G73</f>
        <v>85741.631303999995</v>
      </c>
      <c r="I73" s="339">
        <f>$B$73*'05 - Relação de funcionários'!H73</f>
        <v>85741.631303999995</v>
      </c>
      <c r="J73" s="339">
        <f>$B$73*'05 - Relação de funcionários'!I73</f>
        <v>85741.631303999995</v>
      </c>
      <c r="K73" s="339">
        <f>$B$73*'05 - Relação de funcionários'!J73</f>
        <v>85741.631303999995</v>
      </c>
      <c r="L73" s="339">
        <f>$B$73*'05 - Relação de funcionários'!K73</f>
        <v>85741.631303999995</v>
      </c>
      <c r="M73" s="339">
        <f>$B$73*'05 - Relação de funcionários'!L73</f>
        <v>85741.631303999995</v>
      </c>
      <c r="N73" s="339">
        <f>$B$73*'05 - Relação de funcionários'!M73</f>
        <v>85741.631303999995</v>
      </c>
      <c r="O73" s="339">
        <f>$B$73*'05 - Relação de funcionários'!N73</f>
        <v>85741.631303999995</v>
      </c>
      <c r="P73" s="339">
        <f>$B$73*'05 - Relação de funcionários'!O73</f>
        <v>85741.631303999995</v>
      </c>
      <c r="Q73" s="339">
        <f>$B$73*'05 - Relação de funcionários'!P73</f>
        <v>85741.631303999995</v>
      </c>
      <c r="R73" s="339">
        <f>$B$73*'05 - Relação de funcionários'!Q73</f>
        <v>85741.631303999995</v>
      </c>
      <c r="S73" s="339">
        <f>$B$73*'05 - Relação de funcionários'!R73</f>
        <v>85741.631303999995</v>
      </c>
      <c r="T73" s="339">
        <f>$B$73*'05 - Relação de funcionários'!S73</f>
        <v>85741.631303999995</v>
      </c>
      <c r="U73" s="339">
        <f>$B$73*'05 - Relação de funcionários'!T73</f>
        <v>85741.631303999995</v>
      </c>
      <c r="V73" s="339">
        <f>$B$73*'05 - Relação de funcionários'!U73</f>
        <v>85741.631303999995</v>
      </c>
      <c r="W73" s="339">
        <f>$B$73*'05 - Relação de funcionários'!V73</f>
        <v>85741.631303999995</v>
      </c>
      <c r="X73" s="339">
        <f>$B$73*'05 - Relação de funcionários'!W73</f>
        <v>85741.631303999995</v>
      </c>
      <c r="Y73" s="339">
        <f>$B$73*'05 - Relação de funcionários'!X73</f>
        <v>85741.631303999995</v>
      </c>
      <c r="Z73" s="339">
        <f>$B$73*'05 - Relação de funcionários'!Y73</f>
        <v>85741.631303999995</v>
      </c>
      <c r="AA73" s="339">
        <f>$B$73*'05 - Relação de funcionários'!Z73</f>
        <v>85741.631303999995</v>
      </c>
      <c r="AB73" s="339">
        <f>$B$73*'05 - Relação de funcionários'!AA73</f>
        <v>85741.631303999995</v>
      </c>
      <c r="AC73" s="339">
        <f>$B$73*'05 - Relação de funcionários'!AB73</f>
        <v>85741.631303999995</v>
      </c>
      <c r="AD73" s="339">
        <f>$B$73*'05 - Relação de funcionários'!AC73</f>
        <v>85741.631303999995</v>
      </c>
      <c r="AE73" s="339">
        <f>$B$73*'05 - Relação de funcionários'!AD73</f>
        <v>85741.631303999995</v>
      </c>
      <c r="AF73" s="339">
        <f>$B$73*'05 - Relação de funcionários'!AE73</f>
        <v>85741.631303999995</v>
      </c>
      <c r="AG73" s="339">
        <f>$B$73*'05 - Relação de funcionários'!AF73</f>
        <v>85741.631303999995</v>
      </c>
      <c r="AH73" s="339">
        <f>$B$73*'05 - Relação de funcionários'!AG73</f>
        <v>85741.631303999995</v>
      </c>
      <c r="AI73" s="339">
        <f>$B$73*'05 - Relação de funcionários'!AH73</f>
        <v>85741.631303999995</v>
      </c>
      <c r="AJ73" s="339">
        <f>$B$73*'05 - Relação de funcionários'!AI73</f>
        <v>85741.631303999995</v>
      </c>
      <c r="AK73" s="339">
        <f>$B$73*'05 - Relação de funcionários'!AJ73</f>
        <v>85741.631303999995</v>
      </c>
    </row>
    <row r="74" spans="1:37" s="340" customFormat="1" ht="13.15" customHeight="1" x14ac:dyDescent="0.2">
      <c r="A74" s="32" t="s">
        <v>867</v>
      </c>
      <c r="B74" s="458">
        <f>'06 - Salários e encargos'!$B$61</f>
        <v>4641.88</v>
      </c>
      <c r="C74" s="339">
        <f>$B$74*'05 - Relação de funcionários'!B74</f>
        <v>4641.88</v>
      </c>
      <c r="D74" s="339">
        <f>$B$74*'05 - Relação de funcionários'!C74</f>
        <v>4641.88</v>
      </c>
      <c r="E74" s="339">
        <f>$B$74*'05 - Relação de funcionários'!D74</f>
        <v>4641.88</v>
      </c>
      <c r="F74" s="339">
        <f>$B$74*'05 - Relação de funcionários'!E74</f>
        <v>4641.88</v>
      </c>
      <c r="G74" s="339">
        <f>$B$74*'05 - Relação de funcionários'!F74</f>
        <v>4641.88</v>
      </c>
      <c r="H74" s="339">
        <f>$B$74*'05 - Relação de funcionários'!G74</f>
        <v>4641.88</v>
      </c>
      <c r="I74" s="339">
        <f>$B$74*'05 - Relação de funcionários'!H74</f>
        <v>4641.88</v>
      </c>
      <c r="J74" s="339">
        <f>$B$74*'05 - Relação de funcionários'!I74</f>
        <v>4641.88</v>
      </c>
      <c r="K74" s="339">
        <f>$B$74*'05 - Relação de funcionários'!J74</f>
        <v>4641.88</v>
      </c>
      <c r="L74" s="339">
        <f>$B$74*'05 - Relação de funcionários'!K74</f>
        <v>4641.88</v>
      </c>
      <c r="M74" s="339">
        <f>$B$74*'05 - Relação de funcionários'!L74</f>
        <v>4641.88</v>
      </c>
      <c r="N74" s="339">
        <f>$B$74*'05 - Relação de funcionários'!M74</f>
        <v>4641.88</v>
      </c>
      <c r="O74" s="339">
        <f>$B$74*'05 - Relação de funcionários'!N74</f>
        <v>4641.88</v>
      </c>
      <c r="P74" s="339">
        <f>$B$74*'05 - Relação de funcionários'!O74</f>
        <v>4641.88</v>
      </c>
      <c r="Q74" s="339">
        <f>$B$74*'05 - Relação de funcionários'!P74</f>
        <v>4641.88</v>
      </c>
      <c r="R74" s="339">
        <f>$B$74*'05 - Relação de funcionários'!Q74</f>
        <v>4641.88</v>
      </c>
      <c r="S74" s="339">
        <f>$B$74*'05 - Relação de funcionários'!R74</f>
        <v>4641.88</v>
      </c>
      <c r="T74" s="339">
        <f>$B$74*'05 - Relação de funcionários'!S74</f>
        <v>4641.88</v>
      </c>
      <c r="U74" s="339">
        <f>$B$74*'05 - Relação de funcionários'!T74</f>
        <v>4641.88</v>
      </c>
      <c r="V74" s="339">
        <f>$B$74*'05 - Relação de funcionários'!U74</f>
        <v>4641.88</v>
      </c>
      <c r="W74" s="339">
        <f>$B$74*'05 - Relação de funcionários'!V74</f>
        <v>4641.88</v>
      </c>
      <c r="X74" s="339">
        <f>$B$74*'05 - Relação de funcionários'!W74</f>
        <v>4641.88</v>
      </c>
      <c r="Y74" s="339">
        <f>$B$74*'05 - Relação de funcionários'!X74</f>
        <v>4641.88</v>
      </c>
      <c r="Z74" s="339">
        <f>$B$74*'05 - Relação de funcionários'!Y74</f>
        <v>4641.88</v>
      </c>
      <c r="AA74" s="339">
        <f>$B$74*'05 - Relação de funcionários'!Z74</f>
        <v>4641.88</v>
      </c>
      <c r="AB74" s="339">
        <f>$B$74*'05 - Relação de funcionários'!AA74</f>
        <v>4641.88</v>
      </c>
      <c r="AC74" s="339">
        <f>$B$74*'05 - Relação de funcionários'!AB74</f>
        <v>4641.88</v>
      </c>
      <c r="AD74" s="339">
        <f>$B$74*'05 - Relação de funcionários'!AC74</f>
        <v>4641.88</v>
      </c>
      <c r="AE74" s="339">
        <f>$B$74*'05 - Relação de funcionários'!AD74</f>
        <v>4641.88</v>
      </c>
      <c r="AF74" s="339">
        <f>$B$74*'05 - Relação de funcionários'!AE74</f>
        <v>4641.88</v>
      </c>
      <c r="AG74" s="339">
        <f>$B$74*'05 - Relação de funcionários'!AF74</f>
        <v>4641.88</v>
      </c>
      <c r="AH74" s="339">
        <f>$B$74*'05 - Relação de funcionários'!AG74</f>
        <v>4641.88</v>
      </c>
      <c r="AI74" s="339">
        <f>$B$74*'05 - Relação de funcionários'!AH74</f>
        <v>4641.88</v>
      </c>
      <c r="AJ74" s="339">
        <f>$B$74*'05 - Relação de funcionários'!AI74</f>
        <v>4641.88</v>
      </c>
      <c r="AK74" s="339">
        <f>$B$74*'05 - Relação de funcionários'!AJ74</f>
        <v>4641.88</v>
      </c>
    </row>
    <row r="75" spans="1:37" s="256" customFormat="1" ht="13.15" customHeight="1" x14ac:dyDescent="0.2">
      <c r="A75" s="257" t="s">
        <v>884</v>
      </c>
      <c r="B75" s="459"/>
      <c r="C75" s="338">
        <f>SUM(C76:C78)</f>
        <v>50216.089743999997</v>
      </c>
      <c r="D75" s="338">
        <f t="shared" ref="D75:AK75" si="20">SUM(D76:D78)</f>
        <v>50216.089743999997</v>
      </c>
      <c r="E75" s="338">
        <f t="shared" si="20"/>
        <v>50216.089743999997</v>
      </c>
      <c r="F75" s="338">
        <f t="shared" si="20"/>
        <v>50216.089743999997</v>
      </c>
      <c r="G75" s="338">
        <f t="shared" si="20"/>
        <v>50216.089743999997</v>
      </c>
      <c r="H75" s="338">
        <f t="shared" si="20"/>
        <v>50216.089743999997</v>
      </c>
      <c r="I75" s="338">
        <f t="shared" si="20"/>
        <v>50216.089743999997</v>
      </c>
      <c r="J75" s="338">
        <f t="shared" si="20"/>
        <v>50216.089743999997</v>
      </c>
      <c r="K75" s="338">
        <f t="shared" si="20"/>
        <v>50216.089743999997</v>
      </c>
      <c r="L75" s="338">
        <f t="shared" si="20"/>
        <v>50216.089743999997</v>
      </c>
      <c r="M75" s="338">
        <f t="shared" si="20"/>
        <v>50216.089743999997</v>
      </c>
      <c r="N75" s="338">
        <f t="shared" si="20"/>
        <v>50216.089743999997</v>
      </c>
      <c r="O75" s="338">
        <f t="shared" si="20"/>
        <v>50216.089743999997</v>
      </c>
      <c r="P75" s="338">
        <f t="shared" si="20"/>
        <v>50216.089743999997</v>
      </c>
      <c r="Q75" s="338">
        <f t="shared" si="20"/>
        <v>50216.089743999997</v>
      </c>
      <c r="R75" s="338">
        <f t="shared" si="20"/>
        <v>50216.089743999997</v>
      </c>
      <c r="S75" s="338">
        <f t="shared" si="20"/>
        <v>50216.089743999997</v>
      </c>
      <c r="T75" s="338">
        <f t="shared" si="20"/>
        <v>50216.089743999997</v>
      </c>
      <c r="U75" s="338">
        <f t="shared" si="20"/>
        <v>50216.089743999997</v>
      </c>
      <c r="V75" s="338">
        <f t="shared" si="20"/>
        <v>50216.089743999997</v>
      </c>
      <c r="W75" s="338">
        <f t="shared" si="20"/>
        <v>50216.089743999997</v>
      </c>
      <c r="X75" s="338">
        <f t="shared" si="20"/>
        <v>50216.089743999997</v>
      </c>
      <c r="Y75" s="338">
        <f t="shared" si="20"/>
        <v>50216.089743999997</v>
      </c>
      <c r="Z75" s="338">
        <f t="shared" si="20"/>
        <v>50216.089743999997</v>
      </c>
      <c r="AA75" s="338">
        <f t="shared" si="20"/>
        <v>50216.089743999997</v>
      </c>
      <c r="AB75" s="338">
        <f t="shared" si="20"/>
        <v>50216.089743999997</v>
      </c>
      <c r="AC75" s="338">
        <f t="shared" si="20"/>
        <v>50216.089743999997</v>
      </c>
      <c r="AD75" s="338">
        <f t="shared" si="20"/>
        <v>50216.089743999997</v>
      </c>
      <c r="AE75" s="338">
        <f t="shared" si="20"/>
        <v>50216.089743999997</v>
      </c>
      <c r="AF75" s="338">
        <f t="shared" si="20"/>
        <v>50216.089743999997</v>
      </c>
      <c r="AG75" s="338">
        <f t="shared" si="20"/>
        <v>50216.089743999997</v>
      </c>
      <c r="AH75" s="338">
        <f t="shared" si="20"/>
        <v>50216.089743999997</v>
      </c>
      <c r="AI75" s="338">
        <f t="shared" si="20"/>
        <v>50216.089743999997</v>
      </c>
      <c r="AJ75" s="338">
        <f t="shared" si="20"/>
        <v>50216.089743999997</v>
      </c>
      <c r="AK75" s="338">
        <f t="shared" si="20"/>
        <v>50216.089743999997</v>
      </c>
    </row>
    <row r="76" spans="1:37" s="256" customFormat="1" ht="13.15" customHeight="1" x14ac:dyDescent="0.2">
      <c r="A76" s="32" t="s">
        <v>883</v>
      </c>
      <c r="B76" s="458">
        <f>'06 - Salários e encargos'!$B$59</f>
        <v>4744.8615040000004</v>
      </c>
      <c r="C76" s="265">
        <f>$B$76*'05 - Relação de funcionários'!B77</f>
        <v>4744.8615040000004</v>
      </c>
      <c r="D76" s="265">
        <f>$B$76*'05 - Relação de funcionários'!C77</f>
        <v>4744.8615040000004</v>
      </c>
      <c r="E76" s="265">
        <f>$B$76*'05 - Relação de funcionários'!D77</f>
        <v>4744.8615040000004</v>
      </c>
      <c r="F76" s="265">
        <f>$B$76*'05 - Relação de funcionários'!E77</f>
        <v>4744.8615040000004</v>
      </c>
      <c r="G76" s="265">
        <f>$B$76*'05 - Relação de funcionários'!F77</f>
        <v>4744.8615040000004</v>
      </c>
      <c r="H76" s="265">
        <f>$B$76*'05 - Relação de funcionários'!G77</f>
        <v>4744.8615040000004</v>
      </c>
      <c r="I76" s="265">
        <f>$B$76*'05 - Relação de funcionários'!H77</f>
        <v>4744.8615040000004</v>
      </c>
      <c r="J76" s="265">
        <f>$B$76*'05 - Relação de funcionários'!I77</f>
        <v>4744.8615040000004</v>
      </c>
      <c r="K76" s="265">
        <f>$B$76*'05 - Relação de funcionários'!J77</f>
        <v>4744.8615040000004</v>
      </c>
      <c r="L76" s="265">
        <f>$B$76*'05 - Relação de funcionários'!K77</f>
        <v>4744.8615040000004</v>
      </c>
      <c r="M76" s="265">
        <f>$B$76*'05 - Relação de funcionários'!L77</f>
        <v>4744.8615040000004</v>
      </c>
      <c r="N76" s="265">
        <f>$B$76*'05 - Relação de funcionários'!M77</f>
        <v>4744.8615040000004</v>
      </c>
      <c r="O76" s="265">
        <f>$B$76*'05 - Relação de funcionários'!N77</f>
        <v>4744.8615040000004</v>
      </c>
      <c r="P76" s="265">
        <f>$B$76*'05 - Relação de funcionários'!O77</f>
        <v>4744.8615040000004</v>
      </c>
      <c r="Q76" s="265">
        <f>$B$76*'05 - Relação de funcionários'!P77</f>
        <v>4744.8615040000004</v>
      </c>
      <c r="R76" s="265">
        <f>$B$76*'05 - Relação de funcionários'!Q77</f>
        <v>4744.8615040000004</v>
      </c>
      <c r="S76" s="265">
        <f>$B$76*'05 - Relação de funcionários'!R77</f>
        <v>4744.8615040000004</v>
      </c>
      <c r="T76" s="265">
        <f>$B$76*'05 - Relação de funcionários'!S77</f>
        <v>4744.8615040000004</v>
      </c>
      <c r="U76" s="265">
        <f>$B$76*'05 - Relação de funcionários'!T77</f>
        <v>4744.8615040000004</v>
      </c>
      <c r="V76" s="265">
        <f>$B$76*'05 - Relação de funcionários'!U77</f>
        <v>4744.8615040000004</v>
      </c>
      <c r="W76" s="265">
        <f>$B$76*'05 - Relação de funcionários'!V77</f>
        <v>4744.8615040000004</v>
      </c>
      <c r="X76" s="265">
        <f>$B$76*'05 - Relação de funcionários'!W77</f>
        <v>4744.8615040000004</v>
      </c>
      <c r="Y76" s="265">
        <f>$B$76*'05 - Relação de funcionários'!X77</f>
        <v>4744.8615040000004</v>
      </c>
      <c r="Z76" s="265">
        <f>$B$76*'05 - Relação de funcionários'!Y77</f>
        <v>4744.8615040000004</v>
      </c>
      <c r="AA76" s="265">
        <f>$B$76*'05 - Relação de funcionários'!Z77</f>
        <v>4744.8615040000004</v>
      </c>
      <c r="AB76" s="265">
        <f>$B$76*'05 - Relação de funcionários'!AA77</f>
        <v>4744.8615040000004</v>
      </c>
      <c r="AC76" s="265">
        <f>$B$76*'05 - Relação de funcionários'!AB77</f>
        <v>4744.8615040000004</v>
      </c>
      <c r="AD76" s="265">
        <f>$B$76*'05 - Relação de funcionários'!AC77</f>
        <v>4744.8615040000004</v>
      </c>
      <c r="AE76" s="265">
        <f>$B$76*'05 - Relação de funcionários'!AD77</f>
        <v>4744.8615040000004</v>
      </c>
      <c r="AF76" s="265">
        <f>$B$76*'05 - Relação de funcionários'!AE77</f>
        <v>4744.8615040000004</v>
      </c>
      <c r="AG76" s="265">
        <f>$B$76*'05 - Relação de funcionários'!AF77</f>
        <v>4744.8615040000004</v>
      </c>
      <c r="AH76" s="265">
        <f>$B$76*'05 - Relação de funcionários'!AG77</f>
        <v>4744.8615040000004</v>
      </c>
      <c r="AI76" s="265">
        <f>$B$76*'05 - Relação de funcionários'!AH77</f>
        <v>4744.8615040000004</v>
      </c>
      <c r="AJ76" s="265">
        <f>$B$76*'05 - Relação de funcionários'!AI77</f>
        <v>4744.8615040000004</v>
      </c>
      <c r="AK76" s="265">
        <f>$B$76*'05 - Relação de funcionários'!AJ77</f>
        <v>4744.8615040000004</v>
      </c>
    </row>
    <row r="77" spans="1:37" s="256" customFormat="1" ht="13.15" customHeight="1" x14ac:dyDescent="0.2">
      <c r="A77" s="32" t="s">
        <v>882</v>
      </c>
      <c r="B77" s="458">
        <f>'06 - Salários e encargos'!$B$60</f>
        <v>4082.9348239999999</v>
      </c>
      <c r="C77" s="339">
        <f>$B$77*'05 - Relação de funcionários'!B78</f>
        <v>40829.348239999999</v>
      </c>
      <c r="D77" s="339">
        <f>$B$77*'05 - Relação de funcionários'!C78</f>
        <v>40829.348239999999</v>
      </c>
      <c r="E77" s="339">
        <f>$B$77*'05 - Relação de funcionários'!D78</f>
        <v>40829.348239999999</v>
      </c>
      <c r="F77" s="339">
        <f>$B$77*'05 - Relação de funcionários'!E78</f>
        <v>40829.348239999999</v>
      </c>
      <c r="G77" s="339">
        <f>$B$77*'05 - Relação de funcionários'!F78</f>
        <v>40829.348239999999</v>
      </c>
      <c r="H77" s="339">
        <f>$B$77*'05 - Relação de funcionários'!G78</f>
        <v>40829.348239999999</v>
      </c>
      <c r="I77" s="339">
        <f>$B$77*'05 - Relação de funcionários'!H78</f>
        <v>40829.348239999999</v>
      </c>
      <c r="J77" s="339">
        <f>$B$77*'05 - Relação de funcionários'!I78</f>
        <v>40829.348239999999</v>
      </c>
      <c r="K77" s="339">
        <f>$B$77*'05 - Relação de funcionários'!J78</f>
        <v>40829.348239999999</v>
      </c>
      <c r="L77" s="339">
        <f>$B$77*'05 - Relação de funcionários'!K78</f>
        <v>40829.348239999999</v>
      </c>
      <c r="M77" s="339">
        <f>$B$77*'05 - Relação de funcionários'!L78</f>
        <v>40829.348239999999</v>
      </c>
      <c r="N77" s="339">
        <f>$B$77*'05 - Relação de funcionários'!M78</f>
        <v>40829.348239999999</v>
      </c>
      <c r="O77" s="339">
        <f>$B$77*'05 - Relação de funcionários'!N78</f>
        <v>40829.348239999999</v>
      </c>
      <c r="P77" s="339">
        <f>$B$77*'05 - Relação de funcionários'!O78</f>
        <v>40829.348239999999</v>
      </c>
      <c r="Q77" s="339">
        <f>$B$77*'05 - Relação de funcionários'!P78</f>
        <v>40829.348239999999</v>
      </c>
      <c r="R77" s="339">
        <f>$B$77*'05 - Relação de funcionários'!Q78</f>
        <v>40829.348239999999</v>
      </c>
      <c r="S77" s="339">
        <f>$B$77*'05 - Relação de funcionários'!R78</f>
        <v>40829.348239999999</v>
      </c>
      <c r="T77" s="339">
        <f>$B$77*'05 - Relação de funcionários'!S78</f>
        <v>40829.348239999999</v>
      </c>
      <c r="U77" s="339">
        <f>$B$77*'05 - Relação de funcionários'!T78</f>
        <v>40829.348239999999</v>
      </c>
      <c r="V77" s="339">
        <f>$B$77*'05 - Relação de funcionários'!U78</f>
        <v>40829.348239999999</v>
      </c>
      <c r="W77" s="339">
        <f>$B$77*'05 - Relação de funcionários'!V78</f>
        <v>40829.348239999999</v>
      </c>
      <c r="X77" s="339">
        <f>$B$77*'05 - Relação de funcionários'!W78</f>
        <v>40829.348239999999</v>
      </c>
      <c r="Y77" s="339">
        <f>$B$77*'05 - Relação de funcionários'!X78</f>
        <v>40829.348239999999</v>
      </c>
      <c r="Z77" s="339">
        <f>$B$77*'05 - Relação de funcionários'!Y78</f>
        <v>40829.348239999999</v>
      </c>
      <c r="AA77" s="339">
        <f>$B$77*'05 - Relação de funcionários'!Z78</f>
        <v>40829.348239999999</v>
      </c>
      <c r="AB77" s="339">
        <f>$B$77*'05 - Relação de funcionários'!AA78</f>
        <v>40829.348239999999</v>
      </c>
      <c r="AC77" s="339">
        <f>$B$77*'05 - Relação de funcionários'!AB78</f>
        <v>40829.348239999999</v>
      </c>
      <c r="AD77" s="339">
        <f>$B$77*'05 - Relação de funcionários'!AC78</f>
        <v>40829.348239999999</v>
      </c>
      <c r="AE77" s="339">
        <f>$B$77*'05 - Relação de funcionários'!AD78</f>
        <v>40829.348239999999</v>
      </c>
      <c r="AF77" s="339">
        <f>$B$77*'05 - Relação de funcionários'!AE78</f>
        <v>40829.348239999999</v>
      </c>
      <c r="AG77" s="339">
        <f>$B$77*'05 - Relação de funcionários'!AF78</f>
        <v>40829.348239999999</v>
      </c>
      <c r="AH77" s="339">
        <f>$B$77*'05 - Relação de funcionários'!AG78</f>
        <v>40829.348239999999</v>
      </c>
      <c r="AI77" s="339">
        <f>$B$77*'05 - Relação de funcionários'!AH78</f>
        <v>40829.348239999999</v>
      </c>
      <c r="AJ77" s="339">
        <f>$B$77*'05 - Relação de funcionários'!AI78</f>
        <v>40829.348239999999</v>
      </c>
      <c r="AK77" s="339">
        <f>$B$77*'05 - Relação de funcionários'!AJ78</f>
        <v>40829.348239999999</v>
      </c>
    </row>
    <row r="78" spans="1:37" s="258" customFormat="1" ht="13.15" customHeight="1" x14ac:dyDescent="0.2">
      <c r="A78" s="32" t="s">
        <v>867</v>
      </c>
      <c r="B78" s="458">
        <f>'06 - Salários e encargos'!$B$61</f>
        <v>4641.88</v>
      </c>
      <c r="C78" s="339">
        <f>$B$78*'05 - Relação de funcionários'!B79</f>
        <v>4641.88</v>
      </c>
      <c r="D78" s="339">
        <f>$B$78*'05 - Relação de funcionários'!C79</f>
        <v>4641.88</v>
      </c>
      <c r="E78" s="339">
        <f>$B$78*'05 - Relação de funcionários'!D79</f>
        <v>4641.88</v>
      </c>
      <c r="F78" s="339">
        <f>$B$78*'05 - Relação de funcionários'!E79</f>
        <v>4641.88</v>
      </c>
      <c r="G78" s="339">
        <f>$B$78*'05 - Relação de funcionários'!F79</f>
        <v>4641.88</v>
      </c>
      <c r="H78" s="339">
        <f>$B$78*'05 - Relação de funcionários'!G79</f>
        <v>4641.88</v>
      </c>
      <c r="I78" s="339">
        <f>$B$78*'05 - Relação de funcionários'!H79</f>
        <v>4641.88</v>
      </c>
      <c r="J78" s="339">
        <f>$B$78*'05 - Relação de funcionários'!I79</f>
        <v>4641.88</v>
      </c>
      <c r="K78" s="339">
        <f>$B$78*'05 - Relação de funcionários'!J79</f>
        <v>4641.88</v>
      </c>
      <c r="L78" s="339">
        <f>$B$78*'05 - Relação de funcionários'!K79</f>
        <v>4641.88</v>
      </c>
      <c r="M78" s="339">
        <f>$B$78*'05 - Relação de funcionários'!L79</f>
        <v>4641.88</v>
      </c>
      <c r="N78" s="339">
        <f>$B$78*'05 - Relação de funcionários'!M79</f>
        <v>4641.88</v>
      </c>
      <c r="O78" s="339">
        <f>$B$78*'05 - Relação de funcionários'!N79</f>
        <v>4641.88</v>
      </c>
      <c r="P78" s="339">
        <f>$B$78*'05 - Relação de funcionários'!O79</f>
        <v>4641.88</v>
      </c>
      <c r="Q78" s="339">
        <f>$B$78*'05 - Relação de funcionários'!P79</f>
        <v>4641.88</v>
      </c>
      <c r="R78" s="339">
        <f>$B$78*'05 - Relação de funcionários'!Q79</f>
        <v>4641.88</v>
      </c>
      <c r="S78" s="339">
        <f>$B$78*'05 - Relação de funcionários'!R79</f>
        <v>4641.88</v>
      </c>
      <c r="T78" s="339">
        <f>$B$78*'05 - Relação de funcionários'!S79</f>
        <v>4641.88</v>
      </c>
      <c r="U78" s="339">
        <f>$B$78*'05 - Relação de funcionários'!T79</f>
        <v>4641.88</v>
      </c>
      <c r="V78" s="339">
        <f>$B$78*'05 - Relação de funcionários'!U79</f>
        <v>4641.88</v>
      </c>
      <c r="W78" s="339">
        <f>$B$78*'05 - Relação de funcionários'!V79</f>
        <v>4641.88</v>
      </c>
      <c r="X78" s="339">
        <f>$B$78*'05 - Relação de funcionários'!W79</f>
        <v>4641.88</v>
      </c>
      <c r="Y78" s="339">
        <f>$B$78*'05 - Relação de funcionários'!X79</f>
        <v>4641.88</v>
      </c>
      <c r="Z78" s="339">
        <f>$B$78*'05 - Relação de funcionários'!Y79</f>
        <v>4641.88</v>
      </c>
      <c r="AA78" s="339">
        <f>$B$78*'05 - Relação de funcionários'!Z79</f>
        <v>4641.88</v>
      </c>
      <c r="AB78" s="339">
        <f>$B$78*'05 - Relação de funcionários'!AA79</f>
        <v>4641.88</v>
      </c>
      <c r="AC78" s="339">
        <f>$B$78*'05 - Relação de funcionários'!AB79</f>
        <v>4641.88</v>
      </c>
      <c r="AD78" s="339">
        <f>$B$78*'05 - Relação de funcionários'!AC79</f>
        <v>4641.88</v>
      </c>
      <c r="AE78" s="339">
        <f>$B$78*'05 - Relação de funcionários'!AD79</f>
        <v>4641.88</v>
      </c>
      <c r="AF78" s="339">
        <f>$B$78*'05 - Relação de funcionários'!AE79</f>
        <v>4641.88</v>
      </c>
      <c r="AG78" s="339">
        <f>$B$78*'05 - Relação de funcionários'!AF79</f>
        <v>4641.88</v>
      </c>
      <c r="AH78" s="339">
        <f>$B$78*'05 - Relação de funcionários'!AG79</f>
        <v>4641.88</v>
      </c>
      <c r="AI78" s="339">
        <f>$B$78*'05 - Relação de funcionários'!AH79</f>
        <v>4641.88</v>
      </c>
      <c r="AJ78" s="339">
        <f>$B$78*'05 - Relação de funcionários'!AI79</f>
        <v>4641.88</v>
      </c>
      <c r="AK78" s="339">
        <f>$B$78*'05 - Relação de funcionários'!AJ79</f>
        <v>4641.88</v>
      </c>
    </row>
    <row r="79" spans="1:37" s="256" customFormat="1" ht="13.15" customHeight="1" x14ac:dyDescent="0.2">
      <c r="A79" s="31" t="s">
        <v>885</v>
      </c>
      <c r="B79" s="459"/>
      <c r="C79" s="341">
        <f>SUM(C80:C82)</f>
        <v>247003.17979199998</v>
      </c>
      <c r="D79" s="341">
        <f t="shared" ref="D79:AK79" si="21">SUM(D80:D82)</f>
        <v>247003.17979199998</v>
      </c>
      <c r="E79" s="341">
        <f t="shared" si="21"/>
        <v>247003.17979199998</v>
      </c>
      <c r="F79" s="341">
        <f t="shared" si="21"/>
        <v>251086.11461599998</v>
      </c>
      <c r="G79" s="341">
        <f t="shared" si="21"/>
        <v>251086.11461599998</v>
      </c>
      <c r="H79" s="341">
        <f t="shared" si="21"/>
        <v>251086.11461599998</v>
      </c>
      <c r="I79" s="341">
        <f t="shared" si="21"/>
        <v>255169.04944</v>
      </c>
      <c r="J79" s="341">
        <f t="shared" si="21"/>
        <v>255169.04944</v>
      </c>
      <c r="K79" s="341">
        <f t="shared" si="21"/>
        <v>255169.04944</v>
      </c>
      <c r="L79" s="341">
        <f t="shared" si="21"/>
        <v>255169.04944</v>
      </c>
      <c r="M79" s="341">
        <f t="shared" si="21"/>
        <v>255169.04944</v>
      </c>
      <c r="N79" s="341">
        <f t="shared" si="21"/>
        <v>259251.984264</v>
      </c>
      <c r="O79" s="341">
        <f t="shared" si="21"/>
        <v>259251.984264</v>
      </c>
      <c r="P79" s="341">
        <f t="shared" si="21"/>
        <v>259251.984264</v>
      </c>
      <c r="Q79" s="341">
        <f t="shared" si="21"/>
        <v>259251.984264</v>
      </c>
      <c r="R79" s="341">
        <f t="shared" si="21"/>
        <v>259251.984264</v>
      </c>
      <c r="S79" s="341">
        <f t="shared" si="21"/>
        <v>259251.984264</v>
      </c>
      <c r="T79" s="341">
        <f t="shared" si="21"/>
        <v>259251.984264</v>
      </c>
      <c r="U79" s="341">
        <f t="shared" si="21"/>
        <v>259251.984264</v>
      </c>
      <c r="V79" s="341">
        <f t="shared" si="21"/>
        <v>259251.984264</v>
      </c>
      <c r="W79" s="341">
        <f t="shared" si="21"/>
        <v>259251.984264</v>
      </c>
      <c r="X79" s="341">
        <f t="shared" si="21"/>
        <v>259251.984264</v>
      </c>
      <c r="Y79" s="341">
        <f t="shared" si="21"/>
        <v>259251.984264</v>
      </c>
      <c r="Z79" s="341">
        <f t="shared" si="21"/>
        <v>259251.984264</v>
      </c>
      <c r="AA79" s="341">
        <f t="shared" si="21"/>
        <v>259251.984264</v>
      </c>
      <c r="AB79" s="341">
        <f t="shared" si="21"/>
        <v>259251.984264</v>
      </c>
      <c r="AC79" s="341">
        <f t="shared" si="21"/>
        <v>255169.04944</v>
      </c>
      <c r="AD79" s="341">
        <f t="shared" si="21"/>
        <v>255169.04944</v>
      </c>
      <c r="AE79" s="341">
        <f t="shared" si="21"/>
        <v>255169.04944</v>
      </c>
      <c r="AF79" s="341">
        <f t="shared" si="21"/>
        <v>255169.04944</v>
      </c>
      <c r="AG79" s="341">
        <f t="shared" si="21"/>
        <v>255169.04944</v>
      </c>
      <c r="AH79" s="341">
        <f t="shared" si="21"/>
        <v>255169.04944</v>
      </c>
      <c r="AI79" s="341">
        <f t="shared" si="21"/>
        <v>251086.11461599998</v>
      </c>
      <c r="AJ79" s="341">
        <f t="shared" si="21"/>
        <v>251086.11461599998</v>
      </c>
      <c r="AK79" s="341">
        <f t="shared" si="21"/>
        <v>251086.11461599998</v>
      </c>
    </row>
    <row r="80" spans="1:37" s="256" customFormat="1" ht="13.15" customHeight="1" x14ac:dyDescent="0.2">
      <c r="A80" s="32" t="s">
        <v>867</v>
      </c>
      <c r="B80" s="458">
        <f>'06 - Salários e encargos'!$B$61</f>
        <v>4641.88</v>
      </c>
      <c r="C80" s="339">
        <f>$B$80*'05 - Relação de funcionários'!B82</f>
        <v>4641.88</v>
      </c>
      <c r="D80" s="339">
        <f>$B$80*'05 - Relação de funcionários'!C82</f>
        <v>4641.88</v>
      </c>
      <c r="E80" s="339">
        <f>$B$80*'05 - Relação de funcionários'!D82</f>
        <v>4641.88</v>
      </c>
      <c r="F80" s="339">
        <f>$B$80*'05 - Relação de funcionários'!E82</f>
        <v>4641.88</v>
      </c>
      <c r="G80" s="339">
        <f>$B$80*'05 - Relação de funcionários'!F82</f>
        <v>4641.88</v>
      </c>
      <c r="H80" s="339">
        <f>$B$80*'05 - Relação de funcionários'!G82</f>
        <v>4641.88</v>
      </c>
      <c r="I80" s="339">
        <f>$B$80*'05 - Relação de funcionários'!H82</f>
        <v>4641.88</v>
      </c>
      <c r="J80" s="339">
        <f>$B$80*'05 - Relação de funcionários'!I82</f>
        <v>4641.88</v>
      </c>
      <c r="K80" s="339">
        <f>$B$80*'05 - Relação de funcionários'!J82</f>
        <v>4641.88</v>
      </c>
      <c r="L80" s="339">
        <f>$B$80*'05 - Relação de funcionários'!K82</f>
        <v>4641.88</v>
      </c>
      <c r="M80" s="339">
        <f>$B$80*'05 - Relação de funcionários'!L82</f>
        <v>4641.88</v>
      </c>
      <c r="N80" s="339">
        <f>$B$80*'05 - Relação de funcionários'!M82</f>
        <v>4641.88</v>
      </c>
      <c r="O80" s="339">
        <f>$B$80*'05 - Relação de funcionários'!N82</f>
        <v>4641.88</v>
      </c>
      <c r="P80" s="339">
        <f>$B$80*'05 - Relação de funcionários'!O82</f>
        <v>4641.88</v>
      </c>
      <c r="Q80" s="339">
        <f>$B$80*'05 - Relação de funcionários'!P82</f>
        <v>4641.88</v>
      </c>
      <c r="R80" s="339">
        <f>$B$80*'05 - Relação de funcionários'!Q82</f>
        <v>4641.88</v>
      </c>
      <c r="S80" s="339">
        <f>$B$80*'05 - Relação de funcionários'!R82</f>
        <v>4641.88</v>
      </c>
      <c r="T80" s="339">
        <f>$B$80*'05 - Relação de funcionários'!S82</f>
        <v>4641.88</v>
      </c>
      <c r="U80" s="339">
        <f>$B$80*'05 - Relação de funcionários'!T82</f>
        <v>4641.88</v>
      </c>
      <c r="V80" s="339">
        <f>$B$80*'05 - Relação de funcionários'!U82</f>
        <v>4641.88</v>
      </c>
      <c r="W80" s="339">
        <f>$B$80*'05 - Relação de funcionários'!V82</f>
        <v>4641.88</v>
      </c>
      <c r="X80" s="339">
        <f>$B$80*'05 - Relação de funcionários'!W82</f>
        <v>4641.88</v>
      </c>
      <c r="Y80" s="339">
        <f>$B$80*'05 - Relação de funcionários'!X82</f>
        <v>4641.88</v>
      </c>
      <c r="Z80" s="339">
        <f>$B$80*'05 - Relação de funcionários'!Y82</f>
        <v>4641.88</v>
      </c>
      <c r="AA80" s="339">
        <f>$B$80*'05 - Relação de funcionários'!Z82</f>
        <v>4641.88</v>
      </c>
      <c r="AB80" s="339">
        <f>$B$80*'05 - Relação de funcionários'!AA82</f>
        <v>4641.88</v>
      </c>
      <c r="AC80" s="339">
        <f>$B$80*'05 - Relação de funcionários'!AB82</f>
        <v>4641.88</v>
      </c>
      <c r="AD80" s="339">
        <f>$B$80*'05 - Relação de funcionários'!AC82</f>
        <v>4641.88</v>
      </c>
      <c r="AE80" s="339">
        <f>$B$80*'05 - Relação de funcionários'!AD82</f>
        <v>4641.88</v>
      </c>
      <c r="AF80" s="339">
        <f>$B$80*'05 - Relação de funcionários'!AE82</f>
        <v>4641.88</v>
      </c>
      <c r="AG80" s="339">
        <f>$B$80*'05 - Relação de funcionários'!AF82</f>
        <v>4641.88</v>
      </c>
      <c r="AH80" s="339">
        <f>$B$80*'05 - Relação de funcionários'!AG82</f>
        <v>4641.88</v>
      </c>
      <c r="AI80" s="339">
        <f>$B$80*'05 - Relação de funcionários'!AH82</f>
        <v>4641.88</v>
      </c>
      <c r="AJ80" s="339">
        <f>$B$80*'05 - Relação de funcionários'!AI82</f>
        <v>4641.88</v>
      </c>
      <c r="AK80" s="339">
        <f>$B$80*'05 - Relação de funcionários'!AJ82</f>
        <v>4641.88</v>
      </c>
    </row>
    <row r="81" spans="1:37" s="256" customFormat="1" ht="13.15" customHeight="1" x14ac:dyDescent="0.2">
      <c r="A81" s="32" t="s">
        <v>868</v>
      </c>
      <c r="B81" s="510">
        <f>'06 - Salários e encargos'!$B$62</f>
        <v>5551.08</v>
      </c>
      <c r="C81" s="339">
        <f>$B$81*'05 - Relação de funcionários'!B83</f>
        <v>5551.08</v>
      </c>
      <c r="D81" s="339">
        <f>$B$81*'05 - Relação de funcionários'!C83</f>
        <v>5551.08</v>
      </c>
      <c r="E81" s="339">
        <f>$B$81*'05 - Relação de funcionários'!D83</f>
        <v>5551.08</v>
      </c>
      <c r="F81" s="339">
        <f>$B$81*'05 - Relação de funcionários'!E83</f>
        <v>5551.08</v>
      </c>
      <c r="G81" s="339">
        <f>$B$81*'05 - Relação de funcionários'!F83</f>
        <v>5551.08</v>
      </c>
      <c r="H81" s="339">
        <f>$B$81*'05 - Relação de funcionários'!G83</f>
        <v>5551.08</v>
      </c>
      <c r="I81" s="339">
        <f>$B$81*'05 - Relação de funcionários'!H83</f>
        <v>5551.08</v>
      </c>
      <c r="J81" s="339">
        <f>$B$81*'05 - Relação de funcionários'!I83</f>
        <v>5551.08</v>
      </c>
      <c r="K81" s="339">
        <f>$B$81*'05 - Relação de funcionários'!J83</f>
        <v>5551.08</v>
      </c>
      <c r="L81" s="339">
        <f>$B$81*'05 - Relação de funcionários'!K83</f>
        <v>5551.08</v>
      </c>
      <c r="M81" s="339">
        <f>$B$81*'05 - Relação de funcionários'!L83</f>
        <v>5551.08</v>
      </c>
      <c r="N81" s="339">
        <f>$B$81*'05 - Relação de funcionários'!M83</f>
        <v>5551.08</v>
      </c>
      <c r="O81" s="339">
        <f>$B$81*'05 - Relação de funcionários'!N83</f>
        <v>5551.08</v>
      </c>
      <c r="P81" s="339">
        <f>$B$81*'05 - Relação de funcionários'!O83</f>
        <v>5551.08</v>
      </c>
      <c r="Q81" s="339">
        <f>$B$81*'05 - Relação de funcionários'!P83</f>
        <v>5551.08</v>
      </c>
      <c r="R81" s="339">
        <f>$B$81*'05 - Relação de funcionários'!Q83</f>
        <v>5551.08</v>
      </c>
      <c r="S81" s="339">
        <f>$B$81*'05 - Relação de funcionários'!R83</f>
        <v>5551.08</v>
      </c>
      <c r="T81" s="339">
        <f>$B$81*'05 - Relação de funcionários'!S83</f>
        <v>5551.08</v>
      </c>
      <c r="U81" s="339">
        <f>$B$81*'05 - Relação de funcionários'!T83</f>
        <v>5551.08</v>
      </c>
      <c r="V81" s="339">
        <f>$B$81*'05 - Relação de funcionários'!U83</f>
        <v>5551.08</v>
      </c>
      <c r="W81" s="339">
        <f>$B$81*'05 - Relação de funcionários'!V83</f>
        <v>5551.08</v>
      </c>
      <c r="X81" s="339">
        <f>$B$81*'05 - Relação de funcionários'!W83</f>
        <v>5551.08</v>
      </c>
      <c r="Y81" s="339">
        <f>$B$81*'05 - Relação de funcionários'!X83</f>
        <v>5551.08</v>
      </c>
      <c r="Z81" s="339">
        <f>$B$81*'05 - Relação de funcionários'!Y83</f>
        <v>5551.08</v>
      </c>
      <c r="AA81" s="339">
        <f>$B$81*'05 - Relação de funcionários'!Z83</f>
        <v>5551.08</v>
      </c>
      <c r="AB81" s="339">
        <f>$B$81*'05 - Relação de funcionários'!AA83</f>
        <v>5551.08</v>
      </c>
      <c r="AC81" s="339">
        <f>$B$81*'05 - Relação de funcionários'!AB83</f>
        <v>5551.08</v>
      </c>
      <c r="AD81" s="339">
        <f>$B$81*'05 - Relação de funcionários'!AC83</f>
        <v>5551.08</v>
      </c>
      <c r="AE81" s="339">
        <f>$B$81*'05 - Relação de funcionários'!AD83</f>
        <v>5551.08</v>
      </c>
      <c r="AF81" s="339">
        <f>$B$81*'05 - Relação de funcionários'!AE83</f>
        <v>5551.08</v>
      </c>
      <c r="AG81" s="339">
        <f>$B$81*'05 - Relação de funcionários'!AF83</f>
        <v>5551.08</v>
      </c>
      <c r="AH81" s="339">
        <f>$B$81*'05 - Relação de funcionários'!AG83</f>
        <v>5551.08</v>
      </c>
      <c r="AI81" s="339">
        <f>$B$81*'05 - Relação de funcionários'!AH83</f>
        <v>5551.08</v>
      </c>
      <c r="AJ81" s="339">
        <f>$B$81*'05 - Relação de funcionários'!AI83</f>
        <v>5551.08</v>
      </c>
      <c r="AK81" s="339">
        <f>$B$81*'05 - Relação de funcionários'!AJ83</f>
        <v>5551.08</v>
      </c>
    </row>
    <row r="82" spans="1:37" s="256" customFormat="1" ht="13.15" customHeight="1" x14ac:dyDescent="0.2">
      <c r="A82" s="32" t="s">
        <v>886</v>
      </c>
      <c r="B82" s="458">
        <f>'06 - Salários e encargos'!$B$63</f>
        <v>4082.9348239999999</v>
      </c>
      <c r="C82" s="339">
        <f>$B$82*'05 - Relação de funcionários'!B86</f>
        <v>236810.21979199999</v>
      </c>
      <c r="D82" s="339">
        <f>$B$82*'05 - Relação de funcionários'!C86</f>
        <v>236810.21979199999</v>
      </c>
      <c r="E82" s="339">
        <f>$B$82*'05 - Relação de funcionários'!D86</f>
        <v>236810.21979199999</v>
      </c>
      <c r="F82" s="339">
        <f>$B$82*'05 - Relação de funcionários'!E86</f>
        <v>240893.15461599999</v>
      </c>
      <c r="G82" s="339">
        <f>$B$82*'05 - Relação de funcionários'!F86</f>
        <v>240893.15461599999</v>
      </c>
      <c r="H82" s="339">
        <f>$B$82*'05 - Relação de funcionários'!G86</f>
        <v>240893.15461599999</v>
      </c>
      <c r="I82" s="339">
        <f>$B$82*'05 - Relação de funcionários'!H86</f>
        <v>244976.08944000001</v>
      </c>
      <c r="J82" s="339">
        <f>$B$82*'05 - Relação de funcionários'!I86</f>
        <v>244976.08944000001</v>
      </c>
      <c r="K82" s="339">
        <f>$B$82*'05 - Relação de funcionários'!J86</f>
        <v>244976.08944000001</v>
      </c>
      <c r="L82" s="339">
        <f>$B$82*'05 - Relação de funcionários'!K86</f>
        <v>244976.08944000001</v>
      </c>
      <c r="M82" s="339">
        <f>$B$82*'05 - Relação de funcionários'!L86</f>
        <v>244976.08944000001</v>
      </c>
      <c r="N82" s="339">
        <f>$B$82*'05 - Relação de funcionários'!M86</f>
        <v>249059.02426400001</v>
      </c>
      <c r="O82" s="339">
        <f>$B$82*'05 - Relação de funcionários'!N86</f>
        <v>249059.02426400001</v>
      </c>
      <c r="P82" s="339">
        <f>$B$82*'05 - Relação de funcionários'!O86</f>
        <v>249059.02426400001</v>
      </c>
      <c r="Q82" s="339">
        <f>$B$82*'05 - Relação de funcionários'!P86</f>
        <v>249059.02426400001</v>
      </c>
      <c r="R82" s="339">
        <f>$B$82*'05 - Relação de funcionários'!Q86</f>
        <v>249059.02426400001</v>
      </c>
      <c r="S82" s="339">
        <f>$B$82*'05 - Relação de funcionários'!R86</f>
        <v>249059.02426400001</v>
      </c>
      <c r="T82" s="339">
        <f>$B$82*'05 - Relação de funcionários'!S86</f>
        <v>249059.02426400001</v>
      </c>
      <c r="U82" s="339">
        <f>$B$82*'05 - Relação de funcionários'!T86</f>
        <v>249059.02426400001</v>
      </c>
      <c r="V82" s="339">
        <f>$B$82*'05 - Relação de funcionários'!U86</f>
        <v>249059.02426400001</v>
      </c>
      <c r="W82" s="339">
        <f>$B$82*'05 - Relação de funcionários'!V86</f>
        <v>249059.02426400001</v>
      </c>
      <c r="X82" s="339">
        <f>$B$82*'05 - Relação de funcionários'!W86</f>
        <v>249059.02426400001</v>
      </c>
      <c r="Y82" s="339">
        <f>$B$82*'05 - Relação de funcionários'!X86</f>
        <v>249059.02426400001</v>
      </c>
      <c r="Z82" s="339">
        <f>$B$82*'05 - Relação de funcionários'!Y86</f>
        <v>249059.02426400001</v>
      </c>
      <c r="AA82" s="339">
        <f>$B$82*'05 - Relação de funcionários'!Z86</f>
        <v>249059.02426400001</v>
      </c>
      <c r="AB82" s="339">
        <f>$B$82*'05 - Relação de funcionários'!AA86</f>
        <v>249059.02426400001</v>
      </c>
      <c r="AC82" s="339">
        <f>$B$82*'05 - Relação de funcionários'!AB86</f>
        <v>244976.08944000001</v>
      </c>
      <c r="AD82" s="339">
        <f>$B$82*'05 - Relação de funcionários'!AC86</f>
        <v>244976.08944000001</v>
      </c>
      <c r="AE82" s="339">
        <f>$B$82*'05 - Relação de funcionários'!AD86</f>
        <v>244976.08944000001</v>
      </c>
      <c r="AF82" s="339">
        <f>$B$82*'05 - Relação de funcionários'!AE86</f>
        <v>244976.08944000001</v>
      </c>
      <c r="AG82" s="339">
        <f>$B$82*'05 - Relação de funcionários'!AF86</f>
        <v>244976.08944000001</v>
      </c>
      <c r="AH82" s="339">
        <f>$B$82*'05 - Relação de funcionários'!AG86</f>
        <v>244976.08944000001</v>
      </c>
      <c r="AI82" s="339">
        <f>$B$82*'05 - Relação de funcionários'!AH86</f>
        <v>240893.15461599999</v>
      </c>
      <c r="AJ82" s="339">
        <f>$B$82*'05 - Relação de funcionários'!AI86</f>
        <v>240893.15461599999</v>
      </c>
      <c r="AK82" s="339">
        <f>$B$82*'05 - Relação de funcionários'!AJ86</f>
        <v>240893.15461599999</v>
      </c>
    </row>
    <row r="83" spans="1:37" ht="13.15" customHeight="1" x14ac:dyDescent="0.2"/>
    <row r="84" spans="1:37" ht="13.15" customHeight="1" x14ac:dyDescent="0.2"/>
    <row r="85" spans="1:37" ht="13.15" customHeight="1" x14ac:dyDescent="0.2"/>
    <row r="86" spans="1:37" ht="13.15" customHeight="1" x14ac:dyDescent="0.2"/>
    <row r="87" spans="1:37" ht="13.15" customHeight="1" x14ac:dyDescent="0.2"/>
    <row r="88" spans="1:37" ht="13.15" customHeight="1" x14ac:dyDescent="0.2"/>
    <row r="89" spans="1:37" ht="13.15" customHeight="1" x14ac:dyDescent="0.2"/>
    <row r="90" spans="1:37" ht="13.15" customHeight="1" x14ac:dyDescent="0.2"/>
  </sheetData>
  <pageMargins left="0.51181102362204722" right="0.51181102362204722" top="0.78740157480314965" bottom="0.78740157480314965" header="0.31496062992125984" footer="0.31496062992125984"/>
  <pageSetup paperSize="9" scale="2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8"/>
  <dimension ref="A1:BA76"/>
  <sheetViews>
    <sheetView showGridLines="0" zoomScale="85" zoomScaleNormal="85" workbookViewId="0">
      <pane xSplit="2" ySplit="3" topLeftCell="C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8.7109375" defaultRowHeight="12.75" x14ac:dyDescent="0.2"/>
  <cols>
    <col min="1" max="1" width="72.7109375" style="13" customWidth="1"/>
    <col min="2" max="2" width="16.7109375" style="28" customWidth="1"/>
    <col min="3" max="9" width="5.28515625" style="28" bestFit="1" customWidth="1"/>
    <col min="10" max="10" width="6.28515625" style="28" bestFit="1" customWidth="1"/>
    <col min="11" max="11" width="5.28515625" style="28" bestFit="1" customWidth="1"/>
    <col min="12" max="12" width="5.28515625" style="14" bestFit="1" customWidth="1"/>
    <col min="13" max="13" width="5.28515625" style="14" customWidth="1"/>
    <col min="14" max="17" width="7.28515625" style="14" customWidth="1"/>
    <col min="18" max="18" width="17" style="14" customWidth="1"/>
    <col min="19" max="19" width="11" style="14" bestFit="1" customWidth="1"/>
    <col min="20" max="20" width="11.42578125" style="14" bestFit="1" customWidth="1"/>
    <col min="21" max="21" width="10.42578125" style="14" bestFit="1" customWidth="1"/>
    <col min="22" max="23" width="11" style="14" bestFit="1" customWidth="1"/>
    <col min="24" max="26" width="11.42578125" style="14" bestFit="1" customWidth="1"/>
    <col min="27" max="27" width="11" style="14" bestFit="1" customWidth="1"/>
    <col min="28" max="28" width="10.42578125" style="14" bestFit="1" customWidth="1"/>
    <col min="29" max="30" width="11.42578125" style="14" bestFit="1" customWidth="1"/>
    <col min="31" max="31" width="11" style="14" bestFit="1" customWidth="1"/>
    <col min="32" max="33" width="11.42578125" style="14" bestFit="1" customWidth="1"/>
    <col min="34" max="34" width="11" style="14" bestFit="1" customWidth="1"/>
    <col min="35" max="36" width="11.42578125" style="14" bestFit="1" customWidth="1"/>
    <col min="37" max="37" width="11" style="14" bestFit="1" customWidth="1"/>
    <col min="38" max="38" width="11.42578125" style="14" bestFit="1" customWidth="1"/>
    <col min="39" max="39" width="10.42578125" style="14" bestFit="1" customWidth="1"/>
    <col min="40" max="40" width="11" style="14" bestFit="1" customWidth="1"/>
    <col min="41" max="44" width="11.42578125" style="14" bestFit="1" customWidth="1"/>
    <col min="45" max="45" width="10.42578125" style="14" bestFit="1" customWidth="1"/>
    <col min="46" max="48" width="11.42578125" style="14" bestFit="1" customWidth="1"/>
    <col min="49" max="53" width="9" style="14" bestFit="1" customWidth="1"/>
    <col min="54" max="16384" width="8.7109375" style="14"/>
  </cols>
  <sheetData>
    <row r="1" spans="1:53" s="68" customFormat="1" x14ac:dyDescent="0.2">
      <c r="A1" s="2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N1" s="493">
        <f>2*12</f>
        <v>24</v>
      </c>
      <c r="O1" s="493"/>
      <c r="P1" s="493"/>
      <c r="Q1" s="493"/>
    </row>
    <row r="2" spans="1:53" s="68" customFormat="1" x14ac:dyDescent="0.2">
      <c r="A2" s="21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R2" s="66"/>
    </row>
    <row r="3" spans="1:53" s="44" customFormat="1" ht="77.25" x14ac:dyDescent="0.2">
      <c r="A3" s="596" t="s">
        <v>910</v>
      </c>
      <c r="B3" s="50" t="s">
        <v>911</v>
      </c>
      <c r="C3" s="120" t="s">
        <v>912</v>
      </c>
      <c r="D3" s="120" t="s">
        <v>913</v>
      </c>
      <c r="E3" s="120" t="s">
        <v>914</v>
      </c>
      <c r="F3" s="120" t="s">
        <v>915</v>
      </c>
      <c r="G3" s="120" t="s">
        <v>916</v>
      </c>
      <c r="H3" s="120" t="s">
        <v>917</v>
      </c>
      <c r="I3" s="120" t="s">
        <v>918</v>
      </c>
      <c r="J3" s="120" t="s">
        <v>919</v>
      </c>
      <c r="K3" s="120" t="s">
        <v>920</v>
      </c>
      <c r="L3" s="120" t="s">
        <v>921</v>
      </c>
      <c r="M3" s="120" t="s">
        <v>922</v>
      </c>
      <c r="N3" s="120" t="s">
        <v>923</v>
      </c>
      <c r="O3" s="120" t="s">
        <v>924</v>
      </c>
      <c r="P3" s="120" t="s">
        <v>925</v>
      </c>
      <c r="Q3" s="120" t="s">
        <v>203</v>
      </c>
      <c r="R3" s="120"/>
      <c r="S3" s="9" t="s">
        <v>775</v>
      </c>
      <c r="T3" s="9" t="s">
        <v>776</v>
      </c>
      <c r="U3" s="9" t="s">
        <v>777</v>
      </c>
      <c r="V3" s="9" t="s">
        <v>778</v>
      </c>
      <c r="W3" s="9" t="s">
        <v>779</v>
      </c>
      <c r="X3" s="9" t="s">
        <v>780</v>
      </c>
      <c r="Y3" s="9" t="s">
        <v>781</v>
      </c>
      <c r="Z3" s="9" t="s">
        <v>782</v>
      </c>
      <c r="AA3" s="9" t="s">
        <v>783</v>
      </c>
      <c r="AB3" s="9" t="s">
        <v>717</v>
      </c>
      <c r="AC3" s="9" t="s">
        <v>718</v>
      </c>
      <c r="AD3" s="9" t="s">
        <v>719</v>
      </c>
      <c r="AE3" s="9" t="s">
        <v>720</v>
      </c>
      <c r="AF3" s="9" t="s">
        <v>721</v>
      </c>
      <c r="AG3" s="9" t="s">
        <v>722</v>
      </c>
      <c r="AH3" s="9" t="s">
        <v>723</v>
      </c>
      <c r="AI3" s="9" t="s">
        <v>724</v>
      </c>
      <c r="AJ3" s="9" t="s">
        <v>725</v>
      </c>
      <c r="AK3" s="9" t="s">
        <v>726</v>
      </c>
      <c r="AL3" s="9" t="s">
        <v>727</v>
      </c>
      <c r="AM3" s="9" t="s">
        <v>728</v>
      </c>
      <c r="AN3" s="9" t="s">
        <v>729</v>
      </c>
      <c r="AO3" s="9" t="s">
        <v>730</v>
      </c>
      <c r="AP3" s="9" t="s">
        <v>731</v>
      </c>
      <c r="AQ3" s="9" t="s">
        <v>732</v>
      </c>
      <c r="AR3" s="9" t="s">
        <v>733</v>
      </c>
      <c r="AS3" s="9" t="s">
        <v>734</v>
      </c>
      <c r="AT3" s="9" t="s">
        <v>735</v>
      </c>
      <c r="AU3" s="9" t="s">
        <v>736</v>
      </c>
      <c r="AV3" s="9" t="s">
        <v>737</v>
      </c>
      <c r="AW3" s="9" t="s">
        <v>738</v>
      </c>
      <c r="AX3" s="9" t="s">
        <v>739</v>
      </c>
      <c r="AY3" s="9" t="s">
        <v>740</v>
      </c>
      <c r="AZ3" s="9" t="s">
        <v>741</v>
      </c>
      <c r="BA3" s="9" t="s">
        <v>742</v>
      </c>
    </row>
    <row r="4" spans="1:53" s="51" customFormat="1" ht="13.15" customHeight="1" x14ac:dyDescent="0.2">
      <c r="A4" s="38" t="s">
        <v>926</v>
      </c>
      <c r="B4" s="85"/>
      <c r="C4" s="47"/>
      <c r="D4" s="85"/>
      <c r="E4" s="85"/>
      <c r="F4" s="85"/>
      <c r="G4" s="85"/>
      <c r="H4" s="85"/>
      <c r="I4" s="85"/>
      <c r="J4" s="85"/>
      <c r="K4" s="85"/>
      <c r="S4" s="9" t="s">
        <v>461</v>
      </c>
    </row>
    <row r="5" spans="1:53" s="40" customFormat="1" ht="13.15" customHeight="1" x14ac:dyDescent="0.2">
      <c r="A5" s="48"/>
      <c r="B5" s="47"/>
      <c r="C5" s="664" t="s">
        <v>927</v>
      </c>
      <c r="D5" s="665"/>
      <c r="E5" s="665"/>
      <c r="F5" s="665"/>
      <c r="G5" s="665"/>
      <c r="H5" s="665"/>
      <c r="I5" s="665"/>
      <c r="J5" s="665"/>
      <c r="K5" s="665"/>
      <c r="L5" s="665"/>
      <c r="M5" s="665"/>
      <c r="N5" s="665"/>
      <c r="O5" s="665"/>
      <c r="P5" s="665"/>
      <c r="Q5" s="666"/>
      <c r="R5" s="161">
        <f>SUM(S5:BA5)</f>
        <v>24145005.22000001</v>
      </c>
      <c r="S5" s="62">
        <f t="shared" ref="S5:BA5" si="0">SUM(S7:S69)</f>
        <v>648585.96000000008</v>
      </c>
      <c r="T5" s="62">
        <f t="shared" si="0"/>
        <v>653239.42000000016</v>
      </c>
      <c r="U5" s="62">
        <f t="shared" si="0"/>
        <v>655566.15000000014</v>
      </c>
      <c r="V5" s="62">
        <f t="shared" si="0"/>
        <v>657985.54000000015</v>
      </c>
      <c r="W5" s="62">
        <f t="shared" si="0"/>
        <v>660312.27000000014</v>
      </c>
      <c r="X5" s="62">
        <f t="shared" si="0"/>
        <v>683764.03000000014</v>
      </c>
      <c r="Y5" s="62">
        <f t="shared" si="0"/>
        <v>686183.42000000016</v>
      </c>
      <c r="Z5" s="62">
        <f t="shared" si="0"/>
        <v>695613.60000000021</v>
      </c>
      <c r="AA5" s="62">
        <f t="shared" si="0"/>
        <v>695613.60000000021</v>
      </c>
      <c r="AB5" s="62">
        <f t="shared" si="0"/>
        <v>695613.60000000021</v>
      </c>
      <c r="AC5" s="62">
        <f t="shared" si="0"/>
        <v>695613.60000000021</v>
      </c>
      <c r="AD5" s="62">
        <f t="shared" si="0"/>
        <v>698032.99000000022</v>
      </c>
      <c r="AE5" s="62">
        <f t="shared" si="0"/>
        <v>698032.99000000022</v>
      </c>
      <c r="AF5" s="62">
        <f t="shared" si="0"/>
        <v>698032.99000000022</v>
      </c>
      <c r="AG5" s="62">
        <f t="shared" si="0"/>
        <v>698032.99000000022</v>
      </c>
      <c r="AH5" s="62">
        <f t="shared" si="0"/>
        <v>698032.99000000022</v>
      </c>
      <c r="AI5" s="62">
        <f t="shared" si="0"/>
        <v>698032.99000000022</v>
      </c>
      <c r="AJ5" s="62">
        <f t="shared" si="0"/>
        <v>698032.99000000022</v>
      </c>
      <c r="AK5" s="62">
        <f t="shared" si="0"/>
        <v>698032.99000000022</v>
      </c>
      <c r="AL5" s="62">
        <f t="shared" si="0"/>
        <v>698032.99000000022</v>
      </c>
      <c r="AM5" s="62">
        <f t="shared" si="0"/>
        <v>698032.99000000022</v>
      </c>
      <c r="AN5" s="62">
        <f t="shared" si="0"/>
        <v>698032.99000000022</v>
      </c>
      <c r="AO5" s="62">
        <f t="shared" si="0"/>
        <v>698032.99000000022</v>
      </c>
      <c r="AP5" s="62">
        <f t="shared" si="0"/>
        <v>698032.99000000022</v>
      </c>
      <c r="AQ5" s="62">
        <f t="shared" si="0"/>
        <v>698032.99000000022</v>
      </c>
      <c r="AR5" s="62">
        <f t="shared" si="0"/>
        <v>698032.99000000022</v>
      </c>
      <c r="AS5" s="62">
        <f t="shared" si="0"/>
        <v>695613.60000000021</v>
      </c>
      <c r="AT5" s="62">
        <f t="shared" si="0"/>
        <v>695613.60000000021</v>
      </c>
      <c r="AU5" s="62">
        <f t="shared" si="0"/>
        <v>695613.60000000021</v>
      </c>
      <c r="AV5" s="62">
        <f t="shared" si="0"/>
        <v>695613.60000000021</v>
      </c>
      <c r="AW5" s="62">
        <f t="shared" si="0"/>
        <v>694244.5900000002</v>
      </c>
      <c r="AX5" s="62">
        <f t="shared" si="0"/>
        <v>694244.5900000002</v>
      </c>
      <c r="AY5" s="62">
        <f t="shared" si="0"/>
        <v>691825.20000000019</v>
      </c>
      <c r="AZ5" s="62">
        <f t="shared" si="0"/>
        <v>691825.20000000019</v>
      </c>
      <c r="BA5" s="62">
        <f t="shared" si="0"/>
        <v>691825.20000000019</v>
      </c>
    </row>
    <row r="6" spans="1:53" s="44" customFormat="1" ht="13.15" customHeight="1" x14ac:dyDescent="0.2">
      <c r="A6" s="49" t="s">
        <v>928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146"/>
      <c r="N6" s="146"/>
      <c r="O6" s="146"/>
      <c r="P6" s="146"/>
      <c r="Q6" s="146"/>
      <c r="R6" s="197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</row>
    <row r="7" spans="1:53" ht="13.15" customHeight="1" x14ac:dyDescent="0.2">
      <c r="A7" s="15" t="s">
        <v>842</v>
      </c>
      <c r="B7" s="502">
        <f>C7*'01 - Dados de Entrada'!$C$86+D7*'01 - Dados de Entrada'!$C$87+E7*'01 - Dados de Entrada'!$C$88+F7*'01 - Dados de Entrada'!$C$89+G7*'01 - Dados de Entrada'!$C$90+H7*'01 - Dados de Entrada'!$C$91+I7*'01 - Dados de Entrada'!$C$92+J7*'01 - Dados de Entrada'!$C$93+K7*'01 - Dados de Entrada'!$C$94+L7*'01 - Dados de Entrada'!$C$95+M7*'01 - Dados de Entrada'!$C$96+'08 - Custos com EPI e uniformes'!N7*'01 - Dados de Entrada'!$C$97+O7*'01 - Dados de Entrada'!$C$98+P7*'01 - Dados de Entrada'!$C$99+Q7*'01 - Dados de Entrada'!$C$100</f>
        <v>803</v>
      </c>
      <c r="C7" s="502">
        <v>5</v>
      </c>
      <c r="D7" s="502">
        <v>2</v>
      </c>
      <c r="E7" s="502">
        <v>1</v>
      </c>
      <c r="F7" s="502">
        <v>0</v>
      </c>
      <c r="G7" s="502">
        <v>0</v>
      </c>
      <c r="H7" s="502">
        <v>0</v>
      </c>
      <c r="I7" s="502">
        <v>0</v>
      </c>
      <c r="J7" s="502">
        <v>0</v>
      </c>
      <c r="K7" s="502">
        <v>0</v>
      </c>
      <c r="L7" s="511">
        <v>0</v>
      </c>
      <c r="M7" s="511">
        <v>0</v>
      </c>
      <c r="N7" s="511">
        <v>0</v>
      </c>
      <c r="O7" s="511"/>
      <c r="P7" s="511"/>
      <c r="Q7" s="511"/>
      <c r="R7" s="511">
        <f>SUM(S7:BA7)</f>
        <v>28105</v>
      </c>
      <c r="S7" s="63">
        <f>$B$7*'05 - Relação de funcionários'!B19</f>
        <v>803</v>
      </c>
      <c r="T7" s="63">
        <f>$B$7*'05 - Relação de funcionários'!C19</f>
        <v>803</v>
      </c>
      <c r="U7" s="63">
        <f>$B$7*'05 - Relação de funcionários'!D19</f>
        <v>803</v>
      </c>
      <c r="V7" s="63">
        <f>$B$7*'05 - Relação de funcionários'!E19</f>
        <v>803</v>
      </c>
      <c r="W7" s="63">
        <f>$B$7*'05 - Relação de funcionários'!F19</f>
        <v>803</v>
      </c>
      <c r="X7" s="63">
        <f>$B$7*'05 - Relação de funcionários'!G19</f>
        <v>803</v>
      </c>
      <c r="Y7" s="63">
        <f>$B$7*'05 - Relação de funcionários'!H19</f>
        <v>803</v>
      </c>
      <c r="Z7" s="63">
        <f>$B$7*'05 - Relação de funcionários'!I19</f>
        <v>803</v>
      </c>
      <c r="AA7" s="63">
        <f>$B$7*'05 - Relação de funcionários'!J19</f>
        <v>803</v>
      </c>
      <c r="AB7" s="63">
        <f>$B$7*'05 - Relação de funcionários'!K19</f>
        <v>803</v>
      </c>
      <c r="AC7" s="63">
        <f>$B$7*'05 - Relação de funcionários'!L19</f>
        <v>803</v>
      </c>
      <c r="AD7" s="63">
        <f>$B$7*'05 - Relação de funcionários'!M19</f>
        <v>803</v>
      </c>
      <c r="AE7" s="63">
        <f>$B$7*'05 - Relação de funcionários'!N19</f>
        <v>803</v>
      </c>
      <c r="AF7" s="63">
        <f>$B$7*'05 - Relação de funcionários'!O19</f>
        <v>803</v>
      </c>
      <c r="AG7" s="63">
        <f>$B$7*'05 - Relação de funcionários'!P19</f>
        <v>803</v>
      </c>
      <c r="AH7" s="63">
        <f>$B$7*'05 - Relação de funcionários'!Q19</f>
        <v>803</v>
      </c>
      <c r="AI7" s="63">
        <f>$B$7*'05 - Relação de funcionários'!R19</f>
        <v>803</v>
      </c>
      <c r="AJ7" s="63">
        <f>$B$7*'05 - Relação de funcionários'!S19</f>
        <v>803</v>
      </c>
      <c r="AK7" s="63">
        <f>$B$7*'05 - Relação de funcionários'!T19</f>
        <v>803</v>
      </c>
      <c r="AL7" s="63">
        <f>$B$7*'05 - Relação de funcionários'!U19</f>
        <v>803</v>
      </c>
      <c r="AM7" s="63">
        <f>$B$7*'05 - Relação de funcionários'!V19</f>
        <v>803</v>
      </c>
      <c r="AN7" s="63">
        <f>$B$7*'05 - Relação de funcionários'!W19</f>
        <v>803</v>
      </c>
      <c r="AO7" s="63">
        <f>$B$7*'05 - Relação de funcionários'!X19</f>
        <v>803</v>
      </c>
      <c r="AP7" s="63">
        <f>$B$7*'05 - Relação de funcionários'!Y19</f>
        <v>803</v>
      </c>
      <c r="AQ7" s="63">
        <f>$B$7*'05 - Relação de funcionários'!Z19</f>
        <v>803</v>
      </c>
      <c r="AR7" s="63">
        <f>$B$7*'05 - Relação de funcionários'!AA19</f>
        <v>803</v>
      </c>
      <c r="AS7" s="63">
        <f>$B$7*'05 - Relação de funcionários'!AB19</f>
        <v>803</v>
      </c>
      <c r="AT7" s="63">
        <f>$B$7*'05 - Relação de funcionários'!AC19</f>
        <v>803</v>
      </c>
      <c r="AU7" s="63">
        <f>$B$7*'05 - Relação de funcionários'!AD19</f>
        <v>803</v>
      </c>
      <c r="AV7" s="63">
        <f>$B$7*'05 - Relação de funcionários'!AE19</f>
        <v>803</v>
      </c>
      <c r="AW7" s="63">
        <f>$B$7*'05 - Relação de funcionários'!AF19</f>
        <v>803</v>
      </c>
      <c r="AX7" s="63">
        <f>$B$7*'05 - Relação de funcionários'!AG19</f>
        <v>803</v>
      </c>
      <c r="AY7" s="63">
        <f>$B$7*'05 - Relação de funcionários'!AH19</f>
        <v>803</v>
      </c>
      <c r="AZ7" s="63">
        <f>$B$7*'05 - Relação de funcionários'!AI19</f>
        <v>803</v>
      </c>
      <c r="BA7" s="63">
        <f>$B$7*'05 - Relação de funcionários'!AJ19</f>
        <v>803</v>
      </c>
    </row>
    <row r="8" spans="1:53" ht="13.15" customHeight="1" x14ac:dyDescent="0.2">
      <c r="A8" s="15" t="s">
        <v>843</v>
      </c>
      <c r="B8" s="502">
        <f>C8*'01 - Dados de Entrada'!$C$86+D8*'01 - Dados de Entrada'!$C$87+E8*'01 - Dados de Entrada'!$C$88+F8*'01 - Dados de Entrada'!$C$89+G8*'01 - Dados de Entrada'!$C$90+H8*'01 - Dados de Entrada'!$C$91+I8*'01 - Dados de Entrada'!$C$92+J8*'01 - Dados de Entrada'!$C$93+K8*'01 - Dados de Entrada'!$C$94+L8*'01 - Dados de Entrada'!$C$95+M8*'01 - Dados de Entrada'!$C$96+'08 - Custos com EPI e uniformes'!N8*'01 - Dados de Entrada'!$C$97+O8*'01 - Dados de Entrada'!$C$98+P8*'01 - Dados de Entrada'!$C$99+Q8*'01 - Dados de Entrada'!$C$100</f>
        <v>803</v>
      </c>
      <c r="C8" s="502">
        <v>5</v>
      </c>
      <c r="D8" s="502">
        <v>2</v>
      </c>
      <c r="E8" s="502">
        <v>1</v>
      </c>
      <c r="F8" s="502">
        <v>0</v>
      </c>
      <c r="G8" s="502">
        <v>0</v>
      </c>
      <c r="H8" s="502">
        <v>0</v>
      </c>
      <c r="I8" s="502">
        <v>0</v>
      </c>
      <c r="J8" s="502">
        <v>0</v>
      </c>
      <c r="K8" s="502">
        <v>0</v>
      </c>
      <c r="L8" s="511">
        <v>0</v>
      </c>
      <c r="M8" s="511">
        <v>0</v>
      </c>
      <c r="N8" s="511">
        <v>0</v>
      </c>
      <c r="O8" s="511"/>
      <c r="P8" s="511"/>
      <c r="Q8" s="511"/>
      <c r="R8" s="511">
        <f t="shared" ref="R8:R54" si="1">SUM(S8:BA8)</f>
        <v>28105</v>
      </c>
      <c r="S8" s="63">
        <f>$B$8*'05 - Relação de funcionários'!B20</f>
        <v>803</v>
      </c>
      <c r="T8" s="63">
        <f>$B$8*'05 - Relação de funcionários'!C20</f>
        <v>803</v>
      </c>
      <c r="U8" s="63">
        <f>$B$8*'05 - Relação de funcionários'!D20</f>
        <v>803</v>
      </c>
      <c r="V8" s="63">
        <f>$B$8*'05 - Relação de funcionários'!E20</f>
        <v>803</v>
      </c>
      <c r="W8" s="63">
        <f>$B$8*'05 - Relação de funcionários'!F20</f>
        <v>803</v>
      </c>
      <c r="X8" s="63">
        <f>$B$8*'05 - Relação de funcionários'!G20</f>
        <v>803</v>
      </c>
      <c r="Y8" s="63">
        <f>$B$8*'05 - Relação de funcionários'!H20</f>
        <v>803</v>
      </c>
      <c r="Z8" s="63">
        <f>$B$8*'05 - Relação de funcionários'!I20</f>
        <v>803</v>
      </c>
      <c r="AA8" s="63">
        <f>$B$8*'05 - Relação de funcionários'!J20</f>
        <v>803</v>
      </c>
      <c r="AB8" s="63">
        <f>$B$8*'05 - Relação de funcionários'!K20</f>
        <v>803</v>
      </c>
      <c r="AC8" s="63">
        <f>$B$8*'05 - Relação de funcionários'!L20</f>
        <v>803</v>
      </c>
      <c r="AD8" s="63">
        <f>$B$8*'05 - Relação de funcionários'!M20</f>
        <v>803</v>
      </c>
      <c r="AE8" s="63">
        <f>$B$8*'05 - Relação de funcionários'!N20</f>
        <v>803</v>
      </c>
      <c r="AF8" s="63">
        <f>$B$8*'05 - Relação de funcionários'!O20</f>
        <v>803</v>
      </c>
      <c r="AG8" s="63">
        <f>$B$8*'05 - Relação de funcionários'!P20</f>
        <v>803</v>
      </c>
      <c r="AH8" s="63">
        <f>$B$8*'05 - Relação de funcionários'!Q20</f>
        <v>803</v>
      </c>
      <c r="AI8" s="63">
        <f>$B$8*'05 - Relação de funcionários'!R20</f>
        <v>803</v>
      </c>
      <c r="AJ8" s="63">
        <f>$B$8*'05 - Relação de funcionários'!S20</f>
        <v>803</v>
      </c>
      <c r="AK8" s="63">
        <f>$B$8*'05 - Relação de funcionários'!T20</f>
        <v>803</v>
      </c>
      <c r="AL8" s="63">
        <f>$B$8*'05 - Relação de funcionários'!U20</f>
        <v>803</v>
      </c>
      <c r="AM8" s="63">
        <f>$B$8*'05 - Relação de funcionários'!V20</f>
        <v>803</v>
      </c>
      <c r="AN8" s="63">
        <f>$B$8*'05 - Relação de funcionários'!W20</f>
        <v>803</v>
      </c>
      <c r="AO8" s="63">
        <f>$B$8*'05 - Relação de funcionários'!X20</f>
        <v>803</v>
      </c>
      <c r="AP8" s="63">
        <f>$B$8*'05 - Relação de funcionários'!Y20</f>
        <v>803</v>
      </c>
      <c r="AQ8" s="63">
        <f>$B$8*'05 - Relação de funcionários'!Z20</f>
        <v>803</v>
      </c>
      <c r="AR8" s="63">
        <f>$B$8*'05 - Relação de funcionários'!AA20</f>
        <v>803</v>
      </c>
      <c r="AS8" s="63">
        <f>$B$8*'05 - Relação de funcionários'!AB20</f>
        <v>803</v>
      </c>
      <c r="AT8" s="63">
        <f>$B$8*'05 - Relação de funcionários'!AC20</f>
        <v>803</v>
      </c>
      <c r="AU8" s="63">
        <f>$B$8*'05 - Relação de funcionários'!AD20</f>
        <v>803</v>
      </c>
      <c r="AV8" s="63">
        <f>$B$8*'05 - Relação de funcionários'!AE20</f>
        <v>803</v>
      </c>
      <c r="AW8" s="63">
        <f>$B$7*'05 - Relação de funcionários'!AF20</f>
        <v>803</v>
      </c>
      <c r="AX8" s="63">
        <f>$B$7*'05 - Relação de funcionários'!AG20</f>
        <v>803</v>
      </c>
      <c r="AY8" s="63">
        <f>$B$7*'05 - Relação de funcionários'!AH20</f>
        <v>803</v>
      </c>
      <c r="AZ8" s="63">
        <f>$B$7*'05 - Relação de funcionários'!AI20</f>
        <v>803</v>
      </c>
      <c r="BA8" s="63">
        <f>$B$7*'05 - Relação de funcionários'!AJ20</f>
        <v>803</v>
      </c>
    </row>
    <row r="9" spans="1:53" ht="13.15" customHeight="1" x14ac:dyDescent="0.2">
      <c r="A9" s="15" t="s">
        <v>844</v>
      </c>
      <c r="B9" s="502">
        <f>C9*'01 - Dados de Entrada'!$C$86+D9*'01 - Dados de Entrada'!$C$87+E9*'01 - Dados de Entrada'!$C$88+F9*'01 - Dados de Entrada'!$C$89+G9*'01 - Dados de Entrada'!$C$90+H9*'01 - Dados de Entrada'!$C$91+I9*'01 - Dados de Entrada'!$C$92+J9*'01 - Dados de Entrada'!$C$93+K9*'01 - Dados de Entrada'!$C$94+L9*'01 - Dados de Entrada'!$C$95+M9*'01 - Dados de Entrada'!$C$96+'08 - Custos com EPI e uniformes'!N9*'01 - Dados de Entrada'!$C$97+O9*'01 - Dados de Entrada'!$C$98+P9*'01 - Dados de Entrada'!$C$99+Q9*'01 - Dados de Entrada'!$C$100</f>
        <v>803</v>
      </c>
      <c r="C9" s="502">
        <v>5</v>
      </c>
      <c r="D9" s="502">
        <v>2</v>
      </c>
      <c r="E9" s="502">
        <v>1</v>
      </c>
      <c r="F9" s="502">
        <v>0</v>
      </c>
      <c r="G9" s="502">
        <v>0</v>
      </c>
      <c r="H9" s="502">
        <v>0</v>
      </c>
      <c r="I9" s="502">
        <v>0</v>
      </c>
      <c r="J9" s="502">
        <v>0</v>
      </c>
      <c r="K9" s="502">
        <v>0</v>
      </c>
      <c r="L9" s="511">
        <v>0</v>
      </c>
      <c r="M9" s="511">
        <v>0</v>
      </c>
      <c r="N9" s="511">
        <v>0</v>
      </c>
      <c r="O9" s="511"/>
      <c r="P9" s="511"/>
      <c r="Q9" s="511"/>
      <c r="R9" s="511">
        <f t="shared" si="1"/>
        <v>28105</v>
      </c>
      <c r="S9" s="63">
        <f>$B$9*'05 - Relação de funcionários'!B21</f>
        <v>803</v>
      </c>
      <c r="T9" s="63">
        <f>$B$9*'05 - Relação de funcionários'!C21</f>
        <v>803</v>
      </c>
      <c r="U9" s="63">
        <f>$B$9*'05 - Relação de funcionários'!D21</f>
        <v>803</v>
      </c>
      <c r="V9" s="63">
        <f>$B$9*'05 - Relação de funcionários'!E21</f>
        <v>803</v>
      </c>
      <c r="W9" s="63">
        <f>$B$9*'05 - Relação de funcionários'!F21</f>
        <v>803</v>
      </c>
      <c r="X9" s="63">
        <f>$B$9*'05 - Relação de funcionários'!G21</f>
        <v>803</v>
      </c>
      <c r="Y9" s="63">
        <f>$B$9*'05 - Relação de funcionários'!H21</f>
        <v>803</v>
      </c>
      <c r="Z9" s="63">
        <f>$B$9*'05 - Relação de funcionários'!I21</f>
        <v>803</v>
      </c>
      <c r="AA9" s="63">
        <f>$B$9*'05 - Relação de funcionários'!J21</f>
        <v>803</v>
      </c>
      <c r="AB9" s="63">
        <f>$B$9*'05 - Relação de funcionários'!K21</f>
        <v>803</v>
      </c>
      <c r="AC9" s="63">
        <f>$B$9*'05 - Relação de funcionários'!L21</f>
        <v>803</v>
      </c>
      <c r="AD9" s="63">
        <f>$B$9*'05 - Relação de funcionários'!M21</f>
        <v>803</v>
      </c>
      <c r="AE9" s="63">
        <f>$B$9*'05 - Relação de funcionários'!N21</f>
        <v>803</v>
      </c>
      <c r="AF9" s="63">
        <f>$B$9*'05 - Relação de funcionários'!O21</f>
        <v>803</v>
      </c>
      <c r="AG9" s="63">
        <f>$B$9*'05 - Relação de funcionários'!P21</f>
        <v>803</v>
      </c>
      <c r="AH9" s="63">
        <f>$B$9*'05 - Relação de funcionários'!Q21</f>
        <v>803</v>
      </c>
      <c r="AI9" s="63">
        <f>$B$9*'05 - Relação de funcionários'!R21</f>
        <v>803</v>
      </c>
      <c r="AJ9" s="63">
        <f>$B$9*'05 - Relação de funcionários'!S21</f>
        <v>803</v>
      </c>
      <c r="AK9" s="63">
        <f>$B$9*'05 - Relação de funcionários'!T21</f>
        <v>803</v>
      </c>
      <c r="AL9" s="63">
        <f>$B$9*'05 - Relação de funcionários'!U21</f>
        <v>803</v>
      </c>
      <c r="AM9" s="63">
        <f>$B$9*'05 - Relação de funcionários'!V21</f>
        <v>803</v>
      </c>
      <c r="AN9" s="63">
        <f>$B$9*'05 - Relação de funcionários'!W21</f>
        <v>803</v>
      </c>
      <c r="AO9" s="63">
        <f>$B$9*'05 - Relação de funcionários'!X21</f>
        <v>803</v>
      </c>
      <c r="AP9" s="63">
        <f>$B$9*'05 - Relação de funcionários'!Y21</f>
        <v>803</v>
      </c>
      <c r="AQ9" s="63">
        <f>$B$9*'05 - Relação de funcionários'!Z21</f>
        <v>803</v>
      </c>
      <c r="AR9" s="63">
        <f>$B$9*'05 - Relação de funcionários'!AA21</f>
        <v>803</v>
      </c>
      <c r="AS9" s="63">
        <f>$B$9*'05 - Relação de funcionários'!AB21</f>
        <v>803</v>
      </c>
      <c r="AT9" s="63">
        <f>$B$9*'05 - Relação de funcionários'!AC21</f>
        <v>803</v>
      </c>
      <c r="AU9" s="63">
        <f>$B$9*'05 - Relação de funcionários'!AD21</f>
        <v>803</v>
      </c>
      <c r="AV9" s="63">
        <f>$B$9*'05 - Relação de funcionários'!AE21</f>
        <v>803</v>
      </c>
      <c r="AW9" s="63">
        <f>$B$7*'05 - Relação de funcionários'!AF21</f>
        <v>803</v>
      </c>
      <c r="AX9" s="63">
        <f>$B$7*'05 - Relação de funcionários'!AG21</f>
        <v>803</v>
      </c>
      <c r="AY9" s="63">
        <f>$B$7*'05 - Relação de funcionários'!AH21</f>
        <v>803</v>
      </c>
      <c r="AZ9" s="63">
        <f>$B$7*'05 - Relação de funcionários'!AI21</f>
        <v>803</v>
      </c>
      <c r="BA9" s="63">
        <f>$B$7*'05 - Relação de funcionários'!AJ21</f>
        <v>803</v>
      </c>
    </row>
    <row r="10" spans="1:53" ht="13.15" customHeight="1" x14ac:dyDescent="0.2">
      <c r="A10" s="15" t="s">
        <v>845</v>
      </c>
      <c r="B10" s="502">
        <f>C10*'01 - Dados de Entrada'!$C$86+D10*'01 - Dados de Entrada'!$C$87+E10*'01 - Dados de Entrada'!$C$88+F10*'01 - Dados de Entrada'!$C$89+G10*'01 - Dados de Entrada'!$C$90+H10*'01 - Dados de Entrada'!$C$91+I10*'01 - Dados de Entrada'!$C$92+J10*'01 - Dados de Entrada'!$C$93+K10*'01 - Dados de Entrada'!$C$94+L10*'01 - Dados de Entrada'!$C$95+M10*'01 - Dados de Entrada'!$C$96+'08 - Custos com EPI e uniformes'!N10*'01 - Dados de Entrada'!$C$97+O10*'01 - Dados de Entrada'!$C$98+P10*'01 - Dados de Entrada'!$C$99+Q10*'01 - Dados de Entrada'!$C$100</f>
        <v>803</v>
      </c>
      <c r="C10" s="502">
        <v>5</v>
      </c>
      <c r="D10" s="502">
        <v>2</v>
      </c>
      <c r="E10" s="502">
        <v>1</v>
      </c>
      <c r="F10" s="502">
        <v>0</v>
      </c>
      <c r="G10" s="502">
        <v>0</v>
      </c>
      <c r="H10" s="502">
        <v>0</v>
      </c>
      <c r="I10" s="502">
        <v>0</v>
      </c>
      <c r="J10" s="502">
        <v>0</v>
      </c>
      <c r="K10" s="502">
        <v>0</v>
      </c>
      <c r="L10" s="511">
        <v>0</v>
      </c>
      <c r="M10" s="511">
        <v>0</v>
      </c>
      <c r="N10" s="511">
        <v>0</v>
      </c>
      <c r="O10" s="511"/>
      <c r="P10" s="511"/>
      <c r="Q10" s="511"/>
      <c r="R10" s="511">
        <f t="shared" si="1"/>
        <v>28105</v>
      </c>
      <c r="S10" s="63">
        <f>$B$10*'05 - Relação de funcionários'!B22</f>
        <v>803</v>
      </c>
      <c r="T10" s="63">
        <f>$B$10*'05 - Relação de funcionários'!C22</f>
        <v>803</v>
      </c>
      <c r="U10" s="63">
        <f>$B$10*'05 - Relação de funcionários'!D22</f>
        <v>803</v>
      </c>
      <c r="V10" s="63">
        <f>$B$10*'05 - Relação de funcionários'!E22</f>
        <v>803</v>
      </c>
      <c r="W10" s="63">
        <f>$B$10*'05 - Relação de funcionários'!F22</f>
        <v>803</v>
      </c>
      <c r="X10" s="63">
        <f>$B$10*'05 - Relação de funcionários'!G22</f>
        <v>803</v>
      </c>
      <c r="Y10" s="63">
        <f>$B$10*'05 - Relação de funcionários'!H22</f>
        <v>803</v>
      </c>
      <c r="Z10" s="63">
        <f>$B$10*'05 - Relação de funcionários'!I22</f>
        <v>803</v>
      </c>
      <c r="AA10" s="63">
        <f>$B$10*'05 - Relação de funcionários'!J22</f>
        <v>803</v>
      </c>
      <c r="AB10" s="63">
        <f>$B$10*'05 - Relação de funcionários'!K22</f>
        <v>803</v>
      </c>
      <c r="AC10" s="63">
        <f>$B$10*'05 - Relação de funcionários'!L22</f>
        <v>803</v>
      </c>
      <c r="AD10" s="63">
        <f>$B$10*'05 - Relação de funcionários'!M22</f>
        <v>803</v>
      </c>
      <c r="AE10" s="63">
        <f>$B$10*'05 - Relação de funcionários'!N22</f>
        <v>803</v>
      </c>
      <c r="AF10" s="63">
        <f>$B$10*'05 - Relação de funcionários'!O22</f>
        <v>803</v>
      </c>
      <c r="AG10" s="63">
        <f>$B$10*'05 - Relação de funcionários'!P22</f>
        <v>803</v>
      </c>
      <c r="AH10" s="63">
        <f>$B$10*'05 - Relação de funcionários'!Q22</f>
        <v>803</v>
      </c>
      <c r="AI10" s="63">
        <f>$B$10*'05 - Relação de funcionários'!R22</f>
        <v>803</v>
      </c>
      <c r="AJ10" s="63">
        <f>$B$10*'05 - Relação de funcionários'!S22</f>
        <v>803</v>
      </c>
      <c r="AK10" s="63">
        <f>$B$10*'05 - Relação de funcionários'!T22</f>
        <v>803</v>
      </c>
      <c r="AL10" s="63">
        <f>$B$10*'05 - Relação de funcionários'!U22</f>
        <v>803</v>
      </c>
      <c r="AM10" s="63">
        <f>$B$10*'05 - Relação de funcionários'!V22</f>
        <v>803</v>
      </c>
      <c r="AN10" s="63">
        <f>$B$10*'05 - Relação de funcionários'!W22</f>
        <v>803</v>
      </c>
      <c r="AO10" s="63">
        <f>$B$10*'05 - Relação de funcionários'!X22</f>
        <v>803</v>
      </c>
      <c r="AP10" s="63">
        <f>$B$10*'05 - Relação de funcionários'!Y22</f>
        <v>803</v>
      </c>
      <c r="AQ10" s="63">
        <f>$B$10*'05 - Relação de funcionários'!Z22</f>
        <v>803</v>
      </c>
      <c r="AR10" s="63">
        <f>$B$10*'05 - Relação de funcionários'!AA22</f>
        <v>803</v>
      </c>
      <c r="AS10" s="63">
        <f>$B$10*'05 - Relação de funcionários'!AB22</f>
        <v>803</v>
      </c>
      <c r="AT10" s="63">
        <f>$B$10*'05 - Relação de funcionários'!AC22</f>
        <v>803</v>
      </c>
      <c r="AU10" s="63">
        <f>$B$10*'05 - Relação de funcionários'!AD22</f>
        <v>803</v>
      </c>
      <c r="AV10" s="63">
        <f>$B$10*'05 - Relação de funcionários'!AE22</f>
        <v>803</v>
      </c>
      <c r="AW10" s="63">
        <f>$B$7*'05 - Relação de funcionários'!AF22</f>
        <v>803</v>
      </c>
      <c r="AX10" s="63">
        <f>$B$7*'05 - Relação de funcionários'!AG22</f>
        <v>803</v>
      </c>
      <c r="AY10" s="63">
        <f>$B$7*'05 - Relação de funcionários'!AH22</f>
        <v>803</v>
      </c>
      <c r="AZ10" s="63">
        <f>$B$7*'05 - Relação de funcionários'!AI22</f>
        <v>803</v>
      </c>
      <c r="BA10" s="63">
        <f>$B$7*'05 - Relação de funcionários'!AJ22</f>
        <v>803</v>
      </c>
    </row>
    <row r="11" spans="1:53" ht="13.15" customHeight="1" x14ac:dyDescent="0.2">
      <c r="A11" s="15" t="s">
        <v>846</v>
      </c>
      <c r="B11" s="502">
        <f>C11*'01 - Dados de Entrada'!$C$86+D11*'01 - Dados de Entrada'!$C$87+E11*'01 - Dados de Entrada'!$C$88+F11*'01 - Dados de Entrada'!$C$89+G11*'01 - Dados de Entrada'!$C$90+H11*'01 - Dados de Entrada'!$C$91+I11*'01 - Dados de Entrada'!$C$92+J11*'01 - Dados de Entrada'!$C$93+K11*'01 - Dados de Entrada'!$C$94+L11*'01 - Dados de Entrada'!$C$95+M11*'01 - Dados de Entrada'!$C$96+'08 - Custos com EPI e uniformes'!N11*'01 - Dados de Entrada'!$C$97+O11*'01 - Dados de Entrada'!$C$98+P11*'01 - Dados de Entrada'!$C$99+Q11*'01 - Dados de Entrada'!$C$100</f>
        <v>803</v>
      </c>
      <c r="C11" s="502">
        <v>5</v>
      </c>
      <c r="D11" s="502">
        <v>2</v>
      </c>
      <c r="E11" s="502">
        <v>1</v>
      </c>
      <c r="F11" s="502">
        <v>0</v>
      </c>
      <c r="G11" s="502">
        <v>0</v>
      </c>
      <c r="H11" s="502">
        <v>0</v>
      </c>
      <c r="I11" s="502">
        <v>0</v>
      </c>
      <c r="J11" s="502">
        <v>0</v>
      </c>
      <c r="K11" s="502">
        <v>0</v>
      </c>
      <c r="L11" s="511">
        <v>0</v>
      </c>
      <c r="M11" s="511">
        <v>0</v>
      </c>
      <c r="N11" s="511">
        <v>0</v>
      </c>
      <c r="O11" s="511"/>
      <c r="P11" s="511"/>
      <c r="Q11" s="511"/>
      <c r="R11" s="511">
        <f t="shared" si="1"/>
        <v>28105</v>
      </c>
      <c r="S11" s="63">
        <f>$B$11*'05 - Relação de funcionários'!B23</f>
        <v>803</v>
      </c>
      <c r="T11" s="63">
        <f>$B$11*'05 - Relação de funcionários'!C23</f>
        <v>803</v>
      </c>
      <c r="U11" s="63">
        <f>$B$11*'05 - Relação de funcionários'!D23</f>
        <v>803</v>
      </c>
      <c r="V11" s="63">
        <f>$B$11*'05 - Relação de funcionários'!E23</f>
        <v>803</v>
      </c>
      <c r="W11" s="63">
        <f>$B$11*'05 - Relação de funcionários'!F23</f>
        <v>803</v>
      </c>
      <c r="X11" s="63">
        <f>$B$11*'05 - Relação de funcionários'!G23</f>
        <v>803</v>
      </c>
      <c r="Y11" s="63">
        <f>$B$11*'05 - Relação de funcionários'!H23</f>
        <v>803</v>
      </c>
      <c r="Z11" s="63">
        <f>$B$11*'05 - Relação de funcionários'!I23</f>
        <v>803</v>
      </c>
      <c r="AA11" s="63">
        <f>$B$11*'05 - Relação de funcionários'!J23</f>
        <v>803</v>
      </c>
      <c r="AB11" s="63">
        <f>$B$11*'05 - Relação de funcionários'!K23</f>
        <v>803</v>
      </c>
      <c r="AC11" s="63">
        <f>$B$11*'05 - Relação de funcionários'!L23</f>
        <v>803</v>
      </c>
      <c r="AD11" s="63">
        <f>$B$11*'05 - Relação de funcionários'!M23</f>
        <v>803</v>
      </c>
      <c r="AE11" s="63">
        <f>$B$11*'05 - Relação de funcionários'!N23</f>
        <v>803</v>
      </c>
      <c r="AF11" s="63">
        <f>$B$11*'05 - Relação de funcionários'!O23</f>
        <v>803</v>
      </c>
      <c r="AG11" s="63">
        <f>$B$11*'05 - Relação de funcionários'!P23</f>
        <v>803</v>
      </c>
      <c r="AH11" s="63">
        <f>$B$11*'05 - Relação de funcionários'!Q23</f>
        <v>803</v>
      </c>
      <c r="AI11" s="63">
        <f>$B$11*'05 - Relação de funcionários'!R23</f>
        <v>803</v>
      </c>
      <c r="AJ11" s="63">
        <f>$B$11*'05 - Relação de funcionários'!S23</f>
        <v>803</v>
      </c>
      <c r="AK11" s="63">
        <f>$B$11*'05 - Relação de funcionários'!T23</f>
        <v>803</v>
      </c>
      <c r="AL11" s="63">
        <f>$B$11*'05 - Relação de funcionários'!U23</f>
        <v>803</v>
      </c>
      <c r="AM11" s="63">
        <f>$B$11*'05 - Relação de funcionários'!V23</f>
        <v>803</v>
      </c>
      <c r="AN11" s="63">
        <f>$B$11*'05 - Relação de funcionários'!W23</f>
        <v>803</v>
      </c>
      <c r="AO11" s="63">
        <f>$B$11*'05 - Relação de funcionários'!X23</f>
        <v>803</v>
      </c>
      <c r="AP11" s="63">
        <f>$B$11*'05 - Relação de funcionários'!Y23</f>
        <v>803</v>
      </c>
      <c r="AQ11" s="63">
        <f>$B$11*'05 - Relação de funcionários'!Z23</f>
        <v>803</v>
      </c>
      <c r="AR11" s="63">
        <f>$B$11*'05 - Relação de funcionários'!AA23</f>
        <v>803</v>
      </c>
      <c r="AS11" s="63">
        <f>$B$11*'05 - Relação de funcionários'!AB23</f>
        <v>803</v>
      </c>
      <c r="AT11" s="63">
        <f>$B$11*'05 - Relação de funcionários'!AC23</f>
        <v>803</v>
      </c>
      <c r="AU11" s="63">
        <f>$B$11*'05 - Relação de funcionários'!AD23</f>
        <v>803</v>
      </c>
      <c r="AV11" s="63">
        <f>$B$11*'05 - Relação de funcionários'!AE23</f>
        <v>803</v>
      </c>
      <c r="AW11" s="63">
        <f>$B$7*'05 - Relação de funcionários'!AF23</f>
        <v>803</v>
      </c>
      <c r="AX11" s="63">
        <f>$B$7*'05 - Relação de funcionários'!AG23</f>
        <v>803</v>
      </c>
      <c r="AY11" s="63">
        <f>$B$7*'05 - Relação de funcionários'!AH23</f>
        <v>803</v>
      </c>
      <c r="AZ11" s="63">
        <f>$B$7*'05 - Relação de funcionários'!AI23</f>
        <v>803</v>
      </c>
      <c r="BA11" s="63">
        <f>$B$7*'05 - Relação de funcionários'!AJ23</f>
        <v>803</v>
      </c>
    </row>
    <row r="12" spans="1:53" ht="13.15" customHeight="1" x14ac:dyDescent="0.2">
      <c r="A12" s="15" t="s">
        <v>847</v>
      </c>
      <c r="B12" s="502">
        <f>C12*'01 - Dados de Entrada'!$C$86+D12*'01 - Dados de Entrada'!$C$87+E12*'01 - Dados de Entrada'!$C$88+F12*'01 - Dados de Entrada'!$C$89+G12*'01 - Dados de Entrada'!$C$90+H12*'01 - Dados de Entrada'!$C$91+I12*'01 - Dados de Entrada'!$C$92+J12*'01 - Dados de Entrada'!$C$93+K12*'01 - Dados de Entrada'!$C$94+L12*'01 - Dados de Entrada'!$C$95+M12*'01 - Dados de Entrada'!$C$96+'08 - Custos com EPI e uniformes'!N12*'01 - Dados de Entrada'!$C$97+O12*'01 - Dados de Entrada'!$C$98+P12*'01 - Dados de Entrada'!$C$99+Q12*'01 - Dados de Entrada'!$C$100</f>
        <v>803</v>
      </c>
      <c r="C12" s="502">
        <v>5</v>
      </c>
      <c r="D12" s="502">
        <v>2</v>
      </c>
      <c r="E12" s="502">
        <v>1</v>
      </c>
      <c r="F12" s="502">
        <v>0</v>
      </c>
      <c r="G12" s="502">
        <v>0</v>
      </c>
      <c r="H12" s="502">
        <v>0</v>
      </c>
      <c r="I12" s="502">
        <v>0</v>
      </c>
      <c r="J12" s="502">
        <v>0</v>
      </c>
      <c r="K12" s="502">
        <v>0</v>
      </c>
      <c r="L12" s="511">
        <v>0</v>
      </c>
      <c r="M12" s="511">
        <v>0</v>
      </c>
      <c r="N12" s="511">
        <v>0</v>
      </c>
      <c r="O12" s="511"/>
      <c r="P12" s="511"/>
      <c r="Q12" s="511"/>
      <c r="R12" s="511">
        <f t="shared" si="1"/>
        <v>28105</v>
      </c>
      <c r="S12" s="63">
        <f>$B$12*'05 - Relação de funcionários'!B24</f>
        <v>803</v>
      </c>
      <c r="T12" s="63">
        <f>$B$12*'05 - Relação de funcionários'!C24</f>
        <v>803</v>
      </c>
      <c r="U12" s="63">
        <f>$B$12*'05 - Relação de funcionários'!D24</f>
        <v>803</v>
      </c>
      <c r="V12" s="63">
        <f>$B$12*'05 - Relação de funcionários'!E24</f>
        <v>803</v>
      </c>
      <c r="W12" s="63">
        <f>$B$12*'05 - Relação de funcionários'!F24</f>
        <v>803</v>
      </c>
      <c r="X12" s="63">
        <f>$B$12*'05 - Relação de funcionários'!G24</f>
        <v>803</v>
      </c>
      <c r="Y12" s="63">
        <f>$B$12*'05 - Relação de funcionários'!H24</f>
        <v>803</v>
      </c>
      <c r="Z12" s="63">
        <f>$B$12*'05 - Relação de funcionários'!I24</f>
        <v>803</v>
      </c>
      <c r="AA12" s="63">
        <f>$B$12*'05 - Relação de funcionários'!J24</f>
        <v>803</v>
      </c>
      <c r="AB12" s="63">
        <f>$B$12*'05 - Relação de funcionários'!K24</f>
        <v>803</v>
      </c>
      <c r="AC12" s="63">
        <f>$B$12*'05 - Relação de funcionários'!L24</f>
        <v>803</v>
      </c>
      <c r="AD12" s="63">
        <f>$B$12*'05 - Relação de funcionários'!M24</f>
        <v>803</v>
      </c>
      <c r="AE12" s="63">
        <f>$B$12*'05 - Relação de funcionários'!N24</f>
        <v>803</v>
      </c>
      <c r="AF12" s="63">
        <f>$B$12*'05 - Relação de funcionários'!O24</f>
        <v>803</v>
      </c>
      <c r="AG12" s="63">
        <f>$B$12*'05 - Relação de funcionários'!P24</f>
        <v>803</v>
      </c>
      <c r="AH12" s="63">
        <f>$B$12*'05 - Relação de funcionários'!Q24</f>
        <v>803</v>
      </c>
      <c r="AI12" s="63">
        <f>$B$12*'05 - Relação de funcionários'!R24</f>
        <v>803</v>
      </c>
      <c r="AJ12" s="63">
        <f>$B$12*'05 - Relação de funcionários'!S24</f>
        <v>803</v>
      </c>
      <c r="AK12" s="63">
        <f>$B$12*'05 - Relação de funcionários'!T24</f>
        <v>803</v>
      </c>
      <c r="AL12" s="63">
        <f>$B$12*'05 - Relação de funcionários'!U24</f>
        <v>803</v>
      </c>
      <c r="AM12" s="63">
        <f>$B$12*'05 - Relação de funcionários'!V24</f>
        <v>803</v>
      </c>
      <c r="AN12" s="63">
        <f>$B$12*'05 - Relação de funcionários'!W24</f>
        <v>803</v>
      </c>
      <c r="AO12" s="63">
        <f>$B$12*'05 - Relação de funcionários'!X24</f>
        <v>803</v>
      </c>
      <c r="AP12" s="63">
        <f>$B$12*'05 - Relação de funcionários'!Y24</f>
        <v>803</v>
      </c>
      <c r="AQ12" s="63">
        <f>$B$12*'05 - Relação de funcionários'!Z24</f>
        <v>803</v>
      </c>
      <c r="AR12" s="63">
        <f>$B$12*'05 - Relação de funcionários'!AA24</f>
        <v>803</v>
      </c>
      <c r="AS12" s="63">
        <f>$B$12*'05 - Relação de funcionários'!AB24</f>
        <v>803</v>
      </c>
      <c r="AT12" s="63">
        <f>$B$12*'05 - Relação de funcionários'!AC24</f>
        <v>803</v>
      </c>
      <c r="AU12" s="63">
        <f>$B$12*'05 - Relação de funcionários'!AD24</f>
        <v>803</v>
      </c>
      <c r="AV12" s="63">
        <f>$B$12*'05 - Relação de funcionários'!AE24</f>
        <v>803</v>
      </c>
      <c r="AW12" s="63">
        <f>$B$7*'05 - Relação de funcionários'!AF24</f>
        <v>803</v>
      </c>
      <c r="AX12" s="63">
        <f>$B$7*'05 - Relação de funcionários'!AG24</f>
        <v>803</v>
      </c>
      <c r="AY12" s="63">
        <f>$B$7*'05 - Relação de funcionários'!AH24</f>
        <v>803</v>
      </c>
      <c r="AZ12" s="63">
        <f>$B$7*'05 - Relação de funcionários'!AI24</f>
        <v>803</v>
      </c>
      <c r="BA12" s="63">
        <f>$B$7*'05 - Relação de funcionários'!AJ24</f>
        <v>803</v>
      </c>
    </row>
    <row r="13" spans="1:53" ht="13.15" customHeight="1" x14ac:dyDescent="0.2">
      <c r="A13" s="15" t="s">
        <v>848</v>
      </c>
      <c r="B13" s="502">
        <f>C13*'01 - Dados de Entrada'!$C$86+D13*'01 - Dados de Entrada'!$C$87+E13*'01 - Dados de Entrada'!$C$88+F13*'01 - Dados de Entrada'!$C$89+G13*'01 - Dados de Entrada'!$C$90+H13*'01 - Dados de Entrada'!$C$91+I13*'01 - Dados de Entrada'!$C$92+J13*'01 - Dados de Entrada'!$C$93+K13*'01 - Dados de Entrada'!$C$94+L13*'01 - Dados de Entrada'!$C$95+M13*'01 - Dados de Entrada'!$C$96+'08 - Custos com EPI e uniformes'!N13*'01 - Dados de Entrada'!$C$97+O13*'01 - Dados de Entrada'!$C$98+P13*'01 - Dados de Entrada'!$C$99+Q13*'01 - Dados de Entrada'!$C$100</f>
        <v>803</v>
      </c>
      <c r="C13" s="502">
        <v>5</v>
      </c>
      <c r="D13" s="502">
        <v>2</v>
      </c>
      <c r="E13" s="502">
        <v>1</v>
      </c>
      <c r="F13" s="502">
        <v>0</v>
      </c>
      <c r="G13" s="502">
        <v>0</v>
      </c>
      <c r="H13" s="502">
        <v>0</v>
      </c>
      <c r="I13" s="502">
        <v>0</v>
      </c>
      <c r="J13" s="502">
        <v>0</v>
      </c>
      <c r="K13" s="502">
        <v>0</v>
      </c>
      <c r="L13" s="511">
        <v>0</v>
      </c>
      <c r="M13" s="511">
        <v>0</v>
      </c>
      <c r="N13" s="511">
        <v>0</v>
      </c>
      <c r="O13" s="511"/>
      <c r="P13" s="511"/>
      <c r="Q13" s="511"/>
      <c r="R13" s="511">
        <f t="shared" si="1"/>
        <v>84315</v>
      </c>
      <c r="S13" s="63">
        <f>$B$13*'05 - Relação de funcionários'!B25</f>
        <v>2409</v>
      </c>
      <c r="T13" s="63">
        <f>$B$13*'05 - Relação de funcionários'!C25</f>
        <v>2409</v>
      </c>
      <c r="U13" s="63">
        <f>$B$13*'05 - Relação de funcionários'!D25</f>
        <v>2409</v>
      </c>
      <c r="V13" s="63">
        <f>$B$13*'05 - Relação de funcionários'!E25</f>
        <v>2409</v>
      </c>
      <c r="W13" s="63">
        <f>$B$13*'05 - Relação de funcionários'!F25</f>
        <v>2409</v>
      </c>
      <c r="X13" s="63">
        <f>$B$13*'05 - Relação de funcionários'!G25</f>
        <v>2409</v>
      </c>
      <c r="Y13" s="63">
        <f>$B$13*'05 - Relação de funcionários'!H25</f>
        <v>2409</v>
      </c>
      <c r="Z13" s="63">
        <f>$B$13*'05 - Relação de funcionários'!I25</f>
        <v>2409</v>
      </c>
      <c r="AA13" s="63">
        <f>$B$13*'05 - Relação de funcionários'!J25</f>
        <v>2409</v>
      </c>
      <c r="AB13" s="63">
        <f>$B$13*'05 - Relação de funcionários'!K25</f>
        <v>2409</v>
      </c>
      <c r="AC13" s="63">
        <f>$B$13*'05 - Relação de funcionários'!L25</f>
        <v>2409</v>
      </c>
      <c r="AD13" s="63">
        <f>$B$13*'05 - Relação de funcionários'!M25</f>
        <v>2409</v>
      </c>
      <c r="AE13" s="63">
        <f>$B$13*'05 - Relação de funcionários'!N25</f>
        <v>2409</v>
      </c>
      <c r="AF13" s="63">
        <f>$B$13*'05 - Relação de funcionários'!O25</f>
        <v>2409</v>
      </c>
      <c r="AG13" s="63">
        <f>$B$13*'05 - Relação de funcionários'!P25</f>
        <v>2409</v>
      </c>
      <c r="AH13" s="63">
        <f>$B$13*'05 - Relação de funcionários'!Q25</f>
        <v>2409</v>
      </c>
      <c r="AI13" s="63">
        <f>$B$13*'05 - Relação de funcionários'!R25</f>
        <v>2409</v>
      </c>
      <c r="AJ13" s="63">
        <f>$B$13*'05 - Relação de funcionários'!S25</f>
        <v>2409</v>
      </c>
      <c r="AK13" s="63">
        <f>$B$13*'05 - Relação de funcionários'!T25</f>
        <v>2409</v>
      </c>
      <c r="AL13" s="63">
        <f>$B$13*'05 - Relação de funcionários'!U25</f>
        <v>2409</v>
      </c>
      <c r="AM13" s="63">
        <f>$B$13*'05 - Relação de funcionários'!V25</f>
        <v>2409</v>
      </c>
      <c r="AN13" s="63">
        <f>$B$13*'05 - Relação de funcionários'!W25</f>
        <v>2409</v>
      </c>
      <c r="AO13" s="63">
        <f>$B$13*'05 - Relação de funcionários'!X25</f>
        <v>2409</v>
      </c>
      <c r="AP13" s="63">
        <f>$B$13*'05 - Relação de funcionários'!Y25</f>
        <v>2409</v>
      </c>
      <c r="AQ13" s="63">
        <f>$B$13*'05 - Relação de funcionários'!Z25</f>
        <v>2409</v>
      </c>
      <c r="AR13" s="63">
        <f>$B$13*'05 - Relação de funcionários'!AA25</f>
        <v>2409</v>
      </c>
      <c r="AS13" s="63">
        <f>$B$13*'05 - Relação de funcionários'!AB25</f>
        <v>2409</v>
      </c>
      <c r="AT13" s="63">
        <f>$B$13*'05 - Relação de funcionários'!AC25</f>
        <v>2409</v>
      </c>
      <c r="AU13" s="63">
        <f>$B$13*'05 - Relação de funcionários'!AD25</f>
        <v>2409</v>
      </c>
      <c r="AV13" s="63">
        <f>$B$13*'05 - Relação de funcionários'!AE25</f>
        <v>2409</v>
      </c>
      <c r="AW13" s="63">
        <f>$B$7*'05 - Relação de funcionários'!AF25</f>
        <v>2409</v>
      </c>
      <c r="AX13" s="63">
        <f>$B$7*'05 - Relação de funcionários'!AG25</f>
        <v>2409</v>
      </c>
      <c r="AY13" s="63">
        <f>$B$7*'05 - Relação de funcionários'!AH25</f>
        <v>2409</v>
      </c>
      <c r="AZ13" s="63">
        <f>$B$7*'05 - Relação de funcionários'!AI25</f>
        <v>2409</v>
      </c>
      <c r="BA13" s="63">
        <f>$B$7*'05 - Relação de funcionários'!AJ25</f>
        <v>2409</v>
      </c>
    </row>
    <row r="14" spans="1:53" ht="13.15" customHeight="1" x14ac:dyDescent="0.2">
      <c r="A14" s="15" t="s">
        <v>849</v>
      </c>
      <c r="B14" s="502">
        <f>C14*'01 - Dados de Entrada'!$C$86+D14*'01 - Dados de Entrada'!$C$87+E14*'01 - Dados de Entrada'!$C$88+F14*'01 - Dados de Entrada'!$C$89+G14*'01 - Dados de Entrada'!$C$90+H14*'01 - Dados de Entrada'!$C$91+I14*'01 - Dados de Entrada'!$C$92+J14*'01 - Dados de Entrada'!$C$93+K14*'01 - Dados de Entrada'!$C$94+L14*'01 - Dados de Entrada'!$C$95+M14*'01 - Dados de Entrada'!$C$96+'08 - Custos com EPI e uniformes'!N14*'01 - Dados de Entrada'!$C$97+O14*'01 - Dados de Entrada'!$C$98+P14*'01 - Dados de Entrada'!$C$99+Q14*'01 - Dados de Entrada'!$C$100</f>
        <v>803</v>
      </c>
      <c r="C14" s="502">
        <v>5</v>
      </c>
      <c r="D14" s="502">
        <v>2</v>
      </c>
      <c r="E14" s="502">
        <v>1</v>
      </c>
      <c r="F14" s="502">
        <v>0</v>
      </c>
      <c r="G14" s="502">
        <v>0</v>
      </c>
      <c r="H14" s="502">
        <v>0</v>
      </c>
      <c r="I14" s="502">
        <v>0</v>
      </c>
      <c r="J14" s="502">
        <v>0</v>
      </c>
      <c r="K14" s="502">
        <v>0</v>
      </c>
      <c r="L14" s="511">
        <v>0</v>
      </c>
      <c r="M14" s="511">
        <v>0</v>
      </c>
      <c r="N14" s="511">
        <v>0</v>
      </c>
      <c r="O14" s="511"/>
      <c r="P14" s="511"/>
      <c r="Q14" s="511"/>
      <c r="R14" s="511">
        <f t="shared" si="1"/>
        <v>28105</v>
      </c>
      <c r="S14" s="63">
        <f>$B$14*'05 - Relação de funcionários'!B26</f>
        <v>803</v>
      </c>
      <c r="T14" s="63">
        <f>$B$14*'05 - Relação de funcionários'!C26</f>
        <v>803</v>
      </c>
      <c r="U14" s="63">
        <f>$B$14*'05 - Relação de funcionários'!D26</f>
        <v>803</v>
      </c>
      <c r="V14" s="63">
        <f>$B$14*'05 - Relação de funcionários'!E26</f>
        <v>803</v>
      </c>
      <c r="W14" s="63">
        <f>$B$14*'05 - Relação de funcionários'!F26</f>
        <v>803</v>
      </c>
      <c r="X14" s="63">
        <f>$B$14*'05 - Relação de funcionários'!G26</f>
        <v>803</v>
      </c>
      <c r="Y14" s="63">
        <f>$B$14*'05 - Relação de funcionários'!H26</f>
        <v>803</v>
      </c>
      <c r="Z14" s="63">
        <f>$B$14*'05 - Relação de funcionários'!I26</f>
        <v>803</v>
      </c>
      <c r="AA14" s="63">
        <f>$B$14*'05 - Relação de funcionários'!J26</f>
        <v>803</v>
      </c>
      <c r="AB14" s="63">
        <f>$B$14*'05 - Relação de funcionários'!K26</f>
        <v>803</v>
      </c>
      <c r="AC14" s="63">
        <f>$B$14*'05 - Relação de funcionários'!L26</f>
        <v>803</v>
      </c>
      <c r="AD14" s="63">
        <f>$B$14*'05 - Relação de funcionários'!M26</f>
        <v>803</v>
      </c>
      <c r="AE14" s="63">
        <f>$B$14*'05 - Relação de funcionários'!N26</f>
        <v>803</v>
      </c>
      <c r="AF14" s="63">
        <f>$B$14*'05 - Relação de funcionários'!O26</f>
        <v>803</v>
      </c>
      <c r="AG14" s="63">
        <f>$B$14*'05 - Relação de funcionários'!P26</f>
        <v>803</v>
      </c>
      <c r="AH14" s="63">
        <f>$B$14*'05 - Relação de funcionários'!Q26</f>
        <v>803</v>
      </c>
      <c r="AI14" s="63">
        <f>$B$14*'05 - Relação de funcionários'!R26</f>
        <v>803</v>
      </c>
      <c r="AJ14" s="63">
        <f>$B$14*'05 - Relação de funcionários'!S26</f>
        <v>803</v>
      </c>
      <c r="AK14" s="63">
        <f>$B$14*'05 - Relação de funcionários'!T26</f>
        <v>803</v>
      </c>
      <c r="AL14" s="63">
        <f>$B$14*'05 - Relação de funcionários'!U26</f>
        <v>803</v>
      </c>
      <c r="AM14" s="63">
        <f>$B$14*'05 - Relação de funcionários'!V26</f>
        <v>803</v>
      </c>
      <c r="AN14" s="63">
        <f>$B$14*'05 - Relação de funcionários'!W26</f>
        <v>803</v>
      </c>
      <c r="AO14" s="63">
        <f>$B$14*'05 - Relação de funcionários'!X26</f>
        <v>803</v>
      </c>
      <c r="AP14" s="63">
        <f>$B$14*'05 - Relação de funcionários'!Y26</f>
        <v>803</v>
      </c>
      <c r="AQ14" s="63">
        <f>$B$14*'05 - Relação de funcionários'!Z26</f>
        <v>803</v>
      </c>
      <c r="AR14" s="63">
        <f>$B$14*'05 - Relação de funcionários'!AA26</f>
        <v>803</v>
      </c>
      <c r="AS14" s="63">
        <f>$B$14*'05 - Relação de funcionários'!AB26</f>
        <v>803</v>
      </c>
      <c r="AT14" s="63">
        <f>$B$14*'05 - Relação de funcionários'!AC26</f>
        <v>803</v>
      </c>
      <c r="AU14" s="63">
        <f>$B$14*'05 - Relação de funcionários'!AD26</f>
        <v>803</v>
      </c>
      <c r="AV14" s="63">
        <f>$B$14*'05 - Relação de funcionários'!AE26</f>
        <v>803</v>
      </c>
      <c r="AW14" s="63">
        <f>$B$7*'05 - Relação de funcionários'!AF26</f>
        <v>803</v>
      </c>
      <c r="AX14" s="63">
        <f>$B$7*'05 - Relação de funcionários'!AG26</f>
        <v>803</v>
      </c>
      <c r="AY14" s="63">
        <f>$B$7*'05 - Relação de funcionários'!AH26</f>
        <v>803</v>
      </c>
      <c r="AZ14" s="63">
        <f>$B$7*'05 - Relação de funcionários'!AI26</f>
        <v>803</v>
      </c>
      <c r="BA14" s="63">
        <f>$B$7*'05 - Relação de funcionários'!AJ26</f>
        <v>803</v>
      </c>
    </row>
    <row r="15" spans="1:53" ht="13.15" customHeight="1" x14ac:dyDescent="0.2">
      <c r="A15" s="15" t="s">
        <v>850</v>
      </c>
      <c r="B15" s="502">
        <f>C15*'01 - Dados de Entrada'!$C$86+D15*'01 - Dados de Entrada'!$C$87+E15*'01 - Dados de Entrada'!$C$88+F15*'01 - Dados de Entrada'!$C$89+G15*'01 - Dados de Entrada'!$C$90+H15*'01 - Dados de Entrada'!$C$91+I15*'01 - Dados de Entrada'!$C$92+J15*'01 - Dados de Entrada'!$C$93+K15*'01 - Dados de Entrada'!$C$94+L15*'01 - Dados de Entrada'!$C$95+M15*'01 - Dados de Entrada'!$C$96+'08 - Custos com EPI e uniformes'!N15*'01 - Dados de Entrada'!$C$97+O15*'01 - Dados de Entrada'!$C$98+P15*'01 - Dados de Entrada'!$C$99+Q15*'01 - Dados de Entrada'!$C$100</f>
        <v>803</v>
      </c>
      <c r="C15" s="502">
        <v>5</v>
      </c>
      <c r="D15" s="502">
        <v>2</v>
      </c>
      <c r="E15" s="502">
        <v>1</v>
      </c>
      <c r="F15" s="502">
        <v>0</v>
      </c>
      <c r="G15" s="502">
        <v>0</v>
      </c>
      <c r="H15" s="502">
        <v>0</v>
      </c>
      <c r="I15" s="502">
        <v>0</v>
      </c>
      <c r="J15" s="502">
        <v>0</v>
      </c>
      <c r="K15" s="502">
        <v>0</v>
      </c>
      <c r="L15" s="511">
        <v>0</v>
      </c>
      <c r="M15" s="511">
        <v>0</v>
      </c>
      <c r="N15" s="511">
        <v>0</v>
      </c>
      <c r="O15" s="511"/>
      <c r="P15" s="511"/>
      <c r="Q15" s="511"/>
      <c r="R15" s="511">
        <f t="shared" si="1"/>
        <v>28105</v>
      </c>
      <c r="S15" s="63">
        <f>$B$15*'05 - Relação de funcionários'!B27</f>
        <v>803</v>
      </c>
      <c r="T15" s="63">
        <f>$B$15*'05 - Relação de funcionários'!C27</f>
        <v>803</v>
      </c>
      <c r="U15" s="63">
        <f>$B$15*'05 - Relação de funcionários'!D27</f>
        <v>803</v>
      </c>
      <c r="V15" s="63">
        <f>$B$15*'05 - Relação de funcionários'!E27</f>
        <v>803</v>
      </c>
      <c r="W15" s="63">
        <f>$B$15*'05 - Relação de funcionários'!F27</f>
        <v>803</v>
      </c>
      <c r="X15" s="63">
        <f>$B$15*'05 - Relação de funcionários'!G27</f>
        <v>803</v>
      </c>
      <c r="Y15" s="63">
        <f>$B$15*'05 - Relação de funcionários'!H27</f>
        <v>803</v>
      </c>
      <c r="Z15" s="63">
        <f>$B$15*'05 - Relação de funcionários'!I27</f>
        <v>803</v>
      </c>
      <c r="AA15" s="63">
        <f>$B$15*'05 - Relação de funcionários'!J27</f>
        <v>803</v>
      </c>
      <c r="AB15" s="63">
        <f>$B$15*'05 - Relação de funcionários'!K27</f>
        <v>803</v>
      </c>
      <c r="AC15" s="63">
        <f>$B$15*'05 - Relação de funcionários'!L27</f>
        <v>803</v>
      </c>
      <c r="AD15" s="63">
        <f>$B$15*'05 - Relação de funcionários'!M27</f>
        <v>803</v>
      </c>
      <c r="AE15" s="63">
        <f>$B$15*'05 - Relação de funcionários'!N27</f>
        <v>803</v>
      </c>
      <c r="AF15" s="63">
        <f>$B$15*'05 - Relação de funcionários'!O27</f>
        <v>803</v>
      </c>
      <c r="AG15" s="63">
        <f>$B$15*'05 - Relação de funcionários'!P27</f>
        <v>803</v>
      </c>
      <c r="AH15" s="63">
        <f>$B$15*'05 - Relação de funcionários'!Q27</f>
        <v>803</v>
      </c>
      <c r="AI15" s="63">
        <f>$B$15*'05 - Relação de funcionários'!R27</f>
        <v>803</v>
      </c>
      <c r="AJ15" s="63">
        <f>$B$15*'05 - Relação de funcionários'!S27</f>
        <v>803</v>
      </c>
      <c r="AK15" s="63">
        <f>$B$15*'05 - Relação de funcionários'!T27</f>
        <v>803</v>
      </c>
      <c r="AL15" s="63">
        <f>$B$15*'05 - Relação de funcionários'!U27</f>
        <v>803</v>
      </c>
      <c r="AM15" s="63">
        <f>$B$15*'05 - Relação de funcionários'!V27</f>
        <v>803</v>
      </c>
      <c r="AN15" s="63">
        <f>$B$15*'05 - Relação de funcionários'!W27</f>
        <v>803</v>
      </c>
      <c r="AO15" s="63">
        <f>$B$15*'05 - Relação de funcionários'!X27</f>
        <v>803</v>
      </c>
      <c r="AP15" s="63">
        <f>$B$15*'05 - Relação de funcionários'!Y27</f>
        <v>803</v>
      </c>
      <c r="AQ15" s="63">
        <f>$B$15*'05 - Relação de funcionários'!Z27</f>
        <v>803</v>
      </c>
      <c r="AR15" s="63">
        <f>$B$15*'05 - Relação de funcionários'!AA27</f>
        <v>803</v>
      </c>
      <c r="AS15" s="63">
        <f>$B$15*'05 - Relação de funcionários'!AB27</f>
        <v>803</v>
      </c>
      <c r="AT15" s="63">
        <f>$B$15*'05 - Relação de funcionários'!AC27</f>
        <v>803</v>
      </c>
      <c r="AU15" s="63">
        <f>$B$15*'05 - Relação de funcionários'!AD27</f>
        <v>803</v>
      </c>
      <c r="AV15" s="63">
        <f>$B$15*'05 - Relação de funcionários'!AE27</f>
        <v>803</v>
      </c>
      <c r="AW15" s="63">
        <f>$B$15*'05 - Relação de funcionários'!AF27</f>
        <v>803</v>
      </c>
      <c r="AX15" s="63">
        <f>$B$15*'05 - Relação de funcionários'!AG27</f>
        <v>803</v>
      </c>
      <c r="AY15" s="63">
        <f>$B$15*'05 - Relação de funcionários'!AH27</f>
        <v>803</v>
      </c>
      <c r="AZ15" s="63">
        <f>$B$15*'05 - Relação de funcionários'!AI27</f>
        <v>803</v>
      </c>
      <c r="BA15" s="63">
        <f>$B$15*'05 - Relação de funcionários'!AJ27</f>
        <v>803</v>
      </c>
    </row>
    <row r="16" spans="1:53" ht="13.15" customHeight="1" x14ac:dyDescent="0.2">
      <c r="A16" s="15" t="s">
        <v>851</v>
      </c>
      <c r="B16" s="502">
        <f>C16*'01 - Dados de Entrada'!$C$86+D16*'01 - Dados de Entrada'!$C$87+E16*'01 - Dados de Entrada'!$C$88+F16*'01 - Dados de Entrada'!$C$89+G16*'01 - Dados de Entrada'!$C$90+H16*'01 - Dados de Entrada'!$C$91+I16*'01 - Dados de Entrada'!$C$92+J16*'01 - Dados de Entrada'!$C$93+K16*'01 - Dados de Entrada'!$C$94+L16*'01 - Dados de Entrada'!$C$95+M16*'01 - Dados de Entrada'!$C$96+'08 - Custos com EPI e uniformes'!N16*'01 - Dados de Entrada'!$C$97+O16*'01 - Dados de Entrada'!$C$98+P16*'01 - Dados de Entrada'!$C$99+Q16*'01 - Dados de Entrada'!$C$100</f>
        <v>803</v>
      </c>
      <c r="C16" s="502">
        <v>5</v>
      </c>
      <c r="D16" s="502">
        <v>2</v>
      </c>
      <c r="E16" s="502">
        <v>1</v>
      </c>
      <c r="F16" s="502">
        <v>0</v>
      </c>
      <c r="G16" s="502">
        <v>0</v>
      </c>
      <c r="H16" s="502">
        <v>0</v>
      </c>
      <c r="I16" s="502">
        <v>0</v>
      </c>
      <c r="J16" s="502">
        <v>0</v>
      </c>
      <c r="K16" s="502">
        <v>0</v>
      </c>
      <c r="L16" s="511">
        <v>0</v>
      </c>
      <c r="M16" s="511">
        <v>0</v>
      </c>
      <c r="N16" s="511">
        <v>0</v>
      </c>
      <c r="O16" s="511"/>
      <c r="P16" s="511"/>
      <c r="Q16" s="511"/>
      <c r="R16" s="511">
        <f t="shared" si="1"/>
        <v>28105</v>
      </c>
      <c r="S16" s="63">
        <f>$B$16*'05 - Relação de funcionários'!B28</f>
        <v>803</v>
      </c>
      <c r="T16" s="63">
        <f>$B$16*'05 - Relação de funcionários'!C28</f>
        <v>803</v>
      </c>
      <c r="U16" s="63">
        <f>$B$16*'05 - Relação de funcionários'!D28</f>
        <v>803</v>
      </c>
      <c r="V16" s="63">
        <f>$B$16*'05 - Relação de funcionários'!E28</f>
        <v>803</v>
      </c>
      <c r="W16" s="63">
        <f>$B$16*'05 - Relação de funcionários'!F28</f>
        <v>803</v>
      </c>
      <c r="X16" s="63">
        <f>$B$16*'05 - Relação de funcionários'!G28</f>
        <v>803</v>
      </c>
      <c r="Y16" s="63">
        <f>$B$16*'05 - Relação de funcionários'!H28</f>
        <v>803</v>
      </c>
      <c r="Z16" s="63">
        <f>$B$16*'05 - Relação de funcionários'!I28</f>
        <v>803</v>
      </c>
      <c r="AA16" s="63">
        <f>$B$16*'05 - Relação de funcionários'!J28</f>
        <v>803</v>
      </c>
      <c r="AB16" s="63">
        <f>$B$16*'05 - Relação de funcionários'!K28</f>
        <v>803</v>
      </c>
      <c r="AC16" s="63">
        <f>$B$16*'05 - Relação de funcionários'!L28</f>
        <v>803</v>
      </c>
      <c r="AD16" s="63">
        <f>$B$16*'05 - Relação de funcionários'!M28</f>
        <v>803</v>
      </c>
      <c r="AE16" s="63">
        <f>$B$16*'05 - Relação de funcionários'!N28</f>
        <v>803</v>
      </c>
      <c r="AF16" s="63">
        <f>$B$16*'05 - Relação de funcionários'!O28</f>
        <v>803</v>
      </c>
      <c r="AG16" s="63">
        <f>$B$16*'05 - Relação de funcionários'!P28</f>
        <v>803</v>
      </c>
      <c r="AH16" s="63">
        <f>$B$16*'05 - Relação de funcionários'!Q28</f>
        <v>803</v>
      </c>
      <c r="AI16" s="63">
        <f>$B$16*'05 - Relação de funcionários'!R28</f>
        <v>803</v>
      </c>
      <c r="AJ16" s="63">
        <f>$B$16*'05 - Relação de funcionários'!S28</f>
        <v>803</v>
      </c>
      <c r="AK16" s="63">
        <f>$B$16*'05 - Relação de funcionários'!T28</f>
        <v>803</v>
      </c>
      <c r="AL16" s="63">
        <f>$B$16*'05 - Relação de funcionários'!U28</f>
        <v>803</v>
      </c>
      <c r="AM16" s="63">
        <f>$B$16*'05 - Relação de funcionários'!V28</f>
        <v>803</v>
      </c>
      <c r="AN16" s="63">
        <f>$B$16*'05 - Relação de funcionários'!W28</f>
        <v>803</v>
      </c>
      <c r="AO16" s="63">
        <f>$B$16*'05 - Relação de funcionários'!X28</f>
        <v>803</v>
      </c>
      <c r="AP16" s="63">
        <f>$B$16*'05 - Relação de funcionários'!Y28</f>
        <v>803</v>
      </c>
      <c r="AQ16" s="63">
        <f>$B$16*'05 - Relação de funcionários'!Z28</f>
        <v>803</v>
      </c>
      <c r="AR16" s="63">
        <f>$B$16*'05 - Relação de funcionários'!AA28</f>
        <v>803</v>
      </c>
      <c r="AS16" s="63">
        <f>$B$16*'05 - Relação de funcionários'!AB28</f>
        <v>803</v>
      </c>
      <c r="AT16" s="63">
        <f>$B$16*'05 - Relação de funcionários'!AC28</f>
        <v>803</v>
      </c>
      <c r="AU16" s="63">
        <f>$B$16*'05 - Relação de funcionários'!AD28</f>
        <v>803</v>
      </c>
      <c r="AV16" s="63">
        <f>$B$16*'05 - Relação de funcionários'!AE28</f>
        <v>803</v>
      </c>
      <c r="AW16" s="63">
        <f>$B$7*'05 - Relação de funcionários'!AF28</f>
        <v>803</v>
      </c>
      <c r="AX16" s="63">
        <f>$B$7*'05 - Relação de funcionários'!AG28</f>
        <v>803</v>
      </c>
      <c r="AY16" s="63">
        <f>$B$7*'05 - Relação de funcionários'!AH28</f>
        <v>803</v>
      </c>
      <c r="AZ16" s="63">
        <f>$B$7*'05 - Relação de funcionários'!AI28</f>
        <v>803</v>
      </c>
      <c r="BA16" s="63">
        <f>$B$7*'05 - Relação de funcionários'!AJ28</f>
        <v>803</v>
      </c>
    </row>
    <row r="17" spans="1:53" ht="13.15" customHeight="1" x14ac:dyDescent="0.2">
      <c r="A17" s="15" t="s">
        <v>852</v>
      </c>
      <c r="B17" s="502">
        <f>C17*'01 - Dados de Entrada'!$C$86+D17*'01 - Dados de Entrada'!$C$87+E17*'01 - Dados de Entrada'!$C$88+F17*'01 - Dados de Entrada'!$C$89+G17*'01 - Dados de Entrada'!$C$90+H17*'01 - Dados de Entrada'!$C$91+I17*'01 - Dados de Entrada'!$C$92+J17*'01 - Dados de Entrada'!$C$93+K17*'01 - Dados de Entrada'!$C$94+L17*'01 - Dados de Entrada'!$C$95+M17*'01 - Dados de Entrada'!$C$96+'08 - Custos com EPI e uniformes'!N17*'01 - Dados de Entrada'!$C$97+O17*'01 - Dados de Entrada'!$C$98+P17*'01 - Dados de Entrada'!$C$99+Q17*'01 - Dados de Entrada'!$C$100</f>
        <v>803</v>
      </c>
      <c r="C17" s="502">
        <v>5</v>
      </c>
      <c r="D17" s="502">
        <v>2</v>
      </c>
      <c r="E17" s="502">
        <v>1</v>
      </c>
      <c r="F17" s="502">
        <v>0</v>
      </c>
      <c r="G17" s="502">
        <v>0</v>
      </c>
      <c r="H17" s="502">
        <v>0</v>
      </c>
      <c r="I17" s="502">
        <v>0</v>
      </c>
      <c r="J17" s="502">
        <v>0</v>
      </c>
      <c r="K17" s="502">
        <v>0</v>
      </c>
      <c r="L17" s="511">
        <v>0</v>
      </c>
      <c r="M17" s="511">
        <v>0</v>
      </c>
      <c r="N17" s="511">
        <v>0</v>
      </c>
      <c r="O17" s="511"/>
      <c r="P17" s="511"/>
      <c r="Q17" s="511"/>
      <c r="R17" s="511">
        <f t="shared" si="1"/>
        <v>28105</v>
      </c>
      <c r="S17" s="63">
        <f>$B$17*'05 - Relação de funcionários'!B29</f>
        <v>803</v>
      </c>
      <c r="T17" s="63">
        <f>$B$17*'05 - Relação de funcionários'!C29</f>
        <v>803</v>
      </c>
      <c r="U17" s="63">
        <f>$B$17*'05 - Relação de funcionários'!D29</f>
        <v>803</v>
      </c>
      <c r="V17" s="63">
        <f>$B$17*'05 - Relação de funcionários'!E29</f>
        <v>803</v>
      </c>
      <c r="W17" s="63">
        <f>$B$17*'05 - Relação de funcionários'!F29</f>
        <v>803</v>
      </c>
      <c r="X17" s="63">
        <f>$B$17*'05 - Relação de funcionários'!G29</f>
        <v>803</v>
      </c>
      <c r="Y17" s="63">
        <f>$B$17*'05 - Relação de funcionários'!H29</f>
        <v>803</v>
      </c>
      <c r="Z17" s="63">
        <f>$B$17*'05 - Relação de funcionários'!I29</f>
        <v>803</v>
      </c>
      <c r="AA17" s="63">
        <f>$B$17*'05 - Relação de funcionários'!J29</f>
        <v>803</v>
      </c>
      <c r="AB17" s="63">
        <f>$B$17*'05 - Relação de funcionários'!K29</f>
        <v>803</v>
      </c>
      <c r="AC17" s="63">
        <f>$B$17*'05 - Relação de funcionários'!L29</f>
        <v>803</v>
      </c>
      <c r="AD17" s="63">
        <f>$B$17*'05 - Relação de funcionários'!M29</f>
        <v>803</v>
      </c>
      <c r="AE17" s="63">
        <f>$B$17*'05 - Relação de funcionários'!N29</f>
        <v>803</v>
      </c>
      <c r="AF17" s="63">
        <f>$B$17*'05 - Relação de funcionários'!O29</f>
        <v>803</v>
      </c>
      <c r="AG17" s="63">
        <f>$B$17*'05 - Relação de funcionários'!P29</f>
        <v>803</v>
      </c>
      <c r="AH17" s="63">
        <f>$B$17*'05 - Relação de funcionários'!Q29</f>
        <v>803</v>
      </c>
      <c r="AI17" s="63">
        <f>$B$17*'05 - Relação de funcionários'!R29</f>
        <v>803</v>
      </c>
      <c r="AJ17" s="63">
        <f>$B$17*'05 - Relação de funcionários'!S29</f>
        <v>803</v>
      </c>
      <c r="AK17" s="63">
        <f>$B$17*'05 - Relação de funcionários'!T29</f>
        <v>803</v>
      </c>
      <c r="AL17" s="63">
        <f>$B$17*'05 - Relação de funcionários'!U29</f>
        <v>803</v>
      </c>
      <c r="AM17" s="63">
        <f>$B$17*'05 - Relação de funcionários'!V29</f>
        <v>803</v>
      </c>
      <c r="AN17" s="63">
        <f>$B$17*'05 - Relação de funcionários'!W29</f>
        <v>803</v>
      </c>
      <c r="AO17" s="63">
        <f>$B$17*'05 - Relação de funcionários'!X29</f>
        <v>803</v>
      </c>
      <c r="AP17" s="63">
        <f>$B$17*'05 - Relação de funcionários'!Y29</f>
        <v>803</v>
      </c>
      <c r="AQ17" s="63">
        <f>$B$17*'05 - Relação de funcionários'!Z29</f>
        <v>803</v>
      </c>
      <c r="AR17" s="63">
        <f>$B$17*'05 - Relação de funcionários'!AA29</f>
        <v>803</v>
      </c>
      <c r="AS17" s="63">
        <f>$B$17*'05 - Relação de funcionários'!AB29</f>
        <v>803</v>
      </c>
      <c r="AT17" s="63">
        <f>$B$17*'05 - Relação de funcionários'!AC29</f>
        <v>803</v>
      </c>
      <c r="AU17" s="63">
        <f>$B$17*'05 - Relação de funcionários'!AD29</f>
        <v>803</v>
      </c>
      <c r="AV17" s="63">
        <f>$B$17*'05 - Relação de funcionários'!AE29</f>
        <v>803</v>
      </c>
      <c r="AW17" s="63">
        <f>$B$7*'05 - Relação de funcionários'!AF29</f>
        <v>803</v>
      </c>
      <c r="AX17" s="63">
        <f>$B$7*'05 - Relação de funcionários'!AG29</f>
        <v>803</v>
      </c>
      <c r="AY17" s="63">
        <f>$B$7*'05 - Relação de funcionários'!AH29</f>
        <v>803</v>
      </c>
      <c r="AZ17" s="63">
        <f>$B$7*'05 - Relação de funcionários'!AI29</f>
        <v>803</v>
      </c>
      <c r="BA17" s="63">
        <f>$B$7*'05 - Relação de funcionários'!AJ29</f>
        <v>803</v>
      </c>
    </row>
    <row r="18" spans="1:53" ht="13.15" customHeight="1" x14ac:dyDescent="0.2">
      <c r="A18" s="15" t="s">
        <v>853</v>
      </c>
      <c r="B18" s="502">
        <f>C18*'01 - Dados de Entrada'!$C$86+D18*'01 - Dados de Entrada'!$C$87+E18*'01 - Dados de Entrada'!$C$88+F18*'01 - Dados de Entrada'!$C$89+G18*'01 - Dados de Entrada'!$C$90+H18*'01 - Dados de Entrada'!$C$91+I18*'01 - Dados de Entrada'!$C$92+J18*'01 - Dados de Entrada'!$C$93+K18*'01 - Dados de Entrada'!$C$94+L18*'01 - Dados de Entrada'!$C$95+M18*'01 - Dados de Entrada'!$C$96+'08 - Custos com EPI e uniformes'!N18*'01 - Dados de Entrada'!$C$97+O18*'01 - Dados de Entrada'!$C$98+P18*'01 - Dados de Entrada'!$C$99+Q18*'01 - Dados de Entrada'!$C$100</f>
        <v>803</v>
      </c>
      <c r="C18" s="502">
        <v>5</v>
      </c>
      <c r="D18" s="502">
        <v>2</v>
      </c>
      <c r="E18" s="502">
        <v>1</v>
      </c>
      <c r="F18" s="502">
        <v>0</v>
      </c>
      <c r="G18" s="502">
        <v>0</v>
      </c>
      <c r="H18" s="502">
        <v>0</v>
      </c>
      <c r="I18" s="502">
        <v>0</v>
      </c>
      <c r="J18" s="502">
        <v>0</v>
      </c>
      <c r="K18" s="502">
        <v>0</v>
      </c>
      <c r="L18" s="511">
        <v>0</v>
      </c>
      <c r="M18" s="511">
        <v>0</v>
      </c>
      <c r="N18" s="511">
        <v>0</v>
      </c>
      <c r="O18" s="511"/>
      <c r="P18" s="511"/>
      <c r="Q18" s="511"/>
      <c r="R18" s="511">
        <f t="shared" si="1"/>
        <v>28105</v>
      </c>
      <c r="S18" s="63">
        <f>$B$18*'05 - Relação de funcionários'!B30</f>
        <v>803</v>
      </c>
      <c r="T18" s="63">
        <f>$B$18*'05 - Relação de funcionários'!C30</f>
        <v>803</v>
      </c>
      <c r="U18" s="63">
        <f>$B$18*'05 - Relação de funcionários'!D30</f>
        <v>803</v>
      </c>
      <c r="V18" s="63">
        <f>$B$18*'05 - Relação de funcionários'!E30</f>
        <v>803</v>
      </c>
      <c r="W18" s="63">
        <f>$B$18*'05 - Relação de funcionários'!F30</f>
        <v>803</v>
      </c>
      <c r="X18" s="63">
        <f>$B$18*'05 - Relação de funcionários'!G30</f>
        <v>803</v>
      </c>
      <c r="Y18" s="63">
        <f>$B$18*'05 - Relação de funcionários'!H30</f>
        <v>803</v>
      </c>
      <c r="Z18" s="63">
        <f>$B$18*'05 - Relação de funcionários'!I30</f>
        <v>803</v>
      </c>
      <c r="AA18" s="63">
        <f>$B$18*'05 - Relação de funcionários'!J30</f>
        <v>803</v>
      </c>
      <c r="AB18" s="63">
        <f>$B$18*'05 - Relação de funcionários'!K30</f>
        <v>803</v>
      </c>
      <c r="AC18" s="63">
        <f>$B$18*'05 - Relação de funcionários'!L30</f>
        <v>803</v>
      </c>
      <c r="AD18" s="63">
        <f>$B$18*'05 - Relação de funcionários'!M30</f>
        <v>803</v>
      </c>
      <c r="AE18" s="63">
        <f>$B$18*'05 - Relação de funcionários'!N30</f>
        <v>803</v>
      </c>
      <c r="AF18" s="63">
        <f>$B$18*'05 - Relação de funcionários'!O30</f>
        <v>803</v>
      </c>
      <c r="AG18" s="63">
        <f>$B$18*'05 - Relação de funcionários'!P30</f>
        <v>803</v>
      </c>
      <c r="AH18" s="63">
        <f>$B$18*'05 - Relação de funcionários'!Q30</f>
        <v>803</v>
      </c>
      <c r="AI18" s="63">
        <f>$B$18*'05 - Relação de funcionários'!R30</f>
        <v>803</v>
      </c>
      <c r="AJ18" s="63">
        <f>$B$18*'05 - Relação de funcionários'!S30</f>
        <v>803</v>
      </c>
      <c r="AK18" s="63">
        <f>$B$18*'05 - Relação de funcionários'!T30</f>
        <v>803</v>
      </c>
      <c r="AL18" s="63">
        <f>$B$18*'05 - Relação de funcionários'!U30</f>
        <v>803</v>
      </c>
      <c r="AM18" s="63">
        <f>$B$18*'05 - Relação de funcionários'!V30</f>
        <v>803</v>
      </c>
      <c r="AN18" s="63">
        <f>$B$18*'05 - Relação de funcionários'!W30</f>
        <v>803</v>
      </c>
      <c r="AO18" s="63">
        <f>$B$18*'05 - Relação de funcionários'!X30</f>
        <v>803</v>
      </c>
      <c r="AP18" s="63">
        <f>$B$18*'05 - Relação de funcionários'!Y30</f>
        <v>803</v>
      </c>
      <c r="AQ18" s="63">
        <f>$B$18*'05 - Relação de funcionários'!Z30</f>
        <v>803</v>
      </c>
      <c r="AR18" s="63">
        <f>$B$18*'05 - Relação de funcionários'!AA30</f>
        <v>803</v>
      </c>
      <c r="AS18" s="63">
        <f>$B$18*'05 - Relação de funcionários'!AB30</f>
        <v>803</v>
      </c>
      <c r="AT18" s="63">
        <f>$B$18*'05 - Relação de funcionários'!AC30</f>
        <v>803</v>
      </c>
      <c r="AU18" s="63">
        <f>$B$18*'05 - Relação de funcionários'!AD30</f>
        <v>803</v>
      </c>
      <c r="AV18" s="63">
        <f>$B$18*'05 - Relação de funcionários'!AE30</f>
        <v>803</v>
      </c>
      <c r="AW18" s="63">
        <f>$B$7*'05 - Relação de funcionários'!AF30</f>
        <v>803</v>
      </c>
      <c r="AX18" s="63">
        <f>$B$7*'05 - Relação de funcionários'!AG30</f>
        <v>803</v>
      </c>
      <c r="AY18" s="63">
        <f>$B$7*'05 - Relação de funcionários'!AH30</f>
        <v>803</v>
      </c>
      <c r="AZ18" s="63">
        <f>$B$7*'05 - Relação de funcionários'!AI30</f>
        <v>803</v>
      </c>
      <c r="BA18" s="63">
        <f>$B$7*'05 - Relação de funcionários'!AJ30</f>
        <v>803</v>
      </c>
    </row>
    <row r="19" spans="1:53" ht="13.15" customHeight="1" x14ac:dyDescent="0.2">
      <c r="A19" s="15" t="s">
        <v>854</v>
      </c>
      <c r="B19" s="502">
        <f>C19*'01 - Dados de Entrada'!$C$86+D19*'01 - Dados de Entrada'!$C$87+E19*'01 - Dados de Entrada'!$C$88+F19*'01 - Dados de Entrada'!$C$89+G19*'01 - Dados de Entrada'!$C$90+H19*'01 - Dados de Entrada'!$C$91+I19*'01 - Dados de Entrada'!$C$92+J19*'01 - Dados de Entrada'!$C$93+K19*'01 - Dados de Entrada'!$C$94+L19*'01 - Dados de Entrada'!$C$95+M19*'01 - Dados de Entrada'!$C$96+'08 - Custos com EPI e uniformes'!N19*'01 - Dados de Entrada'!$C$97+O19*'01 - Dados de Entrada'!$C$98+P19*'01 - Dados de Entrada'!$C$99+Q19*'01 - Dados de Entrada'!$C$100</f>
        <v>803</v>
      </c>
      <c r="C19" s="502">
        <v>5</v>
      </c>
      <c r="D19" s="502">
        <v>2</v>
      </c>
      <c r="E19" s="502">
        <v>1</v>
      </c>
      <c r="F19" s="502">
        <v>0</v>
      </c>
      <c r="G19" s="502">
        <v>0</v>
      </c>
      <c r="H19" s="502">
        <v>0</v>
      </c>
      <c r="I19" s="502">
        <v>0</v>
      </c>
      <c r="J19" s="502">
        <v>0</v>
      </c>
      <c r="K19" s="502">
        <v>0</v>
      </c>
      <c r="L19" s="511">
        <v>0</v>
      </c>
      <c r="M19" s="511">
        <v>0</v>
      </c>
      <c r="N19" s="511">
        <v>0</v>
      </c>
      <c r="O19" s="511"/>
      <c r="P19" s="511"/>
      <c r="Q19" s="511"/>
      <c r="R19" s="511">
        <f t="shared" si="1"/>
        <v>28105</v>
      </c>
      <c r="S19" s="63">
        <f>$B$19*'05 - Relação de funcionários'!B31</f>
        <v>803</v>
      </c>
      <c r="T19" s="63">
        <f>$B$19*'05 - Relação de funcionários'!C31</f>
        <v>803</v>
      </c>
      <c r="U19" s="63">
        <f>$B$19*'05 - Relação de funcionários'!D31</f>
        <v>803</v>
      </c>
      <c r="V19" s="63">
        <f>$B$19*'05 - Relação de funcionários'!E31</f>
        <v>803</v>
      </c>
      <c r="W19" s="63">
        <f>$B$19*'05 - Relação de funcionários'!F31</f>
        <v>803</v>
      </c>
      <c r="X19" s="63">
        <f>$B$19*'05 - Relação de funcionários'!G31</f>
        <v>803</v>
      </c>
      <c r="Y19" s="63">
        <f>$B$19*'05 - Relação de funcionários'!H31</f>
        <v>803</v>
      </c>
      <c r="Z19" s="63">
        <f>$B$19*'05 - Relação de funcionários'!I31</f>
        <v>803</v>
      </c>
      <c r="AA19" s="63">
        <f>$B$19*'05 - Relação de funcionários'!J31</f>
        <v>803</v>
      </c>
      <c r="AB19" s="63">
        <f>$B$19*'05 - Relação de funcionários'!K31</f>
        <v>803</v>
      </c>
      <c r="AC19" s="63">
        <f>$B$19*'05 - Relação de funcionários'!L31</f>
        <v>803</v>
      </c>
      <c r="AD19" s="63">
        <f>$B$19*'05 - Relação de funcionários'!M31</f>
        <v>803</v>
      </c>
      <c r="AE19" s="63">
        <f>$B$19*'05 - Relação de funcionários'!N31</f>
        <v>803</v>
      </c>
      <c r="AF19" s="63">
        <f>$B$19*'05 - Relação de funcionários'!O31</f>
        <v>803</v>
      </c>
      <c r="AG19" s="63">
        <f>$B$19*'05 - Relação de funcionários'!P31</f>
        <v>803</v>
      </c>
      <c r="AH19" s="63">
        <f>$B$19*'05 - Relação de funcionários'!Q31</f>
        <v>803</v>
      </c>
      <c r="AI19" s="63">
        <f>$B$19*'05 - Relação de funcionários'!R31</f>
        <v>803</v>
      </c>
      <c r="AJ19" s="63">
        <f>$B$19*'05 - Relação de funcionários'!S31</f>
        <v>803</v>
      </c>
      <c r="AK19" s="63">
        <f>$B$19*'05 - Relação de funcionários'!T31</f>
        <v>803</v>
      </c>
      <c r="AL19" s="63">
        <f>$B$19*'05 - Relação de funcionários'!U31</f>
        <v>803</v>
      </c>
      <c r="AM19" s="63">
        <f>$B$19*'05 - Relação de funcionários'!V31</f>
        <v>803</v>
      </c>
      <c r="AN19" s="63">
        <f>$B$19*'05 - Relação de funcionários'!W31</f>
        <v>803</v>
      </c>
      <c r="AO19" s="63">
        <f>$B$19*'05 - Relação de funcionários'!X31</f>
        <v>803</v>
      </c>
      <c r="AP19" s="63">
        <f>$B$19*'05 - Relação de funcionários'!Y31</f>
        <v>803</v>
      </c>
      <c r="AQ19" s="63">
        <f>$B$19*'05 - Relação de funcionários'!Z31</f>
        <v>803</v>
      </c>
      <c r="AR19" s="63">
        <f>$B$19*'05 - Relação de funcionários'!AA31</f>
        <v>803</v>
      </c>
      <c r="AS19" s="63">
        <f>$B$19*'05 - Relação de funcionários'!AB31</f>
        <v>803</v>
      </c>
      <c r="AT19" s="63">
        <f>$B$19*'05 - Relação de funcionários'!AC31</f>
        <v>803</v>
      </c>
      <c r="AU19" s="63">
        <f>$B$19*'05 - Relação de funcionários'!AD31</f>
        <v>803</v>
      </c>
      <c r="AV19" s="63">
        <f>$B$19*'05 - Relação de funcionários'!AE31</f>
        <v>803</v>
      </c>
      <c r="AW19" s="63">
        <f>$B$7*'05 - Relação de funcionários'!AF31</f>
        <v>803</v>
      </c>
      <c r="AX19" s="63">
        <f>$B$7*'05 - Relação de funcionários'!AG31</f>
        <v>803</v>
      </c>
      <c r="AY19" s="63">
        <f>$B$7*'05 - Relação de funcionários'!AH31</f>
        <v>803</v>
      </c>
      <c r="AZ19" s="63">
        <f>$B$7*'05 - Relação de funcionários'!AI31</f>
        <v>803</v>
      </c>
      <c r="BA19" s="63">
        <f>$B$7*'05 - Relação de funcionários'!AJ31</f>
        <v>803</v>
      </c>
    </row>
    <row r="20" spans="1:53" ht="13.15" customHeight="1" x14ac:dyDescent="0.2">
      <c r="A20" s="15" t="s">
        <v>855</v>
      </c>
      <c r="B20" s="502">
        <f>C20*'01 - Dados de Entrada'!$C$86+D20*'01 - Dados de Entrada'!$C$87+E20*'01 - Dados de Entrada'!$C$88+F20*'01 - Dados de Entrada'!$C$89+G20*'01 - Dados de Entrada'!$C$90+H20*'01 - Dados de Entrada'!$C$91+I20*'01 - Dados de Entrada'!$C$92+J20*'01 - Dados de Entrada'!$C$93+K20*'01 - Dados de Entrada'!$C$94+L20*'01 - Dados de Entrada'!$C$95+M20*'01 - Dados de Entrada'!$C$96+'08 - Custos com EPI e uniformes'!N20*'01 - Dados de Entrada'!$C$97+O20*'01 - Dados de Entrada'!$C$98+P20*'01 - Dados de Entrada'!$C$99+Q20*'01 - Dados de Entrada'!$C$100</f>
        <v>803</v>
      </c>
      <c r="C20" s="502">
        <v>5</v>
      </c>
      <c r="D20" s="502">
        <v>2</v>
      </c>
      <c r="E20" s="502">
        <v>1</v>
      </c>
      <c r="F20" s="502">
        <v>0</v>
      </c>
      <c r="G20" s="502">
        <v>0</v>
      </c>
      <c r="H20" s="502">
        <v>0</v>
      </c>
      <c r="I20" s="502">
        <v>0</v>
      </c>
      <c r="J20" s="502">
        <v>0</v>
      </c>
      <c r="K20" s="502">
        <v>0</v>
      </c>
      <c r="L20" s="511">
        <v>0</v>
      </c>
      <c r="M20" s="511">
        <v>0</v>
      </c>
      <c r="N20" s="511">
        <v>0</v>
      </c>
      <c r="O20" s="511"/>
      <c r="P20" s="511"/>
      <c r="Q20" s="511"/>
      <c r="R20" s="511">
        <f t="shared" si="1"/>
        <v>28105</v>
      </c>
      <c r="S20" s="63">
        <f>$B$20*'05 - Relação de funcionários'!B32</f>
        <v>803</v>
      </c>
      <c r="T20" s="63">
        <f>$B$20*'05 - Relação de funcionários'!C32</f>
        <v>803</v>
      </c>
      <c r="U20" s="63">
        <f>$B$20*'05 - Relação de funcionários'!D32</f>
        <v>803</v>
      </c>
      <c r="V20" s="63">
        <f>$B$20*'05 - Relação de funcionários'!E32</f>
        <v>803</v>
      </c>
      <c r="W20" s="63">
        <f>$B$20*'05 - Relação de funcionários'!F32</f>
        <v>803</v>
      </c>
      <c r="X20" s="63">
        <f>$B$20*'05 - Relação de funcionários'!G32</f>
        <v>803</v>
      </c>
      <c r="Y20" s="63">
        <f>$B$20*'05 - Relação de funcionários'!H32</f>
        <v>803</v>
      </c>
      <c r="Z20" s="63">
        <f>$B$20*'05 - Relação de funcionários'!I32</f>
        <v>803</v>
      </c>
      <c r="AA20" s="63">
        <f>$B$20*'05 - Relação de funcionários'!J32</f>
        <v>803</v>
      </c>
      <c r="AB20" s="63">
        <f>$B$20*'05 - Relação de funcionários'!K32</f>
        <v>803</v>
      </c>
      <c r="AC20" s="63">
        <f>$B$20*'05 - Relação de funcionários'!L32</f>
        <v>803</v>
      </c>
      <c r="AD20" s="63">
        <f>$B$20*'05 - Relação de funcionários'!M32</f>
        <v>803</v>
      </c>
      <c r="AE20" s="63">
        <f>$B$20*'05 - Relação de funcionários'!N32</f>
        <v>803</v>
      </c>
      <c r="AF20" s="63">
        <f>$B$20*'05 - Relação de funcionários'!O32</f>
        <v>803</v>
      </c>
      <c r="AG20" s="63">
        <f>$B$20*'05 - Relação de funcionários'!P32</f>
        <v>803</v>
      </c>
      <c r="AH20" s="63">
        <f>$B$20*'05 - Relação de funcionários'!Q32</f>
        <v>803</v>
      </c>
      <c r="AI20" s="63">
        <f>$B$20*'05 - Relação de funcionários'!R32</f>
        <v>803</v>
      </c>
      <c r="AJ20" s="63">
        <f>$B$20*'05 - Relação de funcionários'!S32</f>
        <v>803</v>
      </c>
      <c r="AK20" s="63">
        <f>$B$20*'05 - Relação de funcionários'!T32</f>
        <v>803</v>
      </c>
      <c r="AL20" s="63">
        <f>$B$20*'05 - Relação de funcionários'!U32</f>
        <v>803</v>
      </c>
      <c r="AM20" s="63">
        <f>$B$20*'05 - Relação de funcionários'!V32</f>
        <v>803</v>
      </c>
      <c r="AN20" s="63">
        <f>$B$20*'05 - Relação de funcionários'!W32</f>
        <v>803</v>
      </c>
      <c r="AO20" s="63">
        <f>$B$20*'05 - Relação de funcionários'!X32</f>
        <v>803</v>
      </c>
      <c r="AP20" s="63">
        <f>$B$20*'05 - Relação de funcionários'!Y32</f>
        <v>803</v>
      </c>
      <c r="AQ20" s="63">
        <f>$B$20*'05 - Relação de funcionários'!Z32</f>
        <v>803</v>
      </c>
      <c r="AR20" s="63">
        <f>$B$20*'05 - Relação de funcionários'!AA32</f>
        <v>803</v>
      </c>
      <c r="AS20" s="63">
        <f>$B$20*'05 - Relação de funcionários'!AB32</f>
        <v>803</v>
      </c>
      <c r="AT20" s="63">
        <f>$B$20*'05 - Relação de funcionários'!AC32</f>
        <v>803</v>
      </c>
      <c r="AU20" s="63">
        <f>$B$20*'05 - Relação de funcionários'!AD32</f>
        <v>803</v>
      </c>
      <c r="AV20" s="63">
        <f>$B$20*'05 - Relação de funcionários'!AE32</f>
        <v>803</v>
      </c>
      <c r="AW20" s="63">
        <f>$B$7*'05 - Relação de funcionários'!AF32</f>
        <v>803</v>
      </c>
      <c r="AX20" s="63">
        <f>$B$7*'05 - Relação de funcionários'!AG32</f>
        <v>803</v>
      </c>
      <c r="AY20" s="63">
        <f>$B$7*'05 - Relação de funcionários'!AH32</f>
        <v>803</v>
      </c>
      <c r="AZ20" s="63">
        <f>$B$7*'05 - Relação de funcionários'!AI32</f>
        <v>803</v>
      </c>
      <c r="BA20" s="63">
        <f>$B$7*'05 - Relação de funcionários'!AJ32</f>
        <v>803</v>
      </c>
    </row>
    <row r="21" spans="1:53" ht="13.15" customHeight="1" x14ac:dyDescent="0.2">
      <c r="A21" s="15" t="s">
        <v>856</v>
      </c>
      <c r="B21" s="502">
        <f>C21*'01 - Dados de Entrada'!$C$86+D21*'01 - Dados de Entrada'!$C$87+E21*'01 - Dados de Entrada'!$C$88+F21*'01 - Dados de Entrada'!$C$89+G21*'01 - Dados de Entrada'!$C$90+H21*'01 - Dados de Entrada'!$C$91+I21*'01 - Dados de Entrada'!$C$92+J21*'01 - Dados de Entrada'!$C$93+K21*'01 - Dados de Entrada'!$C$94+L21*'01 - Dados de Entrada'!$C$95+M21*'01 - Dados de Entrada'!$C$96+'08 - Custos com EPI e uniformes'!N21*'01 - Dados de Entrada'!$C$97+O21*'01 - Dados de Entrada'!$C$98+P21*'01 - Dados de Entrada'!$C$99+Q21*'01 - Dados de Entrada'!$C$100</f>
        <v>803</v>
      </c>
      <c r="C21" s="502">
        <v>5</v>
      </c>
      <c r="D21" s="502">
        <v>2</v>
      </c>
      <c r="E21" s="502">
        <v>1</v>
      </c>
      <c r="F21" s="502">
        <v>0</v>
      </c>
      <c r="G21" s="502">
        <v>0</v>
      </c>
      <c r="H21" s="502">
        <v>0</v>
      </c>
      <c r="I21" s="502">
        <v>0</v>
      </c>
      <c r="J21" s="502">
        <v>0</v>
      </c>
      <c r="K21" s="502">
        <v>0</v>
      </c>
      <c r="L21" s="511">
        <v>0</v>
      </c>
      <c r="M21" s="511">
        <v>0</v>
      </c>
      <c r="N21" s="511">
        <v>0</v>
      </c>
      <c r="O21" s="511"/>
      <c r="P21" s="511"/>
      <c r="Q21" s="511"/>
      <c r="R21" s="511">
        <f t="shared" si="1"/>
        <v>28105</v>
      </c>
      <c r="S21" s="63">
        <f>$B$21*'05 - Relação de funcionários'!B33</f>
        <v>803</v>
      </c>
      <c r="T21" s="63">
        <f>$B$21*'05 - Relação de funcionários'!C33</f>
        <v>803</v>
      </c>
      <c r="U21" s="63">
        <f>$B$21*'05 - Relação de funcionários'!D33</f>
        <v>803</v>
      </c>
      <c r="V21" s="63">
        <f>$B$21*'05 - Relação de funcionários'!E33</f>
        <v>803</v>
      </c>
      <c r="W21" s="63">
        <f>$B$21*'05 - Relação de funcionários'!F33</f>
        <v>803</v>
      </c>
      <c r="X21" s="63">
        <f>$B$21*'05 - Relação de funcionários'!G33</f>
        <v>803</v>
      </c>
      <c r="Y21" s="63">
        <f>$B$21*'05 - Relação de funcionários'!H33</f>
        <v>803</v>
      </c>
      <c r="Z21" s="63">
        <f>$B$21*'05 - Relação de funcionários'!I33</f>
        <v>803</v>
      </c>
      <c r="AA21" s="63">
        <f>$B$21*'05 - Relação de funcionários'!J33</f>
        <v>803</v>
      </c>
      <c r="AB21" s="63">
        <f>$B$21*'05 - Relação de funcionários'!K33</f>
        <v>803</v>
      </c>
      <c r="AC21" s="63">
        <f>$B$21*'05 - Relação de funcionários'!L33</f>
        <v>803</v>
      </c>
      <c r="AD21" s="63">
        <f>$B$21*'05 - Relação de funcionários'!M33</f>
        <v>803</v>
      </c>
      <c r="AE21" s="63">
        <f>$B$21*'05 - Relação de funcionários'!N33</f>
        <v>803</v>
      </c>
      <c r="AF21" s="63">
        <f>$B$21*'05 - Relação de funcionários'!O33</f>
        <v>803</v>
      </c>
      <c r="AG21" s="63">
        <f>$B$21*'05 - Relação de funcionários'!P33</f>
        <v>803</v>
      </c>
      <c r="AH21" s="63">
        <f>$B$21*'05 - Relação de funcionários'!Q33</f>
        <v>803</v>
      </c>
      <c r="AI21" s="63">
        <f>$B$21*'05 - Relação de funcionários'!R33</f>
        <v>803</v>
      </c>
      <c r="AJ21" s="63">
        <f>$B$21*'05 - Relação de funcionários'!S33</f>
        <v>803</v>
      </c>
      <c r="AK21" s="63">
        <f>$B$21*'05 - Relação de funcionários'!T33</f>
        <v>803</v>
      </c>
      <c r="AL21" s="63">
        <f>$B$21*'05 - Relação de funcionários'!U33</f>
        <v>803</v>
      </c>
      <c r="AM21" s="63">
        <f>$B$21*'05 - Relação de funcionários'!V33</f>
        <v>803</v>
      </c>
      <c r="AN21" s="63">
        <f>$B$21*'05 - Relação de funcionários'!W33</f>
        <v>803</v>
      </c>
      <c r="AO21" s="63">
        <f>$B$21*'05 - Relação de funcionários'!X33</f>
        <v>803</v>
      </c>
      <c r="AP21" s="63">
        <f>$B$21*'05 - Relação de funcionários'!Y33</f>
        <v>803</v>
      </c>
      <c r="AQ21" s="63">
        <f>$B$21*'05 - Relação de funcionários'!Z33</f>
        <v>803</v>
      </c>
      <c r="AR21" s="63">
        <f>$B$21*'05 - Relação de funcionários'!AA33</f>
        <v>803</v>
      </c>
      <c r="AS21" s="63">
        <f>$B$21*'05 - Relação de funcionários'!AB33</f>
        <v>803</v>
      </c>
      <c r="AT21" s="63">
        <f>$B$21*'05 - Relação de funcionários'!AC33</f>
        <v>803</v>
      </c>
      <c r="AU21" s="63">
        <f>$B$21*'05 - Relação de funcionários'!AD33</f>
        <v>803</v>
      </c>
      <c r="AV21" s="63">
        <f>$B$21*'05 - Relação de funcionários'!AE33</f>
        <v>803</v>
      </c>
      <c r="AW21" s="63">
        <f>$B$7*'05 - Relação de funcionários'!AF33</f>
        <v>803</v>
      </c>
      <c r="AX21" s="63">
        <f>$B$7*'05 - Relação de funcionários'!AG33</f>
        <v>803</v>
      </c>
      <c r="AY21" s="63">
        <f>$B$7*'05 - Relação de funcionários'!AH33</f>
        <v>803</v>
      </c>
      <c r="AZ21" s="63">
        <f>$B$7*'05 - Relação de funcionários'!AI33</f>
        <v>803</v>
      </c>
      <c r="BA21" s="63">
        <f>$B$7*'05 - Relação de funcionários'!AJ33</f>
        <v>803</v>
      </c>
    </row>
    <row r="22" spans="1:53" ht="13.15" customHeight="1" x14ac:dyDescent="0.2">
      <c r="A22" s="15" t="s">
        <v>857</v>
      </c>
      <c r="B22" s="502">
        <f>C22*'01 - Dados de Entrada'!$C$86+D22*'01 - Dados de Entrada'!$C$87+E22*'01 - Dados de Entrada'!$C$88+F22*'01 - Dados de Entrada'!$C$89+G22*'01 - Dados de Entrada'!$C$90+H22*'01 - Dados de Entrada'!$C$91+I22*'01 - Dados de Entrada'!$C$92+J22*'01 - Dados de Entrada'!$C$93+K22*'01 - Dados de Entrada'!$C$94+L22*'01 - Dados de Entrada'!$C$95+M22*'01 - Dados de Entrada'!$C$96+'08 - Custos com EPI e uniformes'!N22*'01 - Dados de Entrada'!$C$97+O22*'01 - Dados de Entrada'!$C$98+P22*'01 - Dados de Entrada'!$C$99+Q22*'01 - Dados de Entrada'!$C$100</f>
        <v>803</v>
      </c>
      <c r="C22" s="502">
        <v>5</v>
      </c>
      <c r="D22" s="502">
        <v>2</v>
      </c>
      <c r="E22" s="502">
        <v>1</v>
      </c>
      <c r="F22" s="502">
        <v>0</v>
      </c>
      <c r="G22" s="502">
        <v>0</v>
      </c>
      <c r="H22" s="502">
        <v>0</v>
      </c>
      <c r="I22" s="502">
        <v>0</v>
      </c>
      <c r="J22" s="502">
        <v>0</v>
      </c>
      <c r="K22" s="502">
        <v>0</v>
      </c>
      <c r="L22" s="511">
        <v>0</v>
      </c>
      <c r="M22" s="511">
        <v>0</v>
      </c>
      <c r="N22" s="511">
        <v>0</v>
      </c>
      <c r="O22" s="511"/>
      <c r="P22" s="511"/>
      <c r="Q22" s="511"/>
      <c r="R22" s="511">
        <f t="shared" si="1"/>
        <v>28105</v>
      </c>
      <c r="S22" s="63">
        <f>$B$22*'05 - Relação de funcionários'!B34</f>
        <v>803</v>
      </c>
      <c r="T22" s="63">
        <f>$B$22*'05 - Relação de funcionários'!C34</f>
        <v>803</v>
      </c>
      <c r="U22" s="63">
        <f>$B$22*'05 - Relação de funcionários'!D34</f>
        <v>803</v>
      </c>
      <c r="V22" s="63">
        <f>$B$22*'05 - Relação de funcionários'!E34</f>
        <v>803</v>
      </c>
      <c r="W22" s="63">
        <f>$B$22*'05 - Relação de funcionários'!F34</f>
        <v>803</v>
      </c>
      <c r="X22" s="63">
        <f>$B$22*'05 - Relação de funcionários'!G34</f>
        <v>803</v>
      </c>
      <c r="Y22" s="63">
        <f>$B$22*'05 - Relação de funcionários'!H34</f>
        <v>803</v>
      </c>
      <c r="Z22" s="63">
        <f>$B$22*'05 - Relação de funcionários'!I34</f>
        <v>803</v>
      </c>
      <c r="AA22" s="63">
        <f>$B$22*'05 - Relação de funcionários'!J34</f>
        <v>803</v>
      </c>
      <c r="AB22" s="63">
        <f>$B$22*'05 - Relação de funcionários'!K34</f>
        <v>803</v>
      </c>
      <c r="AC22" s="63">
        <f>$B$22*'05 - Relação de funcionários'!L34</f>
        <v>803</v>
      </c>
      <c r="AD22" s="63">
        <f>$B$22*'05 - Relação de funcionários'!M34</f>
        <v>803</v>
      </c>
      <c r="AE22" s="63">
        <f>$B$22*'05 - Relação de funcionários'!N34</f>
        <v>803</v>
      </c>
      <c r="AF22" s="63">
        <f>$B$22*'05 - Relação de funcionários'!O34</f>
        <v>803</v>
      </c>
      <c r="AG22" s="63">
        <f>$B$22*'05 - Relação de funcionários'!P34</f>
        <v>803</v>
      </c>
      <c r="AH22" s="63">
        <f>$B$22*'05 - Relação de funcionários'!Q34</f>
        <v>803</v>
      </c>
      <c r="AI22" s="63">
        <f>$B$22*'05 - Relação de funcionários'!R34</f>
        <v>803</v>
      </c>
      <c r="AJ22" s="63">
        <f>$B$22*'05 - Relação de funcionários'!S34</f>
        <v>803</v>
      </c>
      <c r="AK22" s="63">
        <f>$B$22*'05 - Relação de funcionários'!T34</f>
        <v>803</v>
      </c>
      <c r="AL22" s="63">
        <f>$B$22*'05 - Relação de funcionários'!U34</f>
        <v>803</v>
      </c>
      <c r="AM22" s="63">
        <f>$B$22*'05 - Relação de funcionários'!V34</f>
        <v>803</v>
      </c>
      <c r="AN22" s="63">
        <f>$B$22*'05 - Relação de funcionários'!W34</f>
        <v>803</v>
      </c>
      <c r="AO22" s="63">
        <f>$B$22*'05 - Relação de funcionários'!X34</f>
        <v>803</v>
      </c>
      <c r="AP22" s="63">
        <f>$B$22*'05 - Relação de funcionários'!Y34</f>
        <v>803</v>
      </c>
      <c r="AQ22" s="63">
        <f>$B$22*'05 - Relação de funcionários'!Z34</f>
        <v>803</v>
      </c>
      <c r="AR22" s="63">
        <f>$B$22*'05 - Relação de funcionários'!AA34</f>
        <v>803</v>
      </c>
      <c r="AS22" s="63">
        <f>$B$22*'05 - Relação de funcionários'!AB34</f>
        <v>803</v>
      </c>
      <c r="AT22" s="63">
        <f>$B$22*'05 - Relação de funcionários'!AC34</f>
        <v>803</v>
      </c>
      <c r="AU22" s="63">
        <f>$B$22*'05 - Relação de funcionários'!AD34</f>
        <v>803</v>
      </c>
      <c r="AV22" s="63">
        <f>$B$22*'05 - Relação de funcionários'!AE34</f>
        <v>803</v>
      </c>
      <c r="AW22" s="63">
        <f>$B$7*'05 - Relação de funcionários'!AF34</f>
        <v>803</v>
      </c>
      <c r="AX22" s="63">
        <f>$B$7*'05 - Relação de funcionários'!AG34</f>
        <v>803</v>
      </c>
      <c r="AY22" s="63">
        <f>$B$7*'05 - Relação de funcionários'!AH34</f>
        <v>803</v>
      </c>
      <c r="AZ22" s="63">
        <f>$B$7*'05 - Relação de funcionários'!AI34</f>
        <v>803</v>
      </c>
      <c r="BA22" s="63">
        <f>$B$7*'05 - Relação de funcionários'!AJ34</f>
        <v>803</v>
      </c>
    </row>
    <row r="23" spans="1:53" ht="13.15" customHeight="1" x14ac:dyDescent="0.2">
      <c r="A23" s="15" t="s">
        <v>858</v>
      </c>
      <c r="B23" s="502">
        <f>C23*'01 - Dados de Entrada'!$C$86+D23*'01 - Dados de Entrada'!$C$87+E23*'01 - Dados de Entrada'!$C$88+F23*'01 - Dados de Entrada'!$C$89+G23*'01 - Dados de Entrada'!$C$90+H23*'01 - Dados de Entrada'!$C$91+I23*'01 - Dados de Entrada'!$C$92+J23*'01 - Dados de Entrada'!$C$93+K23*'01 - Dados de Entrada'!$C$94+L23*'01 - Dados de Entrada'!$C$95+M23*'01 - Dados de Entrada'!$C$96+'08 - Custos com EPI e uniformes'!N23*'01 - Dados de Entrada'!$C$97+O23*'01 - Dados de Entrada'!$C$98+P23*'01 - Dados de Entrada'!$C$99+Q23*'01 - Dados de Entrada'!$C$100</f>
        <v>803</v>
      </c>
      <c r="C23" s="502">
        <v>5</v>
      </c>
      <c r="D23" s="502">
        <v>2</v>
      </c>
      <c r="E23" s="502">
        <v>1</v>
      </c>
      <c r="F23" s="502">
        <v>0</v>
      </c>
      <c r="G23" s="502">
        <v>0</v>
      </c>
      <c r="H23" s="502">
        <v>0</v>
      </c>
      <c r="I23" s="502">
        <v>0</v>
      </c>
      <c r="J23" s="502">
        <v>0</v>
      </c>
      <c r="K23" s="502">
        <v>0</v>
      </c>
      <c r="L23" s="511">
        <v>0</v>
      </c>
      <c r="M23" s="511">
        <v>0</v>
      </c>
      <c r="N23" s="511">
        <v>0</v>
      </c>
      <c r="O23" s="511"/>
      <c r="P23" s="511"/>
      <c r="Q23" s="511"/>
      <c r="R23" s="511">
        <f t="shared" si="1"/>
        <v>28105</v>
      </c>
      <c r="S23" s="63">
        <f>$B$23*'05 - Relação de funcionários'!B35</f>
        <v>803</v>
      </c>
      <c r="T23" s="63">
        <f>$B$23*'05 - Relação de funcionários'!C35</f>
        <v>803</v>
      </c>
      <c r="U23" s="63">
        <f>$B$23*'05 - Relação de funcionários'!D35</f>
        <v>803</v>
      </c>
      <c r="V23" s="63">
        <f>$B$23*'05 - Relação de funcionários'!E35</f>
        <v>803</v>
      </c>
      <c r="W23" s="63">
        <f>$B$23*'05 - Relação de funcionários'!F35</f>
        <v>803</v>
      </c>
      <c r="X23" s="63">
        <f>$B$23*'05 - Relação de funcionários'!G35</f>
        <v>803</v>
      </c>
      <c r="Y23" s="63">
        <f>$B$23*'05 - Relação de funcionários'!H35</f>
        <v>803</v>
      </c>
      <c r="Z23" s="63">
        <f>$B$23*'05 - Relação de funcionários'!I35</f>
        <v>803</v>
      </c>
      <c r="AA23" s="63">
        <f>$B$23*'05 - Relação de funcionários'!J35</f>
        <v>803</v>
      </c>
      <c r="AB23" s="63">
        <f>$B$23*'05 - Relação de funcionários'!K35</f>
        <v>803</v>
      </c>
      <c r="AC23" s="63">
        <f>$B$23*'05 - Relação de funcionários'!L35</f>
        <v>803</v>
      </c>
      <c r="AD23" s="63">
        <f>$B$23*'05 - Relação de funcionários'!M35</f>
        <v>803</v>
      </c>
      <c r="AE23" s="63">
        <f>$B$23*'05 - Relação de funcionários'!N35</f>
        <v>803</v>
      </c>
      <c r="AF23" s="63">
        <f>$B$23*'05 - Relação de funcionários'!O35</f>
        <v>803</v>
      </c>
      <c r="AG23" s="63">
        <f>$B$23*'05 - Relação de funcionários'!P35</f>
        <v>803</v>
      </c>
      <c r="AH23" s="63">
        <f>$B$23*'05 - Relação de funcionários'!Q35</f>
        <v>803</v>
      </c>
      <c r="AI23" s="63">
        <f>$B$23*'05 - Relação de funcionários'!R35</f>
        <v>803</v>
      </c>
      <c r="AJ23" s="63">
        <f>$B$23*'05 - Relação de funcionários'!S35</f>
        <v>803</v>
      </c>
      <c r="AK23" s="63">
        <f>$B$23*'05 - Relação de funcionários'!T35</f>
        <v>803</v>
      </c>
      <c r="AL23" s="63">
        <f>$B$23*'05 - Relação de funcionários'!U35</f>
        <v>803</v>
      </c>
      <c r="AM23" s="63">
        <f>$B$23*'05 - Relação de funcionários'!V35</f>
        <v>803</v>
      </c>
      <c r="AN23" s="63">
        <f>$B$23*'05 - Relação de funcionários'!W35</f>
        <v>803</v>
      </c>
      <c r="AO23" s="63">
        <f>$B$23*'05 - Relação de funcionários'!X35</f>
        <v>803</v>
      </c>
      <c r="AP23" s="63">
        <f>$B$23*'05 - Relação de funcionários'!Y35</f>
        <v>803</v>
      </c>
      <c r="AQ23" s="63">
        <f>$B$23*'05 - Relação de funcionários'!Z35</f>
        <v>803</v>
      </c>
      <c r="AR23" s="63">
        <f>$B$23*'05 - Relação de funcionários'!AA35</f>
        <v>803</v>
      </c>
      <c r="AS23" s="63">
        <f>$B$23*'05 - Relação de funcionários'!AB35</f>
        <v>803</v>
      </c>
      <c r="AT23" s="63">
        <f>$B$23*'05 - Relação de funcionários'!AC35</f>
        <v>803</v>
      </c>
      <c r="AU23" s="63">
        <f>$B$23*'05 - Relação de funcionários'!AD35</f>
        <v>803</v>
      </c>
      <c r="AV23" s="63">
        <f>$B$23*'05 - Relação de funcionários'!AE35</f>
        <v>803</v>
      </c>
      <c r="AW23" s="63">
        <f>$B$7*'05 - Relação de funcionários'!AF35</f>
        <v>803</v>
      </c>
      <c r="AX23" s="63">
        <f>$B$7*'05 - Relação de funcionários'!AG35</f>
        <v>803</v>
      </c>
      <c r="AY23" s="63">
        <f>$B$7*'05 - Relação de funcionários'!AH35</f>
        <v>803</v>
      </c>
      <c r="AZ23" s="63">
        <f>$B$7*'05 - Relação de funcionários'!AI35</f>
        <v>803</v>
      </c>
      <c r="BA23" s="63">
        <f>$B$7*'05 - Relação de funcionários'!AJ35</f>
        <v>803</v>
      </c>
    </row>
    <row r="24" spans="1:53" ht="13.15" customHeight="1" x14ac:dyDescent="0.2">
      <c r="A24" s="19" t="s">
        <v>859</v>
      </c>
      <c r="B24" s="502">
        <f>C24*'01 - Dados de Entrada'!$C$86+D24*'01 - Dados de Entrada'!$C$87+E24*'01 - Dados de Entrada'!$C$88+F24*'01 - Dados de Entrada'!$C$89+G24*'01 - Dados de Entrada'!$C$90+H24*'01 - Dados de Entrada'!$C$91+I24*'01 - Dados de Entrada'!$C$92+J24*'01 - Dados de Entrada'!$C$93+K24*'01 - Dados de Entrada'!$C$94+L24*'01 - Dados de Entrada'!$C$95+M24*'01 - Dados de Entrada'!$C$96+'08 - Custos com EPI e uniformes'!N24*'01 - Dados de Entrada'!$C$97+O24*'01 - Dados de Entrada'!$C$98+P24*'01 - Dados de Entrada'!$C$99+Q24*'01 - Dados de Entrada'!$C$100</f>
        <v>803</v>
      </c>
      <c r="C24" s="502">
        <v>5</v>
      </c>
      <c r="D24" s="502">
        <v>2</v>
      </c>
      <c r="E24" s="502">
        <v>1</v>
      </c>
      <c r="F24" s="502">
        <v>0</v>
      </c>
      <c r="G24" s="502">
        <v>0</v>
      </c>
      <c r="H24" s="502">
        <v>0</v>
      </c>
      <c r="I24" s="502">
        <v>0</v>
      </c>
      <c r="J24" s="502">
        <v>0</v>
      </c>
      <c r="K24" s="502">
        <v>0</v>
      </c>
      <c r="L24" s="511">
        <v>0</v>
      </c>
      <c r="M24" s="511">
        <v>0</v>
      </c>
      <c r="N24" s="511">
        <v>0</v>
      </c>
      <c r="O24" s="511"/>
      <c r="P24" s="511"/>
      <c r="Q24" s="511"/>
      <c r="R24" s="511">
        <f t="shared" si="1"/>
        <v>28105</v>
      </c>
      <c r="S24" s="63">
        <f>$B$24*'05 - Relação de funcionários'!B36</f>
        <v>803</v>
      </c>
      <c r="T24" s="63">
        <f>$B$24*'05 - Relação de funcionários'!C36</f>
        <v>803</v>
      </c>
      <c r="U24" s="63">
        <f>$B$24*'05 - Relação de funcionários'!D36</f>
        <v>803</v>
      </c>
      <c r="V24" s="63">
        <f>$B$24*'05 - Relação de funcionários'!E36</f>
        <v>803</v>
      </c>
      <c r="W24" s="63">
        <f>$B$24*'05 - Relação de funcionários'!F36</f>
        <v>803</v>
      </c>
      <c r="X24" s="63">
        <f>$B$24*'05 - Relação de funcionários'!G36</f>
        <v>803</v>
      </c>
      <c r="Y24" s="63">
        <f>$B$24*'05 - Relação de funcionários'!H36</f>
        <v>803</v>
      </c>
      <c r="Z24" s="63">
        <f>$B$24*'05 - Relação de funcionários'!I36</f>
        <v>803</v>
      </c>
      <c r="AA24" s="63">
        <f>$B$24*'05 - Relação de funcionários'!J36</f>
        <v>803</v>
      </c>
      <c r="AB24" s="63">
        <f>$B$24*'05 - Relação de funcionários'!K36</f>
        <v>803</v>
      </c>
      <c r="AC24" s="63">
        <f>$B$24*'05 - Relação de funcionários'!L36</f>
        <v>803</v>
      </c>
      <c r="AD24" s="63">
        <f>$B$24*'05 - Relação de funcionários'!M36</f>
        <v>803</v>
      </c>
      <c r="AE24" s="63">
        <f>$B$24*'05 - Relação de funcionários'!N36</f>
        <v>803</v>
      </c>
      <c r="AF24" s="63">
        <f>$B$24*'05 - Relação de funcionários'!O36</f>
        <v>803</v>
      </c>
      <c r="AG24" s="63">
        <f>$B$24*'05 - Relação de funcionários'!P36</f>
        <v>803</v>
      </c>
      <c r="AH24" s="63">
        <f>$B$24*'05 - Relação de funcionários'!Q36</f>
        <v>803</v>
      </c>
      <c r="AI24" s="63">
        <f>$B$24*'05 - Relação de funcionários'!R36</f>
        <v>803</v>
      </c>
      <c r="AJ24" s="63">
        <f>$B$24*'05 - Relação de funcionários'!S36</f>
        <v>803</v>
      </c>
      <c r="AK24" s="63">
        <f>$B$24*'05 - Relação de funcionários'!T36</f>
        <v>803</v>
      </c>
      <c r="AL24" s="63">
        <f>$B$24*'05 - Relação de funcionários'!U36</f>
        <v>803</v>
      </c>
      <c r="AM24" s="63">
        <f>$B$24*'05 - Relação de funcionários'!V36</f>
        <v>803</v>
      </c>
      <c r="AN24" s="63">
        <f>$B$24*'05 - Relação de funcionários'!W36</f>
        <v>803</v>
      </c>
      <c r="AO24" s="63">
        <f>$B$24*'05 - Relação de funcionários'!X36</f>
        <v>803</v>
      </c>
      <c r="AP24" s="63">
        <f>$B$24*'05 - Relação de funcionários'!Y36</f>
        <v>803</v>
      </c>
      <c r="AQ24" s="63">
        <f>$B$24*'05 - Relação de funcionários'!Z36</f>
        <v>803</v>
      </c>
      <c r="AR24" s="63">
        <f>$B$24*'05 - Relação de funcionários'!AA36</f>
        <v>803</v>
      </c>
      <c r="AS24" s="63">
        <f>$B$24*'05 - Relação de funcionários'!AB36</f>
        <v>803</v>
      </c>
      <c r="AT24" s="63">
        <f>$B$24*'05 - Relação de funcionários'!AC36</f>
        <v>803</v>
      </c>
      <c r="AU24" s="63">
        <f>$B$24*'05 - Relação de funcionários'!AD36</f>
        <v>803</v>
      </c>
      <c r="AV24" s="63">
        <f>$B$24*'05 - Relação de funcionários'!AE36</f>
        <v>803</v>
      </c>
      <c r="AW24" s="63">
        <f>$B$24*'05 - Relação de funcionários'!AF36</f>
        <v>803</v>
      </c>
      <c r="AX24" s="63">
        <f>$B$24*'05 - Relação de funcionários'!AG36</f>
        <v>803</v>
      </c>
      <c r="AY24" s="63">
        <f>$B$24*'05 - Relação de funcionários'!AH36</f>
        <v>803</v>
      </c>
      <c r="AZ24" s="63">
        <f>$B$24*'05 - Relação de funcionários'!AI36</f>
        <v>803</v>
      </c>
      <c r="BA24" s="63">
        <f>$B$24*'05 - Relação de funcionários'!AJ36</f>
        <v>803</v>
      </c>
    </row>
    <row r="25" spans="1:53" ht="13.15" customHeight="1" x14ac:dyDescent="0.2">
      <c r="A25" s="19" t="s">
        <v>860</v>
      </c>
      <c r="B25" s="502">
        <f>C25*'01 - Dados de Entrada'!$C$86+D25*'01 - Dados de Entrada'!$C$87+E25*'01 - Dados de Entrada'!$C$88+F25*'01 - Dados de Entrada'!$C$89+G25*'01 - Dados de Entrada'!$C$90+H25*'01 - Dados de Entrada'!$C$91+I25*'01 - Dados de Entrada'!$C$92+J25*'01 - Dados de Entrada'!$C$93+K25*'01 - Dados de Entrada'!$C$94+L25*'01 - Dados de Entrada'!$C$95+M25*'01 - Dados de Entrada'!$C$96+'08 - Custos com EPI e uniformes'!N25*'01 - Dados de Entrada'!$C$97+O25*'01 - Dados de Entrada'!$C$98+P25*'01 - Dados de Entrada'!$C$99+Q25*'01 - Dados de Entrada'!$C$100</f>
        <v>803</v>
      </c>
      <c r="C25" s="502">
        <v>5</v>
      </c>
      <c r="D25" s="502">
        <v>2</v>
      </c>
      <c r="E25" s="502">
        <v>1</v>
      </c>
      <c r="F25" s="502">
        <v>0</v>
      </c>
      <c r="G25" s="502">
        <v>0</v>
      </c>
      <c r="H25" s="502">
        <v>0</v>
      </c>
      <c r="I25" s="502">
        <v>0</v>
      </c>
      <c r="J25" s="502">
        <v>0</v>
      </c>
      <c r="K25" s="502">
        <v>0</v>
      </c>
      <c r="L25" s="511">
        <v>0</v>
      </c>
      <c r="M25" s="511">
        <v>0</v>
      </c>
      <c r="N25" s="511">
        <v>0</v>
      </c>
      <c r="O25" s="511"/>
      <c r="P25" s="511"/>
      <c r="Q25" s="511"/>
      <c r="R25" s="511">
        <f t="shared" si="1"/>
        <v>28105</v>
      </c>
      <c r="S25" s="63">
        <f>$B$25*'05 - Relação de funcionários'!B37</f>
        <v>803</v>
      </c>
      <c r="T25" s="63">
        <f>$B$25*'05 - Relação de funcionários'!C37</f>
        <v>803</v>
      </c>
      <c r="U25" s="63">
        <f>$B$25*'05 - Relação de funcionários'!D37</f>
        <v>803</v>
      </c>
      <c r="V25" s="63">
        <f>$B$25*'05 - Relação de funcionários'!E37</f>
        <v>803</v>
      </c>
      <c r="W25" s="63">
        <f>$B$25*'05 - Relação de funcionários'!F37</f>
        <v>803</v>
      </c>
      <c r="X25" s="63">
        <f>$B$25*'05 - Relação de funcionários'!G37</f>
        <v>803</v>
      </c>
      <c r="Y25" s="63">
        <f>$B$25*'05 - Relação de funcionários'!H37</f>
        <v>803</v>
      </c>
      <c r="Z25" s="63">
        <f>$B$25*'05 - Relação de funcionários'!I37</f>
        <v>803</v>
      </c>
      <c r="AA25" s="63">
        <f>$B$25*'05 - Relação de funcionários'!J37</f>
        <v>803</v>
      </c>
      <c r="AB25" s="63">
        <f>$B$25*'05 - Relação de funcionários'!K37</f>
        <v>803</v>
      </c>
      <c r="AC25" s="63">
        <f>$B$25*'05 - Relação de funcionários'!L37</f>
        <v>803</v>
      </c>
      <c r="AD25" s="63">
        <f>$B$25*'05 - Relação de funcionários'!M37</f>
        <v>803</v>
      </c>
      <c r="AE25" s="63">
        <f>$B$25*'05 - Relação de funcionários'!N37</f>
        <v>803</v>
      </c>
      <c r="AF25" s="63">
        <f>$B$25*'05 - Relação de funcionários'!O37</f>
        <v>803</v>
      </c>
      <c r="AG25" s="63">
        <f>$B$25*'05 - Relação de funcionários'!P37</f>
        <v>803</v>
      </c>
      <c r="AH25" s="63">
        <f>$B$25*'05 - Relação de funcionários'!Q37</f>
        <v>803</v>
      </c>
      <c r="AI25" s="63">
        <f>$B$25*'05 - Relação de funcionários'!R37</f>
        <v>803</v>
      </c>
      <c r="AJ25" s="63">
        <f>$B$25*'05 - Relação de funcionários'!S37</f>
        <v>803</v>
      </c>
      <c r="AK25" s="63">
        <f>$B$25*'05 - Relação de funcionários'!T37</f>
        <v>803</v>
      </c>
      <c r="AL25" s="63">
        <f>$B$25*'05 - Relação de funcionários'!U37</f>
        <v>803</v>
      </c>
      <c r="AM25" s="63">
        <f>$B$25*'05 - Relação de funcionários'!V37</f>
        <v>803</v>
      </c>
      <c r="AN25" s="63">
        <f>$B$25*'05 - Relação de funcionários'!W37</f>
        <v>803</v>
      </c>
      <c r="AO25" s="63">
        <f>$B$25*'05 - Relação de funcionários'!X37</f>
        <v>803</v>
      </c>
      <c r="AP25" s="63">
        <f>$B$25*'05 - Relação de funcionários'!Y37</f>
        <v>803</v>
      </c>
      <c r="AQ25" s="63">
        <f>$B$25*'05 - Relação de funcionários'!Z37</f>
        <v>803</v>
      </c>
      <c r="AR25" s="63">
        <f>$B$25*'05 - Relação de funcionários'!AA37</f>
        <v>803</v>
      </c>
      <c r="AS25" s="63">
        <f>$B$25*'05 - Relação de funcionários'!AB37</f>
        <v>803</v>
      </c>
      <c r="AT25" s="63">
        <f>$B$25*'05 - Relação de funcionários'!AC37</f>
        <v>803</v>
      </c>
      <c r="AU25" s="63">
        <f>$B$25*'05 - Relação de funcionários'!AD37</f>
        <v>803</v>
      </c>
      <c r="AV25" s="63">
        <f>$B$25*'05 - Relação de funcionários'!AE37</f>
        <v>803</v>
      </c>
      <c r="AW25" s="63">
        <f>$B$25*'05 - Relação de funcionários'!AF37</f>
        <v>803</v>
      </c>
      <c r="AX25" s="63">
        <f>$B$25*'05 - Relação de funcionários'!AG37</f>
        <v>803</v>
      </c>
      <c r="AY25" s="63">
        <f>$B$25*'05 - Relação de funcionários'!AH37</f>
        <v>803</v>
      </c>
      <c r="AZ25" s="63">
        <f>$B$25*'05 - Relação de funcionários'!AI37</f>
        <v>803</v>
      </c>
      <c r="BA25" s="63">
        <f>$B$25*'05 - Relação de funcionários'!AJ37</f>
        <v>803</v>
      </c>
    </row>
    <row r="26" spans="1:53" ht="13.15" customHeight="1" x14ac:dyDescent="0.2">
      <c r="A26" s="19" t="s">
        <v>861</v>
      </c>
      <c r="B26" s="502">
        <f>C26*'01 - Dados de Entrada'!$C$86+D26*'01 - Dados de Entrada'!$C$87+E26*'01 - Dados de Entrada'!$C$88+F26*'01 - Dados de Entrada'!$C$89+G26*'01 - Dados de Entrada'!$C$90+H26*'01 - Dados de Entrada'!$C$91+I26*'01 - Dados de Entrada'!$C$92+J26*'01 - Dados de Entrada'!$C$93+K26*'01 - Dados de Entrada'!$C$94+L26*'01 - Dados de Entrada'!$C$95+M26*'01 - Dados de Entrada'!$C$96+'08 - Custos com EPI e uniformes'!N26*'01 - Dados de Entrada'!$C$97+O26*'01 - Dados de Entrada'!$C$98+P26*'01 - Dados de Entrada'!$C$99+Q26*'01 - Dados de Entrada'!$C$100</f>
        <v>803</v>
      </c>
      <c r="C26" s="502">
        <v>5</v>
      </c>
      <c r="D26" s="502">
        <v>2</v>
      </c>
      <c r="E26" s="502">
        <v>1</v>
      </c>
      <c r="F26" s="502">
        <v>0</v>
      </c>
      <c r="G26" s="502">
        <v>0</v>
      </c>
      <c r="H26" s="502">
        <v>0</v>
      </c>
      <c r="I26" s="502">
        <v>0</v>
      </c>
      <c r="J26" s="502">
        <v>0</v>
      </c>
      <c r="K26" s="502">
        <v>0</v>
      </c>
      <c r="L26" s="511">
        <v>0</v>
      </c>
      <c r="M26" s="511">
        <v>0</v>
      </c>
      <c r="N26" s="511">
        <v>0</v>
      </c>
      <c r="O26" s="511"/>
      <c r="P26" s="511"/>
      <c r="Q26" s="511"/>
      <c r="R26" s="511">
        <f t="shared" si="1"/>
        <v>56210</v>
      </c>
      <c r="S26" s="63">
        <f>$B$26*'05 - Relação de funcionários'!B38</f>
        <v>1606</v>
      </c>
      <c r="T26" s="63">
        <f>$B$26*'05 - Relação de funcionários'!C38</f>
        <v>1606</v>
      </c>
      <c r="U26" s="63">
        <f>$B$26*'05 - Relação de funcionários'!D38</f>
        <v>1606</v>
      </c>
      <c r="V26" s="63">
        <f>$B$26*'05 - Relação de funcionários'!E38</f>
        <v>1606</v>
      </c>
      <c r="W26" s="63">
        <f>$B$26*'05 - Relação de funcionários'!F38</f>
        <v>1606</v>
      </c>
      <c r="X26" s="63">
        <f>$B$26*'05 - Relação de funcionários'!G38</f>
        <v>1606</v>
      </c>
      <c r="Y26" s="63">
        <f>$B$26*'05 - Relação de funcionários'!H38</f>
        <v>1606</v>
      </c>
      <c r="Z26" s="63">
        <f>$B$26*'05 - Relação de funcionários'!I38</f>
        <v>1606</v>
      </c>
      <c r="AA26" s="63">
        <f>$B$26*'05 - Relação de funcionários'!J38</f>
        <v>1606</v>
      </c>
      <c r="AB26" s="63">
        <f>$B$26*'05 - Relação de funcionários'!K38</f>
        <v>1606</v>
      </c>
      <c r="AC26" s="63">
        <f>$B$26*'05 - Relação de funcionários'!L38</f>
        <v>1606</v>
      </c>
      <c r="AD26" s="63">
        <f>$B$26*'05 - Relação de funcionários'!M38</f>
        <v>1606</v>
      </c>
      <c r="AE26" s="63">
        <f>$B$26*'05 - Relação de funcionários'!N38</f>
        <v>1606</v>
      </c>
      <c r="AF26" s="63">
        <f>$B$26*'05 - Relação de funcionários'!O38</f>
        <v>1606</v>
      </c>
      <c r="AG26" s="63">
        <f>$B$26*'05 - Relação de funcionários'!P38</f>
        <v>1606</v>
      </c>
      <c r="AH26" s="63">
        <f>$B$26*'05 - Relação de funcionários'!Q38</f>
        <v>1606</v>
      </c>
      <c r="AI26" s="63">
        <f>$B$26*'05 - Relação de funcionários'!R38</f>
        <v>1606</v>
      </c>
      <c r="AJ26" s="63">
        <f>$B$26*'05 - Relação de funcionários'!S38</f>
        <v>1606</v>
      </c>
      <c r="AK26" s="63">
        <f>$B$26*'05 - Relação de funcionários'!T38</f>
        <v>1606</v>
      </c>
      <c r="AL26" s="63">
        <f>$B$26*'05 - Relação de funcionários'!U38</f>
        <v>1606</v>
      </c>
      <c r="AM26" s="63">
        <f>$B$26*'05 - Relação de funcionários'!V38</f>
        <v>1606</v>
      </c>
      <c r="AN26" s="63">
        <f>$B$26*'05 - Relação de funcionários'!W38</f>
        <v>1606</v>
      </c>
      <c r="AO26" s="63">
        <f>$B$26*'05 - Relação de funcionários'!X38</f>
        <v>1606</v>
      </c>
      <c r="AP26" s="63">
        <f>$B$26*'05 - Relação de funcionários'!Y38</f>
        <v>1606</v>
      </c>
      <c r="AQ26" s="63">
        <f>$B$26*'05 - Relação de funcionários'!Z38</f>
        <v>1606</v>
      </c>
      <c r="AR26" s="63">
        <f>$B$26*'05 - Relação de funcionários'!AA38</f>
        <v>1606</v>
      </c>
      <c r="AS26" s="63">
        <f>$B$26*'05 - Relação de funcionários'!AB38</f>
        <v>1606</v>
      </c>
      <c r="AT26" s="63">
        <f>$B$26*'05 - Relação de funcionários'!AC38</f>
        <v>1606</v>
      </c>
      <c r="AU26" s="63">
        <f>$B$26*'05 - Relação de funcionários'!AD38</f>
        <v>1606</v>
      </c>
      <c r="AV26" s="63">
        <f>$B$26*'05 - Relação de funcionários'!AE38</f>
        <v>1606</v>
      </c>
      <c r="AW26" s="63">
        <f>$B$26*'05 - Relação de funcionários'!AF38</f>
        <v>1606</v>
      </c>
      <c r="AX26" s="63">
        <f>$B$26*'05 - Relação de funcionários'!AG38</f>
        <v>1606</v>
      </c>
      <c r="AY26" s="63">
        <f>$B$26*'05 - Relação de funcionários'!AH38</f>
        <v>1606</v>
      </c>
      <c r="AZ26" s="63">
        <f>$B$26*'05 - Relação de funcionários'!AI38</f>
        <v>1606</v>
      </c>
      <c r="BA26" s="63">
        <f>$B$26*'05 - Relação de funcionários'!AJ38</f>
        <v>1606</v>
      </c>
    </row>
    <row r="27" spans="1:53" ht="13.15" customHeight="1" x14ac:dyDescent="0.2">
      <c r="A27" s="15"/>
      <c r="B27" s="502"/>
      <c r="C27" s="502"/>
      <c r="D27" s="502"/>
      <c r="E27" s="502"/>
      <c r="F27" s="502"/>
      <c r="G27" s="502"/>
      <c r="H27" s="502"/>
      <c r="I27" s="502"/>
      <c r="J27" s="502"/>
      <c r="K27" s="502"/>
      <c r="L27" s="511"/>
      <c r="M27" s="511"/>
      <c r="N27" s="511"/>
      <c r="O27" s="511"/>
      <c r="P27" s="511"/>
      <c r="Q27" s="511"/>
      <c r="R27" s="511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</row>
    <row r="28" spans="1:53" s="18" customFormat="1" ht="13.15" customHeight="1" x14ac:dyDescent="0.2">
      <c r="A28" s="29" t="s">
        <v>801</v>
      </c>
      <c r="B28" s="502">
        <f>C28*'01 - Dados de Entrada'!$C$86+D28*'01 - Dados de Entrada'!$C$87+E28*'01 - Dados de Entrada'!$C$88+F28*'01 - Dados de Entrada'!$C$89+G28*'01 - Dados de Entrada'!$C$90+H28*'01 - Dados de Entrada'!$C$91+I28*'01 - Dados de Entrada'!$C$92+J28*'01 - Dados de Entrada'!$C$93+K28*'01 - Dados de Entrada'!$C$94+L28*'01 - Dados de Entrada'!$C$95+M28*'01 - Dados de Entrada'!$C$96+'08 - Custos com EPI e uniformes'!N28*'01 - Dados de Entrada'!$C$97+O28*'01 - Dados de Entrada'!$C$98+P28*'01 - Dados de Entrada'!$C$99+Q28*'01 - Dados de Entrada'!$C$100</f>
        <v>0</v>
      </c>
      <c r="C28" s="502"/>
      <c r="D28" s="502"/>
      <c r="E28" s="502"/>
      <c r="F28" s="502"/>
      <c r="G28" s="502"/>
      <c r="H28" s="502"/>
      <c r="I28" s="502"/>
      <c r="J28" s="502"/>
      <c r="K28" s="502"/>
      <c r="L28" s="511"/>
      <c r="M28" s="511"/>
      <c r="N28" s="511"/>
      <c r="O28" s="511"/>
      <c r="P28" s="511"/>
      <c r="Q28" s="511"/>
      <c r="R28" s="511">
        <f t="shared" si="1"/>
        <v>0</v>
      </c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</row>
    <row r="29" spans="1:53" ht="13.15" customHeight="1" x14ac:dyDescent="0.2">
      <c r="A29" s="15" t="s">
        <v>929</v>
      </c>
      <c r="B29" s="502">
        <f>C29*'01 - Dados de Entrada'!$C$86+D29*'01 - Dados de Entrada'!$C$87+E29*'01 - Dados de Entrada'!$C$88+F29*'01 - Dados de Entrada'!$C$89+G29*'01 - Dados de Entrada'!$C$90+H29*'01 - Dados de Entrada'!$C$91+I29*'01 - Dados de Entrada'!$C$92+J29*'01 - Dados de Entrada'!$C$93+K29*'01 - Dados de Entrada'!$C$94+L29*'01 - Dados de Entrada'!$C$95+M29*'01 - Dados de Entrada'!$C$96+'08 - Custos com EPI e uniformes'!N29*'01 - Dados de Entrada'!$C$97+O29*'01 - Dados de Entrada'!$C$98+P29*'01 - Dados de Entrada'!$C$99+Q29*'01 - Dados de Entrada'!$C$100</f>
        <v>803</v>
      </c>
      <c r="C29" s="502">
        <v>5</v>
      </c>
      <c r="D29" s="502">
        <v>2</v>
      </c>
      <c r="E29" s="502">
        <v>1</v>
      </c>
      <c r="F29" s="502">
        <v>0</v>
      </c>
      <c r="G29" s="502">
        <v>0</v>
      </c>
      <c r="H29" s="502">
        <v>0</v>
      </c>
      <c r="I29" s="502">
        <v>0</v>
      </c>
      <c r="J29" s="502">
        <v>0</v>
      </c>
      <c r="K29" s="502">
        <v>0</v>
      </c>
      <c r="L29" s="511">
        <v>0</v>
      </c>
      <c r="M29" s="511">
        <v>0</v>
      </c>
      <c r="N29" s="511">
        <v>0</v>
      </c>
      <c r="O29" s="511"/>
      <c r="P29" s="511"/>
      <c r="Q29" s="511"/>
      <c r="R29" s="511">
        <f>SUM(S29:BA29)</f>
        <v>28105</v>
      </c>
      <c r="S29" s="63">
        <f>$B$7*'05 - Relação de funcionários'!B41</f>
        <v>803</v>
      </c>
      <c r="T29" s="63">
        <f>$B$7*'05 - Relação de funcionários'!C41</f>
        <v>803</v>
      </c>
      <c r="U29" s="63">
        <f>$B$7*'05 - Relação de funcionários'!D41</f>
        <v>803</v>
      </c>
      <c r="V29" s="63">
        <f>$B$7*'05 - Relação de funcionários'!E41</f>
        <v>803</v>
      </c>
      <c r="W29" s="63">
        <f>$B$7*'05 - Relação de funcionários'!F41</f>
        <v>803</v>
      </c>
      <c r="X29" s="63">
        <f>$B$7*'05 - Relação de funcionários'!G41</f>
        <v>803</v>
      </c>
      <c r="Y29" s="63">
        <f>$B$7*'05 - Relação de funcionários'!H41</f>
        <v>803</v>
      </c>
      <c r="Z29" s="63">
        <f>$B$7*'05 - Relação de funcionários'!I41</f>
        <v>803</v>
      </c>
      <c r="AA29" s="63">
        <f>$B$7*'05 - Relação de funcionários'!J41</f>
        <v>803</v>
      </c>
      <c r="AB29" s="63">
        <f>$B$7*'05 - Relação de funcionários'!K41</f>
        <v>803</v>
      </c>
      <c r="AC29" s="63">
        <f>$B$7*'05 - Relação de funcionários'!L41</f>
        <v>803</v>
      </c>
      <c r="AD29" s="63">
        <f>$B$7*'05 - Relação de funcionários'!M41</f>
        <v>803</v>
      </c>
      <c r="AE29" s="63">
        <f>$B$7*'05 - Relação de funcionários'!N41</f>
        <v>803</v>
      </c>
      <c r="AF29" s="63">
        <f>$B$7*'05 - Relação de funcionários'!O41</f>
        <v>803</v>
      </c>
      <c r="AG29" s="63">
        <f>$B$7*'05 - Relação de funcionários'!P41</f>
        <v>803</v>
      </c>
      <c r="AH29" s="63">
        <f>$B$7*'05 - Relação de funcionários'!Q41</f>
        <v>803</v>
      </c>
      <c r="AI29" s="63">
        <f>$B$7*'05 - Relação de funcionários'!R41</f>
        <v>803</v>
      </c>
      <c r="AJ29" s="63">
        <f>$B$7*'05 - Relação de funcionários'!S41</f>
        <v>803</v>
      </c>
      <c r="AK29" s="63">
        <f>$B$7*'05 - Relação de funcionários'!T41</f>
        <v>803</v>
      </c>
      <c r="AL29" s="63">
        <f>$B$7*'05 - Relação de funcionários'!U41</f>
        <v>803</v>
      </c>
      <c r="AM29" s="63">
        <f>$B$7*'05 - Relação de funcionários'!V41</f>
        <v>803</v>
      </c>
      <c r="AN29" s="63">
        <f>$B$7*'05 - Relação de funcionários'!W41</f>
        <v>803</v>
      </c>
      <c r="AO29" s="63">
        <f>$B$7*'05 - Relação de funcionários'!X41</f>
        <v>803</v>
      </c>
      <c r="AP29" s="63">
        <f>$B$7*'05 - Relação de funcionários'!Y41</f>
        <v>803</v>
      </c>
      <c r="AQ29" s="63">
        <f>$B$7*'05 - Relação de funcionários'!Z41</f>
        <v>803</v>
      </c>
      <c r="AR29" s="63">
        <f>$B$7*'05 - Relação de funcionários'!AA41</f>
        <v>803</v>
      </c>
      <c r="AS29" s="63">
        <f>$B$7*'05 - Relação de funcionários'!AB41</f>
        <v>803</v>
      </c>
      <c r="AT29" s="63">
        <f>$B$7*'05 - Relação de funcionários'!AC41</f>
        <v>803</v>
      </c>
      <c r="AU29" s="63">
        <f>$B$7*'05 - Relação de funcionários'!AD41</f>
        <v>803</v>
      </c>
      <c r="AV29" s="63">
        <f>$B$7*'05 - Relação de funcionários'!AE41</f>
        <v>803</v>
      </c>
      <c r="AW29" s="63">
        <f>$B$7*'05 - Relação de funcionários'!AF41</f>
        <v>803</v>
      </c>
      <c r="AX29" s="63">
        <f>$B$7*'05 - Relação de funcionários'!AG41</f>
        <v>803</v>
      </c>
      <c r="AY29" s="63">
        <f>$B$7*'05 - Relação de funcionários'!AH41</f>
        <v>803</v>
      </c>
      <c r="AZ29" s="63">
        <f>$B$7*'05 - Relação de funcionários'!AI41</f>
        <v>803</v>
      </c>
      <c r="BA29" s="63">
        <f>$B$7*'05 - Relação de funcionários'!AJ41</f>
        <v>803</v>
      </c>
    </row>
    <row r="30" spans="1:53" ht="13.15" customHeight="1" x14ac:dyDescent="0.2">
      <c r="A30" s="15"/>
      <c r="B30" s="502">
        <f>C30*'01 - Dados de Entrada'!$C$86+D30*'01 - Dados de Entrada'!$C$87+E30*'01 - Dados de Entrada'!$C$88+F30*'01 - Dados de Entrada'!$C$89+G30*'01 - Dados de Entrada'!$C$90+H30*'01 - Dados de Entrada'!$C$91+I30*'01 - Dados de Entrada'!$C$92+J30*'01 - Dados de Entrada'!$C$93+K30*'01 - Dados de Entrada'!$C$94+L30*'01 - Dados de Entrada'!$C$95+M30*'01 - Dados de Entrada'!$C$96+'08 - Custos com EPI e uniformes'!N30*'01 - Dados de Entrada'!$C$97+O30*'01 - Dados de Entrada'!$C$98+P30*'01 - Dados de Entrada'!$C$99+Q30*'01 - Dados de Entrada'!$C$100</f>
        <v>0</v>
      </c>
      <c r="C30" s="502"/>
      <c r="D30" s="502"/>
      <c r="E30" s="502"/>
      <c r="F30" s="502"/>
      <c r="G30" s="502"/>
      <c r="H30" s="502"/>
      <c r="I30" s="502"/>
      <c r="J30" s="502"/>
      <c r="K30" s="502"/>
      <c r="L30" s="511"/>
      <c r="M30" s="511"/>
      <c r="N30" s="511"/>
      <c r="O30" s="511"/>
      <c r="P30" s="511"/>
      <c r="Q30" s="511"/>
      <c r="R30" s="511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</row>
    <row r="31" spans="1:53" ht="13.15" customHeight="1" x14ac:dyDescent="0.2">
      <c r="A31" s="16" t="s">
        <v>835</v>
      </c>
      <c r="B31" s="502">
        <f>C31*'01 - Dados de Entrada'!$C$86+D31*'01 - Dados de Entrada'!$C$87+E31*'01 - Dados de Entrada'!$C$88+F31*'01 - Dados de Entrada'!$C$89+G31*'01 - Dados de Entrada'!$C$90+H31*'01 - Dados de Entrada'!$C$91+I31*'01 - Dados de Entrada'!$C$92+J31*'01 - Dados de Entrada'!$C$93+K31*'01 - Dados de Entrada'!$C$94+L31*'01 - Dados de Entrada'!$C$95+M31*'01 - Dados de Entrada'!$C$96+'08 - Custos com EPI e uniformes'!N31*'01 - Dados de Entrada'!$C$97+O31*'01 - Dados de Entrada'!$C$98+P31*'01 - Dados de Entrada'!$C$99+Q31*'01 - Dados de Entrada'!$C$100</f>
        <v>0</v>
      </c>
      <c r="C31" s="502"/>
      <c r="D31" s="502"/>
      <c r="E31" s="502"/>
      <c r="F31" s="502"/>
      <c r="G31" s="502"/>
      <c r="H31" s="502"/>
      <c r="I31" s="502"/>
      <c r="J31" s="502"/>
      <c r="K31" s="502"/>
      <c r="L31" s="511"/>
      <c r="M31" s="511"/>
      <c r="N31" s="511"/>
      <c r="O31" s="511"/>
      <c r="P31" s="511"/>
      <c r="Q31" s="511"/>
      <c r="R31" s="511">
        <f t="shared" si="1"/>
        <v>0</v>
      </c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</row>
    <row r="32" spans="1:53" ht="13.15" customHeight="1" x14ac:dyDescent="0.2">
      <c r="A32" s="15" t="s">
        <v>863</v>
      </c>
      <c r="B32" s="502">
        <f>C32*'01 - Dados de Entrada'!$C$86+D32*'01 - Dados de Entrada'!$C$87+E32*'01 - Dados de Entrada'!$C$88+F32*'01 - Dados de Entrada'!$C$89+G32*'01 - Dados de Entrada'!$C$90+H32*'01 - Dados de Entrada'!$C$91+I32*'01 - Dados de Entrada'!$C$92+J32*'01 - Dados de Entrada'!$C$93+K32*'01 - Dados de Entrada'!$C$94+L32*'01 - Dados de Entrada'!$C$95+M32*'01 - Dados de Entrada'!$C$96+'08 - Custos com EPI e uniformes'!N32*'01 - Dados de Entrada'!$C$97+O32*'01 - Dados de Entrada'!$C$98+P32*'01 - Dados de Entrada'!$C$99+Q32*'01 - Dados de Entrada'!$C$100</f>
        <v>2172.0099999999998</v>
      </c>
      <c r="C32" s="502">
        <v>0</v>
      </c>
      <c r="D32" s="502">
        <v>0</v>
      </c>
      <c r="E32" s="502">
        <v>0</v>
      </c>
      <c r="F32" s="502">
        <v>8</v>
      </c>
      <c r="G32" s="502">
        <v>8</v>
      </c>
      <c r="H32" s="502">
        <v>3</v>
      </c>
      <c r="I32" s="502">
        <v>4</v>
      </c>
      <c r="J32" s="502">
        <v>3</v>
      </c>
      <c r="K32" s="502">
        <v>4</v>
      </c>
      <c r="L32" s="511">
        <v>12</v>
      </c>
      <c r="M32" s="511">
        <v>12</v>
      </c>
      <c r="N32" s="511">
        <v>6</v>
      </c>
      <c r="O32" s="511"/>
      <c r="P32" s="511"/>
      <c r="Q32" s="511"/>
      <c r="R32" s="511">
        <f t="shared" si="1"/>
        <v>69175.300000000017</v>
      </c>
      <c r="S32" s="63">
        <f>$B32*'05 - Relação de funcionários'!B44</f>
        <v>2172.0099999999998</v>
      </c>
      <c r="T32" s="63">
        <f>$B32*'05 - Relação de funcionários'!C44</f>
        <v>2172.0099999999998</v>
      </c>
      <c r="U32" s="63">
        <f>$B32*'05 - Relação de funcionários'!D44</f>
        <v>2172.0099999999998</v>
      </c>
      <c r="V32" s="63">
        <f>$B32*'05 - Relação de funcionários'!E44</f>
        <v>2172.0099999999998</v>
      </c>
      <c r="W32" s="63">
        <f>$B32*'05 - Relação de funcionários'!F44</f>
        <v>2172.0099999999998</v>
      </c>
      <c r="X32" s="63">
        <f>$B32*'05 - Relação de funcionários'!G44</f>
        <v>2172.0099999999998</v>
      </c>
      <c r="Y32" s="63">
        <f>$B32*'05 - Relação de funcionários'!H44</f>
        <v>2172.0099999999998</v>
      </c>
      <c r="Z32" s="63">
        <f>$B32*'05 - Relação de funcionários'!I44</f>
        <v>2172.0099999999998</v>
      </c>
      <c r="AA32" s="63">
        <f>$B32*'05 - Relação de funcionários'!J44</f>
        <v>2172.0099999999998</v>
      </c>
      <c r="AB32" s="63">
        <f>$B32*'05 - Relação de funcionários'!K44</f>
        <v>2172.0099999999998</v>
      </c>
      <c r="AC32" s="63">
        <f>$B32*'05 - Relação de funcionários'!L44</f>
        <v>2172.0099999999998</v>
      </c>
      <c r="AD32" s="63">
        <f>$B32*'05 - Relação de funcionários'!M44</f>
        <v>2172.0099999999998</v>
      </c>
      <c r="AE32" s="63">
        <f>$B32*'05 - Relação de funcionários'!N44</f>
        <v>2172.0099999999998</v>
      </c>
      <c r="AF32" s="63">
        <f>$B32*'05 - Relação de funcionários'!O44</f>
        <v>2172.0099999999998</v>
      </c>
      <c r="AG32" s="63">
        <f>$B32*'05 - Relação de funcionários'!P44</f>
        <v>2172.0099999999998</v>
      </c>
      <c r="AH32" s="63">
        <f>$B32*'05 - Relação de funcionários'!Q44</f>
        <v>2172.0099999999998</v>
      </c>
      <c r="AI32" s="63">
        <f>$B32*'05 - Relação de funcionários'!R44</f>
        <v>2172.0099999999998</v>
      </c>
      <c r="AJ32" s="63">
        <f>$B32*'05 - Relação de funcionários'!S44</f>
        <v>2172.0099999999998</v>
      </c>
      <c r="AK32" s="63">
        <f>$B32*'05 - Relação de funcionários'!T44</f>
        <v>2172.0099999999998</v>
      </c>
      <c r="AL32" s="63">
        <f>$B32*'05 - Relação de funcionários'!U44</f>
        <v>2172.0099999999998</v>
      </c>
      <c r="AM32" s="63">
        <f>$B32*'05 - Relação de funcionários'!V44</f>
        <v>2172.0099999999998</v>
      </c>
      <c r="AN32" s="63">
        <f>$B32*'05 - Relação de funcionários'!W44</f>
        <v>2172.0099999999998</v>
      </c>
      <c r="AO32" s="63">
        <f>$B32*'05 - Relação de funcionários'!X44</f>
        <v>2172.0099999999998</v>
      </c>
      <c r="AP32" s="63">
        <f>$B32*'05 - Relação de funcionários'!Y44</f>
        <v>2172.0099999999998</v>
      </c>
      <c r="AQ32" s="63">
        <f>$B32*'05 - Relação de funcionários'!Z44</f>
        <v>2172.0099999999998</v>
      </c>
      <c r="AR32" s="63">
        <f>$B32*'05 - Relação de funcionários'!AA44</f>
        <v>2172.0099999999998</v>
      </c>
      <c r="AS32" s="63">
        <f>$B32*'05 - Relação de funcionários'!AB44</f>
        <v>2172.0099999999998</v>
      </c>
      <c r="AT32" s="63">
        <f>$B32*'05 - Relação de funcionários'!AC44</f>
        <v>2172.0099999999998</v>
      </c>
      <c r="AU32" s="63">
        <f>$B32*'05 - Relação de funcionários'!AD44</f>
        <v>2172.0099999999998</v>
      </c>
      <c r="AV32" s="63">
        <f>$B32*'05 - Relação de funcionários'!AE44</f>
        <v>2172.0099999999998</v>
      </c>
      <c r="AW32" s="63">
        <f>$B$7*'05 - Relação de funcionários'!AF44</f>
        <v>803</v>
      </c>
      <c r="AX32" s="63">
        <f>$B$7*'05 - Relação de funcionários'!AG44</f>
        <v>803</v>
      </c>
      <c r="AY32" s="63">
        <f>$B$7*'05 - Relação de funcionários'!AH44</f>
        <v>803</v>
      </c>
      <c r="AZ32" s="63">
        <f>$B$7*'05 - Relação de funcionários'!AI44</f>
        <v>803</v>
      </c>
      <c r="BA32" s="63">
        <f>$B$7*'05 - Relação de funcionários'!AJ44</f>
        <v>803</v>
      </c>
    </row>
    <row r="33" spans="1:53" s="258" customFormat="1" ht="13.15" customHeight="1" x14ac:dyDescent="0.2">
      <c r="A33" s="16" t="s">
        <v>864</v>
      </c>
      <c r="B33" s="502">
        <f>C33*'01 - Dados de Entrada'!$C$86+D33*'01 - Dados de Entrada'!$C$87+E33*'01 - Dados de Entrada'!$C$88+F33*'01 - Dados de Entrada'!$C$89+G33*'01 - Dados de Entrada'!$C$90+H33*'01 - Dados de Entrada'!$C$91+I33*'01 - Dados de Entrada'!$C$92+J33*'01 - Dados de Entrada'!$C$93+K33*'01 - Dados de Entrada'!$C$94+L33*'01 - Dados de Entrada'!$C$95+M33*'01 - Dados de Entrada'!$C$96+'08 - Custos com EPI e uniformes'!N33*'01 - Dados de Entrada'!$C$97+O33*'01 - Dados de Entrada'!$C$98+P33*'01 - Dados de Entrada'!$C$99+Q33*'01 - Dados de Entrada'!$C$100</f>
        <v>0</v>
      </c>
      <c r="C33" s="46"/>
      <c r="D33" s="46"/>
      <c r="E33" s="46"/>
      <c r="F33" s="46"/>
      <c r="G33" s="46"/>
      <c r="H33" s="46"/>
      <c r="I33" s="46"/>
      <c r="J33" s="46"/>
      <c r="K33" s="46"/>
      <c r="L33" s="264"/>
      <c r="M33" s="264"/>
      <c r="N33" s="264"/>
      <c r="O33" s="264"/>
      <c r="P33" s="264"/>
      <c r="Q33" s="264"/>
      <c r="R33" s="264">
        <f t="shared" si="1"/>
        <v>0</v>
      </c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5"/>
      <c r="AE33" s="265"/>
      <c r="AF33" s="265"/>
      <c r="AG33" s="265"/>
      <c r="AH33" s="265"/>
      <c r="AI33" s="265"/>
      <c r="AJ33" s="265"/>
      <c r="AK33" s="265"/>
      <c r="AL33" s="265"/>
      <c r="AM33" s="265"/>
      <c r="AN33" s="265"/>
      <c r="AO33" s="265"/>
      <c r="AP33" s="265"/>
      <c r="AQ33" s="265"/>
      <c r="AR33" s="265"/>
      <c r="AS33" s="265"/>
      <c r="AT33" s="265"/>
      <c r="AU33" s="265"/>
      <c r="AV33" s="265"/>
      <c r="AW33" s="265">
        <f>$B$7*'05 - Relação de funcionários'!AF45</f>
        <v>0</v>
      </c>
      <c r="AX33" s="265">
        <f>$B$7*'05 - Relação de funcionários'!AG45</f>
        <v>0</v>
      </c>
      <c r="AY33" s="265">
        <f>$B$7*'05 - Relação de funcionários'!AH45</f>
        <v>0</v>
      </c>
      <c r="AZ33" s="265">
        <f>$B$7*'05 - Relação de funcionários'!AI45</f>
        <v>0</v>
      </c>
      <c r="BA33" s="265">
        <f>$B$7*'05 - Relação de funcionários'!AJ45</f>
        <v>0</v>
      </c>
    </row>
    <row r="34" spans="1:53" s="258" customFormat="1" ht="13.15" customHeight="1" x14ac:dyDescent="0.2">
      <c r="A34" s="261" t="s">
        <v>883</v>
      </c>
      <c r="B34" s="502">
        <f>C34*'01 - Dados de Entrada'!$C$86+D34*'01 - Dados de Entrada'!$C$87+E34*'01 - Dados de Entrada'!$C$88+F34*'01 - Dados de Entrada'!$C$89+G34*'01 - Dados de Entrada'!$C$90+H34*'01 - Dados de Entrada'!$C$91+I34*'01 - Dados de Entrada'!$C$92+J34*'01 - Dados de Entrada'!$C$93+K34*'01 - Dados de Entrada'!$C$94+L34*'01 - Dados de Entrada'!$C$95+M34*'01 - Dados de Entrada'!$C$96+'08 - Custos com EPI e uniformes'!N34*'01 - Dados de Entrada'!$C$97+O34*'01 - Dados de Entrada'!$C$98+P34*'01 - Dados de Entrada'!$C$99+Q34*'01 - Dados de Entrada'!$C$100</f>
        <v>2172.0099999999998</v>
      </c>
      <c r="C34" s="46">
        <v>0</v>
      </c>
      <c r="D34" s="46">
        <v>0</v>
      </c>
      <c r="E34" s="46">
        <v>0</v>
      </c>
      <c r="F34" s="46">
        <v>8</v>
      </c>
      <c r="G34" s="46">
        <v>8</v>
      </c>
      <c r="H34" s="46">
        <v>3</v>
      </c>
      <c r="I34" s="46">
        <v>4</v>
      </c>
      <c r="J34" s="46">
        <v>3</v>
      </c>
      <c r="K34" s="46">
        <v>4</v>
      </c>
      <c r="L34" s="264">
        <v>12</v>
      </c>
      <c r="M34" s="264">
        <v>12</v>
      </c>
      <c r="N34" s="264">
        <v>6</v>
      </c>
      <c r="O34" s="264"/>
      <c r="P34" s="264"/>
      <c r="Q34" s="264"/>
      <c r="R34" s="264">
        <f t="shared" si="1"/>
        <v>2172010.0000000009</v>
      </c>
      <c r="S34" s="265">
        <f>$B34*'05 - Relação de funcionários'!B46</f>
        <v>56472.259999999995</v>
      </c>
      <c r="T34" s="265">
        <f>$B34*'05 - Relação de funcionários'!C46</f>
        <v>56472.259999999995</v>
      </c>
      <c r="U34" s="265">
        <f>$B34*'05 - Relação de funcionários'!D46</f>
        <v>56472.259999999995</v>
      </c>
      <c r="V34" s="265">
        <f>$B34*'05 - Relação de funcionários'!E46</f>
        <v>56472.259999999995</v>
      </c>
      <c r="W34" s="265">
        <f>$B34*'05 - Relação de funcionários'!F46</f>
        <v>56472.259999999995</v>
      </c>
      <c r="X34" s="265">
        <f>$B34*'05 - Relação de funcionários'!G46</f>
        <v>62988.289999999994</v>
      </c>
      <c r="Y34" s="265">
        <f>$B34*'05 - Relação de funcionários'!H46</f>
        <v>62988.289999999994</v>
      </c>
      <c r="Z34" s="265">
        <f>$B34*'05 - Relação de funcionários'!I46</f>
        <v>62988.289999999994</v>
      </c>
      <c r="AA34" s="265">
        <f>$B34*'05 - Relação de funcionários'!J46</f>
        <v>62988.289999999994</v>
      </c>
      <c r="AB34" s="265">
        <f>$B34*'05 - Relação de funcionários'!K46</f>
        <v>62988.289999999994</v>
      </c>
      <c r="AC34" s="265">
        <f>$B34*'05 - Relação de funcionários'!L46</f>
        <v>62988.289999999994</v>
      </c>
      <c r="AD34" s="265">
        <f>$B34*'05 - Relação de funcionários'!M46</f>
        <v>62988.289999999994</v>
      </c>
      <c r="AE34" s="265">
        <f>$B34*'05 - Relação de funcionários'!N46</f>
        <v>62988.289999999994</v>
      </c>
      <c r="AF34" s="265">
        <f>$B34*'05 - Relação de funcionários'!O46</f>
        <v>62988.289999999994</v>
      </c>
      <c r="AG34" s="265">
        <f>$B34*'05 - Relação de funcionários'!P46</f>
        <v>62988.289999999994</v>
      </c>
      <c r="AH34" s="265">
        <f>$B34*'05 - Relação de funcionários'!Q46</f>
        <v>62988.289999999994</v>
      </c>
      <c r="AI34" s="265">
        <f>$B34*'05 - Relação de funcionários'!R46</f>
        <v>62988.289999999994</v>
      </c>
      <c r="AJ34" s="265">
        <f>$B34*'05 - Relação de funcionários'!S46</f>
        <v>62988.289999999994</v>
      </c>
      <c r="AK34" s="265">
        <f>$B34*'05 - Relação de funcionários'!T46</f>
        <v>62988.289999999994</v>
      </c>
      <c r="AL34" s="265">
        <f>$B34*'05 - Relação de funcionários'!U46</f>
        <v>62988.289999999994</v>
      </c>
      <c r="AM34" s="265">
        <f>$B34*'05 - Relação de funcionários'!V46</f>
        <v>62988.289999999994</v>
      </c>
      <c r="AN34" s="265">
        <f>$B34*'05 - Relação de funcionários'!W46</f>
        <v>62988.289999999994</v>
      </c>
      <c r="AO34" s="265">
        <f>$B34*'05 - Relação de funcionários'!X46</f>
        <v>62988.289999999994</v>
      </c>
      <c r="AP34" s="265">
        <f>$B34*'05 - Relação de funcionários'!Y46</f>
        <v>62988.289999999994</v>
      </c>
      <c r="AQ34" s="265">
        <f>$B34*'05 - Relação de funcionários'!Z46</f>
        <v>62988.289999999994</v>
      </c>
      <c r="AR34" s="265">
        <f>$B34*'05 - Relação de funcionários'!AA46</f>
        <v>62988.289999999994</v>
      </c>
      <c r="AS34" s="265">
        <f>$B34*'05 - Relação de funcionários'!AB46</f>
        <v>62988.289999999994</v>
      </c>
      <c r="AT34" s="265">
        <f>$B34*'05 - Relação de funcionários'!AC46</f>
        <v>62988.289999999994</v>
      </c>
      <c r="AU34" s="265">
        <f>$B34*'05 - Relação de funcionários'!AD46</f>
        <v>62988.289999999994</v>
      </c>
      <c r="AV34" s="265">
        <f>$B34*'05 - Relação de funcionários'!AE46</f>
        <v>62988.289999999994</v>
      </c>
      <c r="AW34" s="265">
        <f>$B34*'05 - Relação de funcionários'!AF46</f>
        <v>62988.289999999994</v>
      </c>
      <c r="AX34" s="265">
        <f>$B34*'05 - Relação de funcionários'!AG46</f>
        <v>62988.289999999994</v>
      </c>
      <c r="AY34" s="265">
        <f>$B34*'05 - Relação de funcionários'!AH46</f>
        <v>62988.289999999994</v>
      </c>
      <c r="AZ34" s="265">
        <f>$B34*'05 - Relação de funcionários'!AI46</f>
        <v>62988.289999999994</v>
      </c>
      <c r="BA34" s="265">
        <f>$B34*'05 - Relação de funcionários'!AJ46</f>
        <v>62988.289999999994</v>
      </c>
    </row>
    <row r="35" spans="1:53" s="258" customFormat="1" ht="13.15" customHeight="1" x14ac:dyDescent="0.2">
      <c r="A35" s="261" t="s">
        <v>903</v>
      </c>
      <c r="B35" s="502">
        <f>C35*'01 - Dados de Entrada'!$C$86+D35*'01 - Dados de Entrada'!$C$87+E35*'01 - Dados de Entrada'!$C$88+F35*'01 - Dados de Entrada'!$C$89+G35*'01 - Dados de Entrada'!$C$90+H35*'01 - Dados de Entrada'!$C$91+I35*'01 - Dados de Entrada'!$C$92+J35*'01 - Dados de Entrada'!$C$93+K35*'01 - Dados de Entrada'!$C$94+L35*'01 - Dados de Entrada'!$C$95+M35*'01 - Dados de Entrada'!$C$96+'08 - Custos com EPI e uniformes'!N35*'01 - Dados de Entrada'!$C$97+O35*'01 - Dados de Entrada'!$C$98+P35*'01 - Dados de Entrada'!$C$99+Q35*'01 - Dados de Entrada'!$C$100</f>
        <v>2419.39</v>
      </c>
      <c r="C35" s="46">
        <v>0</v>
      </c>
      <c r="D35" s="46">
        <v>0</v>
      </c>
      <c r="E35" s="46">
        <v>0</v>
      </c>
      <c r="F35" s="46">
        <v>8</v>
      </c>
      <c r="G35" s="46">
        <v>8</v>
      </c>
      <c r="H35" s="46">
        <v>3</v>
      </c>
      <c r="I35" s="46">
        <v>4</v>
      </c>
      <c r="J35" s="46">
        <v>3</v>
      </c>
      <c r="K35" s="46">
        <v>4</v>
      </c>
      <c r="L35" s="264">
        <v>24</v>
      </c>
      <c r="M35" s="264">
        <v>12</v>
      </c>
      <c r="N35" s="264">
        <v>6</v>
      </c>
      <c r="O35" s="264"/>
      <c r="P35" s="264"/>
      <c r="Q35" s="264">
        <v>24</v>
      </c>
      <c r="R35" s="264">
        <f>SUM(S35:BA35)</f>
        <v>4233932.5000000009</v>
      </c>
      <c r="S35" s="265">
        <f>$B35*('05 - Relação de funcionários'!B47)</f>
        <v>106453.15999999999</v>
      </c>
      <c r="T35" s="265">
        <f>$B35*('05 - Relação de funcionários'!C47)</f>
        <v>106453.15999999999</v>
      </c>
      <c r="U35" s="265">
        <f>$B35*('05 - Relação de funcionários'!D47)</f>
        <v>106453.15999999999</v>
      </c>
      <c r="V35" s="265">
        <f>$B35*('05 - Relação de funcionários'!E47)</f>
        <v>106453.15999999999</v>
      </c>
      <c r="W35" s="265">
        <f>$B35*('05 - Relação de funcionários'!F47)</f>
        <v>106453.15999999999</v>
      </c>
      <c r="X35" s="265">
        <f>$B35*('05 - Relação de funcionários'!G47)</f>
        <v>123388.89</v>
      </c>
      <c r="Y35" s="265">
        <f>$B35*('05 - Relação de funcionários'!H47)</f>
        <v>123388.89</v>
      </c>
      <c r="Z35" s="265">
        <f>$B35*('05 - Relação de funcionários'!I47)</f>
        <v>123388.89</v>
      </c>
      <c r="AA35" s="265">
        <f>$B35*('05 - Relação de funcionários'!J47)</f>
        <v>123388.89</v>
      </c>
      <c r="AB35" s="265">
        <f>$B35*('05 - Relação de funcionários'!K47)</f>
        <v>123388.89</v>
      </c>
      <c r="AC35" s="265">
        <f>$B35*('05 - Relação de funcionários'!L47)</f>
        <v>123388.89</v>
      </c>
      <c r="AD35" s="265">
        <f>$B35*('05 - Relação de funcionários'!M47)</f>
        <v>123388.89</v>
      </c>
      <c r="AE35" s="265">
        <f>$B35*('05 - Relação de funcionários'!N47)</f>
        <v>123388.89</v>
      </c>
      <c r="AF35" s="265">
        <f>$B35*('05 - Relação de funcionários'!O47)</f>
        <v>123388.89</v>
      </c>
      <c r="AG35" s="265">
        <f>$B35*('05 - Relação de funcionários'!P47)</f>
        <v>123388.89</v>
      </c>
      <c r="AH35" s="265">
        <f>$B35*('05 - Relação de funcionários'!Q47)</f>
        <v>123388.89</v>
      </c>
      <c r="AI35" s="265">
        <f>$B35*('05 - Relação de funcionários'!R47)</f>
        <v>123388.89</v>
      </c>
      <c r="AJ35" s="265">
        <f>$B35*('05 - Relação de funcionários'!S47)</f>
        <v>123388.89</v>
      </c>
      <c r="AK35" s="265">
        <f>$B35*('05 - Relação de funcionários'!T47)</f>
        <v>123388.89</v>
      </c>
      <c r="AL35" s="265">
        <f>$B35*('05 - Relação de funcionários'!U47)</f>
        <v>123388.89</v>
      </c>
      <c r="AM35" s="265">
        <f>$B35*('05 - Relação de funcionários'!V47)</f>
        <v>123388.89</v>
      </c>
      <c r="AN35" s="265">
        <f>$B35*('05 - Relação de funcionários'!W47)</f>
        <v>123388.89</v>
      </c>
      <c r="AO35" s="265">
        <f>$B35*('05 - Relação de funcionários'!X47)</f>
        <v>123388.89</v>
      </c>
      <c r="AP35" s="265">
        <f>$B35*('05 - Relação de funcionários'!Y47)</f>
        <v>123388.89</v>
      </c>
      <c r="AQ35" s="265">
        <f>$B35*('05 - Relação de funcionários'!Z47)</f>
        <v>123388.89</v>
      </c>
      <c r="AR35" s="265">
        <f>$B35*('05 - Relação de funcionários'!AA47)</f>
        <v>123388.89</v>
      </c>
      <c r="AS35" s="265">
        <f>$B35*('05 - Relação de funcionários'!AB47)</f>
        <v>123388.89</v>
      </c>
      <c r="AT35" s="265">
        <f>$B35*('05 - Relação de funcionários'!AC47)</f>
        <v>123388.89</v>
      </c>
      <c r="AU35" s="265">
        <f>$B35*('05 - Relação de funcionários'!AD47)</f>
        <v>123388.89</v>
      </c>
      <c r="AV35" s="265">
        <f>$B35*('05 - Relação de funcionários'!AE47)</f>
        <v>123388.89</v>
      </c>
      <c r="AW35" s="265">
        <f>$B35*('05 - Relação de funcionários'!AF47)</f>
        <v>123388.89</v>
      </c>
      <c r="AX35" s="265">
        <f>$B35*('05 - Relação de funcionários'!AG47)</f>
        <v>123388.89</v>
      </c>
      <c r="AY35" s="265">
        <f>$B35*('05 - Relação de funcionários'!AH47)</f>
        <v>123388.89</v>
      </c>
      <c r="AZ35" s="265">
        <f>$B35*('05 - Relação de funcionários'!AI47)</f>
        <v>123388.89</v>
      </c>
      <c r="BA35" s="265">
        <f>$B35*('05 - Relação de funcionários'!AJ47)</f>
        <v>123388.89</v>
      </c>
    </row>
    <row r="36" spans="1:53" s="258" customFormat="1" ht="13.15" customHeight="1" x14ac:dyDescent="0.2">
      <c r="A36" s="261" t="s">
        <v>867</v>
      </c>
      <c r="B36" s="502">
        <f>C36*'01 - Dados de Entrada'!$C$86+D36*'01 - Dados de Entrada'!$C$87+E36*'01 - Dados de Entrada'!$C$88+F36*'01 - Dados de Entrada'!$C$89+G36*'01 - Dados de Entrada'!$C$90+H36*'01 - Dados de Entrada'!$C$91+I36*'01 - Dados de Entrada'!$C$92+J36*'01 - Dados de Entrada'!$C$93+K36*'01 - Dados de Entrada'!$C$94+L36*'01 - Dados de Entrada'!$C$95+M36*'01 - Dados de Entrada'!$C$96+'08 - Custos com EPI e uniformes'!N36*'01 - Dados de Entrada'!$C$97+O36*'01 - Dados de Entrada'!$C$98+P36*'01 - Dados de Entrada'!$C$99+Q36*'01 - Dados de Entrada'!$C$100</f>
        <v>2172.0099999999998</v>
      </c>
      <c r="C36" s="46">
        <v>0</v>
      </c>
      <c r="D36" s="46">
        <v>0</v>
      </c>
      <c r="E36" s="46">
        <v>0</v>
      </c>
      <c r="F36" s="46">
        <v>8</v>
      </c>
      <c r="G36" s="46">
        <v>8</v>
      </c>
      <c r="H36" s="46">
        <v>3</v>
      </c>
      <c r="I36" s="46">
        <v>4</v>
      </c>
      <c r="J36" s="46">
        <v>3</v>
      </c>
      <c r="K36" s="46">
        <v>4</v>
      </c>
      <c r="L36" s="264">
        <v>12</v>
      </c>
      <c r="M36" s="264">
        <v>12</v>
      </c>
      <c r="N36" s="264">
        <v>6</v>
      </c>
      <c r="O36" s="264"/>
      <c r="P36" s="264"/>
      <c r="Q36" s="264"/>
      <c r="R36" s="264">
        <f t="shared" si="1"/>
        <v>228061.04999999996</v>
      </c>
      <c r="S36" s="265">
        <f>$B36*'05 - Relação de funcionários'!B48</f>
        <v>6516.0299999999988</v>
      </c>
      <c r="T36" s="265">
        <f>$B36*'05 - Relação de funcionários'!C48</f>
        <v>6516.0299999999988</v>
      </c>
      <c r="U36" s="265">
        <f>$B36*'05 - Relação de funcionários'!D48</f>
        <v>6516.0299999999988</v>
      </c>
      <c r="V36" s="265">
        <f>$B36*'05 - Relação de funcionários'!E48</f>
        <v>6516.0299999999988</v>
      </c>
      <c r="W36" s="265">
        <f>$B36*'05 - Relação de funcionários'!F48</f>
        <v>6516.0299999999988</v>
      </c>
      <c r="X36" s="265">
        <f>$B36*'05 - Relação de funcionários'!G48</f>
        <v>6516.0299999999988</v>
      </c>
      <c r="Y36" s="265">
        <f>$B36*'05 - Relação de funcionários'!H48</f>
        <v>6516.0299999999988</v>
      </c>
      <c r="Z36" s="265">
        <f>$B36*'05 - Relação de funcionários'!I48</f>
        <v>6516.0299999999988</v>
      </c>
      <c r="AA36" s="265">
        <f>$B36*'05 - Relação de funcionários'!J48</f>
        <v>6516.0299999999988</v>
      </c>
      <c r="AB36" s="265">
        <f>$B36*'05 - Relação de funcionários'!K48</f>
        <v>6516.0299999999988</v>
      </c>
      <c r="AC36" s="265">
        <f>$B36*'05 - Relação de funcionários'!L48</f>
        <v>6516.0299999999988</v>
      </c>
      <c r="AD36" s="265">
        <f>$B36*'05 - Relação de funcionários'!M48</f>
        <v>6516.0299999999988</v>
      </c>
      <c r="AE36" s="265">
        <f>$B36*'05 - Relação de funcionários'!N48</f>
        <v>6516.0299999999988</v>
      </c>
      <c r="AF36" s="265">
        <f>$B36*'05 - Relação de funcionários'!O48</f>
        <v>6516.0299999999988</v>
      </c>
      <c r="AG36" s="265">
        <f>$B36*'05 - Relação de funcionários'!P48</f>
        <v>6516.0299999999988</v>
      </c>
      <c r="AH36" s="265">
        <f>$B36*'05 - Relação de funcionários'!Q48</f>
        <v>6516.0299999999988</v>
      </c>
      <c r="AI36" s="265">
        <f>$B36*'05 - Relação de funcionários'!R48</f>
        <v>6516.0299999999988</v>
      </c>
      <c r="AJ36" s="265">
        <f>$B36*'05 - Relação de funcionários'!S48</f>
        <v>6516.0299999999988</v>
      </c>
      <c r="AK36" s="265">
        <f>$B36*'05 - Relação de funcionários'!T48</f>
        <v>6516.0299999999988</v>
      </c>
      <c r="AL36" s="265">
        <f>$B36*'05 - Relação de funcionários'!U48</f>
        <v>6516.0299999999988</v>
      </c>
      <c r="AM36" s="265">
        <f>$B36*'05 - Relação de funcionários'!V48</f>
        <v>6516.0299999999988</v>
      </c>
      <c r="AN36" s="265">
        <f>$B36*'05 - Relação de funcionários'!W48</f>
        <v>6516.0299999999988</v>
      </c>
      <c r="AO36" s="265">
        <f>$B36*'05 - Relação de funcionários'!X48</f>
        <v>6516.0299999999988</v>
      </c>
      <c r="AP36" s="265">
        <f>$B36*'05 - Relação de funcionários'!Y48</f>
        <v>6516.0299999999988</v>
      </c>
      <c r="AQ36" s="265">
        <f>$B36*'05 - Relação de funcionários'!Z48</f>
        <v>6516.0299999999988</v>
      </c>
      <c r="AR36" s="265">
        <f>$B36*'05 - Relação de funcionários'!AA48</f>
        <v>6516.0299999999988</v>
      </c>
      <c r="AS36" s="265">
        <f>$B36*'05 - Relação de funcionários'!AB48</f>
        <v>6516.0299999999988</v>
      </c>
      <c r="AT36" s="265">
        <f>$B36*'05 - Relação de funcionários'!AC48</f>
        <v>6516.0299999999988</v>
      </c>
      <c r="AU36" s="265">
        <f>$B36*'05 - Relação de funcionários'!AD48</f>
        <v>6516.0299999999988</v>
      </c>
      <c r="AV36" s="265">
        <f>$B36*'05 - Relação de funcionários'!AE48</f>
        <v>6516.0299999999988</v>
      </c>
      <c r="AW36" s="265">
        <f>$B36*'05 - Relação de funcionários'!AF48</f>
        <v>6516.0299999999988</v>
      </c>
      <c r="AX36" s="265">
        <f>$B36*'05 - Relação de funcionários'!AG48</f>
        <v>6516.0299999999988</v>
      </c>
      <c r="AY36" s="265">
        <f>$B36*'05 - Relação de funcionários'!AH48</f>
        <v>6516.0299999999988</v>
      </c>
      <c r="AZ36" s="265">
        <f>$B36*'05 - Relação de funcionários'!AI48</f>
        <v>6516.0299999999988</v>
      </c>
      <c r="BA36" s="265">
        <f>$B36*'05 - Relação de funcionários'!AJ48</f>
        <v>6516.0299999999988</v>
      </c>
    </row>
    <row r="37" spans="1:53" s="258" customFormat="1" ht="13.15" customHeight="1" x14ac:dyDescent="0.2">
      <c r="A37" s="39" t="s">
        <v>868</v>
      </c>
      <c r="B37" s="502">
        <f>C37*'01 - Dados de Entrada'!$C$86+D37*'01 - Dados de Entrada'!$C$87+E37*'01 - Dados de Entrada'!$C$88+F37*'01 - Dados de Entrada'!$C$89+G37*'01 - Dados de Entrada'!$C$90+H37*'01 - Dados de Entrada'!$C$91+I37*'01 - Dados de Entrada'!$C$92+J37*'01 - Dados de Entrada'!$C$93+K37*'01 - Dados de Entrada'!$C$94+L37*'01 - Dados de Entrada'!$C$95+M37*'01 - Dados de Entrada'!$C$96+'08 - Custos com EPI e uniformes'!N37*'01 - Dados de Entrada'!$C$97+O37*'01 - Dados de Entrada'!$C$98+P37*'01 - Dados de Entrada'!$C$99+Q37*'01 - Dados de Entrada'!$C$100</f>
        <v>2080.9049999999997</v>
      </c>
      <c r="C37" s="46">
        <v>0</v>
      </c>
      <c r="D37" s="46">
        <v>0</v>
      </c>
      <c r="E37" s="46">
        <v>0</v>
      </c>
      <c r="F37" s="46">
        <v>8</v>
      </c>
      <c r="G37" s="46">
        <v>8</v>
      </c>
      <c r="H37" s="46">
        <v>3</v>
      </c>
      <c r="I37" s="46">
        <v>4</v>
      </c>
      <c r="J37" s="46">
        <v>3</v>
      </c>
      <c r="K37" s="46">
        <v>3</v>
      </c>
      <c r="L37" s="264">
        <v>12</v>
      </c>
      <c r="M37" s="264">
        <v>12</v>
      </c>
      <c r="N37" s="264">
        <v>6</v>
      </c>
      <c r="O37" s="264"/>
      <c r="P37" s="264"/>
      <c r="Q37" s="264"/>
      <c r="R37" s="264">
        <f t="shared" si="1"/>
        <v>72831.674999999974</v>
      </c>
      <c r="S37" s="265">
        <f>$B37*'05 - Relação de funcionários'!B49</f>
        <v>2080.9049999999997</v>
      </c>
      <c r="T37" s="265">
        <f>$B37*'05 - Relação de funcionários'!C49</f>
        <v>2080.9049999999997</v>
      </c>
      <c r="U37" s="265">
        <f>$B37*'05 - Relação de funcionários'!D49</f>
        <v>2080.9049999999997</v>
      </c>
      <c r="V37" s="265">
        <f>$B37*'05 - Relação de funcionários'!E49</f>
        <v>2080.9049999999997</v>
      </c>
      <c r="W37" s="265">
        <f>$B37*'05 - Relação de funcionários'!F49</f>
        <v>2080.9049999999997</v>
      </c>
      <c r="X37" s="265">
        <f>$B37*'05 - Relação de funcionários'!G49</f>
        <v>2080.9049999999997</v>
      </c>
      <c r="Y37" s="265">
        <f>$B37*'05 - Relação de funcionários'!H49</f>
        <v>2080.9049999999997</v>
      </c>
      <c r="Z37" s="265">
        <f>$B37*'05 - Relação de funcionários'!I49</f>
        <v>2080.9049999999997</v>
      </c>
      <c r="AA37" s="265">
        <f>$B37*'05 - Relação de funcionários'!J49</f>
        <v>2080.9049999999997</v>
      </c>
      <c r="AB37" s="265">
        <f>$B37*'05 - Relação de funcionários'!K49</f>
        <v>2080.9049999999997</v>
      </c>
      <c r="AC37" s="265">
        <f>$B37*'05 - Relação de funcionários'!L49</f>
        <v>2080.9049999999997</v>
      </c>
      <c r="AD37" s="265">
        <f>$B37*'05 - Relação de funcionários'!M49</f>
        <v>2080.9049999999997</v>
      </c>
      <c r="AE37" s="265">
        <f>$B37*'05 - Relação de funcionários'!N49</f>
        <v>2080.9049999999997</v>
      </c>
      <c r="AF37" s="265">
        <f>$B37*'05 - Relação de funcionários'!O49</f>
        <v>2080.9049999999997</v>
      </c>
      <c r="AG37" s="265">
        <f>$B37*'05 - Relação de funcionários'!P49</f>
        <v>2080.9049999999997</v>
      </c>
      <c r="AH37" s="265">
        <f>$B37*'05 - Relação de funcionários'!Q49</f>
        <v>2080.9049999999997</v>
      </c>
      <c r="AI37" s="265">
        <f>$B37*'05 - Relação de funcionários'!R49</f>
        <v>2080.9049999999997</v>
      </c>
      <c r="AJ37" s="265">
        <f>$B37*'05 - Relação de funcionários'!S49</f>
        <v>2080.9049999999997</v>
      </c>
      <c r="AK37" s="265">
        <f>$B37*'05 - Relação de funcionários'!T49</f>
        <v>2080.9049999999997</v>
      </c>
      <c r="AL37" s="265">
        <f>$B37*'05 - Relação de funcionários'!U49</f>
        <v>2080.9049999999997</v>
      </c>
      <c r="AM37" s="265">
        <f>$B37*'05 - Relação de funcionários'!V49</f>
        <v>2080.9049999999997</v>
      </c>
      <c r="AN37" s="265">
        <f>$B37*'05 - Relação de funcionários'!W49</f>
        <v>2080.9049999999997</v>
      </c>
      <c r="AO37" s="265">
        <f>$B37*'05 - Relação de funcionários'!X49</f>
        <v>2080.9049999999997</v>
      </c>
      <c r="AP37" s="265">
        <f>$B37*'05 - Relação de funcionários'!Y49</f>
        <v>2080.9049999999997</v>
      </c>
      <c r="AQ37" s="265">
        <f>$B37*'05 - Relação de funcionários'!Z49</f>
        <v>2080.9049999999997</v>
      </c>
      <c r="AR37" s="265">
        <f>$B37*'05 - Relação de funcionários'!AA49</f>
        <v>2080.9049999999997</v>
      </c>
      <c r="AS37" s="265">
        <f>$B37*'05 - Relação de funcionários'!AB49</f>
        <v>2080.9049999999997</v>
      </c>
      <c r="AT37" s="265">
        <f>$B37*'05 - Relação de funcionários'!AC49</f>
        <v>2080.9049999999997</v>
      </c>
      <c r="AU37" s="265">
        <f>$B37*'05 - Relação de funcionários'!AD49</f>
        <v>2080.9049999999997</v>
      </c>
      <c r="AV37" s="265">
        <f>$B37*'05 - Relação de funcionários'!AE49</f>
        <v>2080.9049999999997</v>
      </c>
      <c r="AW37" s="265">
        <f>$B37*'05 - Relação de funcionários'!AF49</f>
        <v>2080.9049999999997</v>
      </c>
      <c r="AX37" s="265">
        <f>$B37*'05 - Relação de funcionários'!AG49</f>
        <v>2080.9049999999997</v>
      </c>
      <c r="AY37" s="265">
        <f>$B37*'05 - Relação de funcionários'!AH49</f>
        <v>2080.9049999999997</v>
      </c>
      <c r="AZ37" s="265">
        <f>$B37*'05 - Relação de funcionários'!AI49</f>
        <v>2080.9049999999997</v>
      </c>
      <c r="BA37" s="265">
        <f>$B37*'05 - Relação de funcionários'!AJ49</f>
        <v>2080.9049999999997</v>
      </c>
    </row>
    <row r="38" spans="1:53" s="258" customFormat="1" ht="13.15" customHeight="1" x14ac:dyDescent="0.2">
      <c r="A38" s="16" t="s">
        <v>869</v>
      </c>
      <c r="B38" s="502">
        <f>C38*'01 - Dados de Entrada'!$C$86+D38*'01 - Dados de Entrada'!$C$87+E38*'01 - Dados de Entrada'!$C$88+F38*'01 - Dados de Entrada'!$C$89+G38*'01 - Dados de Entrada'!$C$90+H38*'01 - Dados de Entrada'!$C$91+I38*'01 - Dados de Entrada'!$C$92+J38*'01 - Dados de Entrada'!$C$93+K38*'01 - Dados de Entrada'!$C$94+L38*'01 - Dados de Entrada'!$C$95+M38*'01 - Dados de Entrada'!$C$96+'08 - Custos com EPI e uniformes'!N38*'01 - Dados de Entrada'!$C$97+O38*'01 - Dados de Entrada'!$C$98+P38*'01 - Dados de Entrada'!$C$99+Q38*'01 - Dados de Entrada'!$C$100</f>
        <v>0</v>
      </c>
      <c r="C38" s="46"/>
      <c r="D38" s="46"/>
      <c r="E38" s="46"/>
      <c r="F38" s="46"/>
      <c r="G38" s="46"/>
      <c r="H38" s="46"/>
      <c r="I38" s="46"/>
      <c r="J38" s="46"/>
      <c r="K38" s="46"/>
      <c r="L38" s="264"/>
      <c r="M38" s="264"/>
      <c r="N38" s="264"/>
      <c r="O38" s="264"/>
      <c r="P38" s="264"/>
      <c r="Q38" s="264"/>
      <c r="R38" s="264">
        <f t="shared" si="1"/>
        <v>0</v>
      </c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</row>
    <row r="39" spans="1:53" s="258" customFormat="1" ht="13.15" customHeight="1" x14ac:dyDescent="0.2">
      <c r="A39" s="261" t="s">
        <v>883</v>
      </c>
      <c r="B39" s="502">
        <f>C39*'01 - Dados de Entrada'!$C$86+D39*'01 - Dados de Entrada'!$C$87+E39*'01 - Dados de Entrada'!$C$88+F39*'01 - Dados de Entrada'!$C$89+G39*'01 - Dados de Entrada'!$C$90+H39*'01 - Dados de Entrada'!$C$91+I39*'01 - Dados de Entrada'!$C$92+J39*'01 - Dados de Entrada'!$C$93+K39*'01 - Dados de Entrada'!$C$94+L39*'01 - Dados de Entrada'!$C$95+M39*'01 - Dados de Entrada'!$C$96+'08 - Custos com EPI e uniformes'!N39*'01 - Dados de Entrada'!$C$97+O39*'01 - Dados de Entrada'!$C$98+P39*'01 - Dados de Entrada'!$C$99+Q39*'01 - Dados de Entrada'!$C$100</f>
        <v>2172.0099999999998</v>
      </c>
      <c r="C39" s="46">
        <v>0</v>
      </c>
      <c r="D39" s="46">
        <v>0</v>
      </c>
      <c r="E39" s="46">
        <v>0</v>
      </c>
      <c r="F39" s="46">
        <v>8</v>
      </c>
      <c r="G39" s="46">
        <v>8</v>
      </c>
      <c r="H39" s="46">
        <v>3</v>
      </c>
      <c r="I39" s="46">
        <v>4</v>
      </c>
      <c r="J39" s="46">
        <v>3</v>
      </c>
      <c r="K39" s="46">
        <v>4</v>
      </c>
      <c r="L39" s="264">
        <v>12</v>
      </c>
      <c r="M39" s="264">
        <v>12</v>
      </c>
      <c r="N39" s="264">
        <v>6</v>
      </c>
      <c r="O39" s="264"/>
      <c r="P39" s="264"/>
      <c r="Q39" s="264"/>
      <c r="R39" s="264">
        <f t="shared" si="1"/>
        <v>744999.42999999947</v>
      </c>
      <c r="S39" s="265">
        <f>$B39*'05 - Relação de funcionários'!B51</f>
        <v>19548.089999999997</v>
      </c>
      <c r="T39" s="265">
        <f>$B39*'05 - Relação de funcionários'!C51</f>
        <v>19548.089999999997</v>
      </c>
      <c r="U39" s="265">
        <f>$B39*'05 - Relação de funcionários'!D51</f>
        <v>19548.089999999997</v>
      </c>
      <c r="V39" s="265">
        <f>$B39*'05 - Relação de funcionários'!E51</f>
        <v>19548.089999999997</v>
      </c>
      <c r="W39" s="265">
        <f>$B39*'05 - Relação de funcionários'!F51</f>
        <v>19548.089999999997</v>
      </c>
      <c r="X39" s="265">
        <f>$B39*'05 - Relação de funcionários'!G51</f>
        <v>19548.089999999997</v>
      </c>
      <c r="Y39" s="265">
        <f>$B39*'05 - Relação de funcionários'!H51</f>
        <v>19548.089999999997</v>
      </c>
      <c r="Z39" s="265">
        <f>$B39*'05 - Relação de funcionários'!I51</f>
        <v>21720.1</v>
      </c>
      <c r="AA39" s="265">
        <f>$B39*'05 - Relação de funcionários'!J51</f>
        <v>21720.1</v>
      </c>
      <c r="AB39" s="265">
        <f>$B39*'05 - Relação de funcionários'!K51</f>
        <v>21720.1</v>
      </c>
      <c r="AC39" s="265">
        <f>$B39*'05 - Relação de funcionários'!L51</f>
        <v>21720.1</v>
      </c>
      <c r="AD39" s="265">
        <f>$B39*'05 - Relação de funcionários'!M51</f>
        <v>21720.1</v>
      </c>
      <c r="AE39" s="265">
        <f>$B39*'05 - Relação de funcionários'!N51</f>
        <v>21720.1</v>
      </c>
      <c r="AF39" s="265">
        <f>$B39*'05 - Relação de funcionários'!O51</f>
        <v>21720.1</v>
      </c>
      <c r="AG39" s="265">
        <f>$B39*'05 - Relação de funcionários'!P51</f>
        <v>21720.1</v>
      </c>
      <c r="AH39" s="265">
        <f>$B39*'05 - Relação de funcionários'!Q51</f>
        <v>21720.1</v>
      </c>
      <c r="AI39" s="265">
        <f>$B39*'05 - Relação de funcionários'!R51</f>
        <v>21720.1</v>
      </c>
      <c r="AJ39" s="265">
        <f>$B39*'05 - Relação de funcionários'!S51</f>
        <v>21720.1</v>
      </c>
      <c r="AK39" s="265">
        <f>$B39*'05 - Relação de funcionários'!T51</f>
        <v>21720.1</v>
      </c>
      <c r="AL39" s="265">
        <f>$B39*'05 - Relação de funcionários'!U51</f>
        <v>21720.1</v>
      </c>
      <c r="AM39" s="265">
        <f>$B39*'05 - Relação de funcionários'!V51</f>
        <v>21720.1</v>
      </c>
      <c r="AN39" s="265">
        <f>$B39*'05 - Relação de funcionários'!W51</f>
        <v>21720.1</v>
      </c>
      <c r="AO39" s="265">
        <f>$B39*'05 - Relação de funcionários'!X51</f>
        <v>21720.1</v>
      </c>
      <c r="AP39" s="265">
        <f>$B39*'05 - Relação de funcionários'!Y51</f>
        <v>21720.1</v>
      </c>
      <c r="AQ39" s="265">
        <f>$B39*'05 - Relação de funcionários'!Z51</f>
        <v>21720.1</v>
      </c>
      <c r="AR39" s="265">
        <f>$B39*'05 - Relação de funcionários'!AA51</f>
        <v>21720.1</v>
      </c>
      <c r="AS39" s="265">
        <f>$B39*'05 - Relação de funcionários'!AB51</f>
        <v>21720.1</v>
      </c>
      <c r="AT39" s="265">
        <f>$B39*'05 - Relação de funcionários'!AC51</f>
        <v>21720.1</v>
      </c>
      <c r="AU39" s="265">
        <f>$B39*'05 - Relação de funcionários'!AD51</f>
        <v>21720.1</v>
      </c>
      <c r="AV39" s="265">
        <f>$B39*'05 - Relação de funcionários'!AE51</f>
        <v>21720.1</v>
      </c>
      <c r="AW39" s="265">
        <f>$B39*'05 - Relação de funcionários'!AF51</f>
        <v>21720.1</v>
      </c>
      <c r="AX39" s="265">
        <f>$B39*'05 - Relação de funcionários'!AG51</f>
        <v>21720.1</v>
      </c>
      <c r="AY39" s="265">
        <f>$B39*'05 - Relação de funcionários'!AH51</f>
        <v>21720.1</v>
      </c>
      <c r="AZ39" s="265">
        <f>$B39*'05 - Relação de funcionários'!AI51</f>
        <v>21720.1</v>
      </c>
      <c r="BA39" s="265">
        <f>$B39*'05 - Relação de funcionários'!AJ51</f>
        <v>21720.1</v>
      </c>
    </row>
    <row r="40" spans="1:53" s="258" customFormat="1" ht="13.15" customHeight="1" x14ac:dyDescent="0.2">
      <c r="A40" s="261" t="s">
        <v>903</v>
      </c>
      <c r="B40" s="502">
        <f>C40*'01 - Dados de Entrada'!$C$86+D40*'01 - Dados de Entrada'!$C$87+E40*'01 - Dados de Entrada'!$C$88+F40*'01 - Dados de Entrada'!$C$89+G40*'01 - Dados de Entrada'!$C$90+H40*'01 - Dados de Entrada'!$C$91+I40*'01 - Dados de Entrada'!$C$92+J40*'01 - Dados de Entrada'!$C$93+K40*'01 - Dados de Entrada'!$C$94+L40*'01 - Dados de Entrada'!$C$95+M40*'01 - Dados de Entrada'!$C$96+'08 - Custos com EPI e uniformes'!N40*'01 - Dados de Entrada'!$C$97+O40*'01 - Dados de Entrada'!$C$98+P40*'01 - Dados de Entrada'!$C$99+Q40*'01 - Dados de Entrada'!$C$100</f>
        <v>2419.39</v>
      </c>
      <c r="C40" s="46">
        <v>0</v>
      </c>
      <c r="D40" s="46">
        <v>0</v>
      </c>
      <c r="E40" s="46">
        <v>0</v>
      </c>
      <c r="F40" s="46">
        <v>8</v>
      </c>
      <c r="G40" s="46">
        <v>8</v>
      </c>
      <c r="H40" s="46">
        <v>3</v>
      </c>
      <c r="I40" s="46">
        <v>4</v>
      </c>
      <c r="J40" s="46">
        <v>3</v>
      </c>
      <c r="K40" s="46">
        <v>4</v>
      </c>
      <c r="L40" s="264">
        <v>24</v>
      </c>
      <c r="M40" s="264">
        <v>12</v>
      </c>
      <c r="N40" s="264">
        <v>6</v>
      </c>
      <c r="O40" s="264"/>
      <c r="P40" s="264"/>
      <c r="Q40" s="264">
        <v>24</v>
      </c>
      <c r="R40" s="264">
        <f t="shared" si="1"/>
        <v>1642765.810000001</v>
      </c>
      <c r="S40" s="265">
        <f>$B40*'05 - Relação de funcionários'!B52</f>
        <v>41129.629999999997</v>
      </c>
      <c r="T40" s="265">
        <f>$B40*'05 - Relação de funcionários'!C52</f>
        <v>41129.629999999997</v>
      </c>
      <c r="U40" s="265">
        <f>$B40*'05 - Relação de funcionários'!D52</f>
        <v>41129.629999999997</v>
      </c>
      <c r="V40" s="265">
        <f>$B40*'05 - Relação de funcionários'!E52</f>
        <v>41129.629999999997</v>
      </c>
      <c r="W40" s="265">
        <f>$B40*'05 - Relação de funcionários'!F52</f>
        <v>41129.629999999997</v>
      </c>
      <c r="X40" s="265">
        <f>$B40*'05 - Relação de funcionários'!G52</f>
        <v>41129.629999999997</v>
      </c>
      <c r="Y40" s="265">
        <f>$B40*'05 - Relação de funcionários'!H52</f>
        <v>41129.629999999997</v>
      </c>
      <c r="Z40" s="265">
        <f>$B40*'05 - Relação de funcionários'!I52</f>
        <v>48387.799999999996</v>
      </c>
      <c r="AA40" s="265">
        <f>$B40*'05 - Relação de funcionários'!J52</f>
        <v>48387.799999999996</v>
      </c>
      <c r="AB40" s="265">
        <f>$B40*'05 - Relação de funcionários'!K52</f>
        <v>48387.799999999996</v>
      </c>
      <c r="AC40" s="265">
        <f>$B40*'05 - Relação de funcionários'!L52</f>
        <v>48387.799999999996</v>
      </c>
      <c r="AD40" s="265">
        <f>$B40*'05 - Relação de funcionários'!M52</f>
        <v>48387.799999999996</v>
      </c>
      <c r="AE40" s="265">
        <f>$B40*'05 - Relação de funcionários'!N52</f>
        <v>48387.799999999996</v>
      </c>
      <c r="AF40" s="265">
        <f>$B40*'05 - Relação de funcionários'!O52</f>
        <v>48387.799999999996</v>
      </c>
      <c r="AG40" s="265">
        <f>$B40*'05 - Relação de funcionários'!P52</f>
        <v>48387.799999999996</v>
      </c>
      <c r="AH40" s="265">
        <f>$B40*'05 - Relação de funcionários'!Q52</f>
        <v>48387.799999999996</v>
      </c>
      <c r="AI40" s="265">
        <f>$B40*'05 - Relação de funcionários'!R52</f>
        <v>48387.799999999996</v>
      </c>
      <c r="AJ40" s="265">
        <f>$B40*'05 - Relação de funcionários'!S52</f>
        <v>48387.799999999996</v>
      </c>
      <c r="AK40" s="265">
        <f>$B40*'05 - Relação de funcionários'!T52</f>
        <v>48387.799999999996</v>
      </c>
      <c r="AL40" s="265">
        <f>$B40*'05 - Relação de funcionários'!U52</f>
        <v>48387.799999999996</v>
      </c>
      <c r="AM40" s="265">
        <f>$B40*'05 - Relação de funcionários'!V52</f>
        <v>48387.799999999996</v>
      </c>
      <c r="AN40" s="265">
        <f>$B40*'05 - Relação de funcionários'!W52</f>
        <v>48387.799999999996</v>
      </c>
      <c r="AO40" s="265">
        <f>$B40*'05 - Relação de funcionários'!X52</f>
        <v>48387.799999999996</v>
      </c>
      <c r="AP40" s="265">
        <f>$B40*'05 - Relação de funcionários'!Y52</f>
        <v>48387.799999999996</v>
      </c>
      <c r="AQ40" s="265">
        <f>$B40*'05 - Relação de funcionários'!Z52</f>
        <v>48387.799999999996</v>
      </c>
      <c r="AR40" s="265">
        <f>$B40*'05 - Relação de funcionários'!AA52</f>
        <v>48387.799999999996</v>
      </c>
      <c r="AS40" s="265">
        <f>$B40*'05 - Relação de funcionários'!AB52</f>
        <v>48387.799999999996</v>
      </c>
      <c r="AT40" s="265">
        <f>$B40*'05 - Relação de funcionários'!AC52</f>
        <v>48387.799999999996</v>
      </c>
      <c r="AU40" s="265">
        <f>$B40*'05 - Relação de funcionários'!AD52</f>
        <v>48387.799999999996</v>
      </c>
      <c r="AV40" s="265">
        <f>$B40*'05 - Relação de funcionários'!AE52</f>
        <v>48387.799999999996</v>
      </c>
      <c r="AW40" s="265">
        <f>$B40*'05 - Relação de funcionários'!AF52</f>
        <v>48387.799999999996</v>
      </c>
      <c r="AX40" s="265">
        <f>$B40*'05 - Relação de funcionários'!AG52</f>
        <v>48387.799999999996</v>
      </c>
      <c r="AY40" s="265">
        <f>$B40*'05 - Relação de funcionários'!AH52</f>
        <v>48387.799999999996</v>
      </c>
      <c r="AZ40" s="265">
        <f>$B40*'05 - Relação de funcionários'!AI52</f>
        <v>48387.799999999996</v>
      </c>
      <c r="BA40" s="265">
        <f>$B40*'05 - Relação de funcionários'!AJ52</f>
        <v>48387.799999999996</v>
      </c>
    </row>
    <row r="41" spans="1:53" s="258" customFormat="1" ht="13.15" customHeight="1" x14ac:dyDescent="0.2">
      <c r="A41" s="261" t="s">
        <v>867</v>
      </c>
      <c r="B41" s="502">
        <f>C41*'01 - Dados de Entrada'!$C$86+D41*'01 - Dados de Entrada'!$C$87+E41*'01 - Dados de Entrada'!$C$88+F41*'01 - Dados de Entrada'!$C$89+G41*'01 - Dados de Entrada'!$C$90+H41*'01 - Dados de Entrada'!$C$91+I41*'01 - Dados de Entrada'!$C$92+J41*'01 - Dados de Entrada'!$C$93+K41*'01 - Dados de Entrada'!$C$94+L41*'01 - Dados de Entrada'!$C$95+M41*'01 - Dados de Entrada'!$C$96+'08 - Custos com EPI e uniformes'!N41*'01 - Dados de Entrada'!$C$97+O41*'01 - Dados de Entrada'!$C$98+P41*'01 - Dados de Entrada'!$C$99+Q41*'01 - Dados de Entrada'!$C$100</f>
        <v>2172.0099999999998</v>
      </c>
      <c r="C41" s="46">
        <v>0</v>
      </c>
      <c r="D41" s="46">
        <v>0</v>
      </c>
      <c r="E41" s="46">
        <v>0</v>
      </c>
      <c r="F41" s="46">
        <v>8</v>
      </c>
      <c r="G41" s="46">
        <v>8</v>
      </c>
      <c r="H41" s="46">
        <v>3</v>
      </c>
      <c r="I41" s="46">
        <v>4</v>
      </c>
      <c r="J41" s="46">
        <v>3</v>
      </c>
      <c r="K41" s="46">
        <v>4</v>
      </c>
      <c r="L41" s="264">
        <v>12</v>
      </c>
      <c r="M41" s="264">
        <v>12</v>
      </c>
      <c r="N41" s="264">
        <v>6</v>
      </c>
      <c r="O41" s="264"/>
      <c r="P41" s="264"/>
      <c r="Q41" s="264"/>
      <c r="R41" s="264">
        <f t="shared" si="1"/>
        <v>152040.69999999998</v>
      </c>
      <c r="S41" s="265">
        <f>$B41*'05 - Relação de funcionários'!B53</f>
        <v>4344.0199999999995</v>
      </c>
      <c r="T41" s="265">
        <f>$B41*'05 - Relação de funcionários'!C53</f>
        <v>4344.0199999999995</v>
      </c>
      <c r="U41" s="265">
        <f>$B41*'05 - Relação de funcionários'!D53</f>
        <v>4344.0199999999995</v>
      </c>
      <c r="V41" s="265">
        <f>$B41*'05 - Relação de funcionários'!E53</f>
        <v>4344.0199999999995</v>
      </c>
      <c r="W41" s="265">
        <f>$B41*'05 - Relação de funcionários'!F53</f>
        <v>4344.0199999999995</v>
      </c>
      <c r="X41" s="265">
        <f>$B41*'05 - Relação de funcionários'!G53</f>
        <v>4344.0199999999995</v>
      </c>
      <c r="Y41" s="265">
        <f>$B41*'05 - Relação de funcionários'!H53</f>
        <v>4344.0199999999995</v>
      </c>
      <c r="Z41" s="265">
        <f>$B41*'05 - Relação de funcionários'!I53</f>
        <v>4344.0199999999995</v>
      </c>
      <c r="AA41" s="265">
        <f>$B41*'05 - Relação de funcionários'!J53</f>
        <v>4344.0199999999995</v>
      </c>
      <c r="AB41" s="265">
        <f>$B41*'05 - Relação de funcionários'!K53</f>
        <v>4344.0199999999995</v>
      </c>
      <c r="AC41" s="265">
        <f>$B41*'05 - Relação de funcionários'!L53</f>
        <v>4344.0199999999995</v>
      </c>
      <c r="AD41" s="265">
        <f>$B41*'05 - Relação de funcionários'!M53</f>
        <v>4344.0199999999995</v>
      </c>
      <c r="AE41" s="265">
        <f>$B41*'05 - Relação de funcionários'!N53</f>
        <v>4344.0199999999995</v>
      </c>
      <c r="AF41" s="265">
        <f>$B41*'05 - Relação de funcionários'!O53</f>
        <v>4344.0199999999995</v>
      </c>
      <c r="AG41" s="265">
        <f>$B41*'05 - Relação de funcionários'!P53</f>
        <v>4344.0199999999995</v>
      </c>
      <c r="AH41" s="265">
        <f>$B41*'05 - Relação de funcionários'!Q53</f>
        <v>4344.0199999999995</v>
      </c>
      <c r="AI41" s="265">
        <f>$B41*'05 - Relação de funcionários'!R53</f>
        <v>4344.0199999999995</v>
      </c>
      <c r="AJ41" s="265">
        <f>$B41*'05 - Relação de funcionários'!S53</f>
        <v>4344.0199999999995</v>
      </c>
      <c r="AK41" s="265">
        <f>$B41*'05 - Relação de funcionários'!T53</f>
        <v>4344.0199999999995</v>
      </c>
      <c r="AL41" s="265">
        <f>$B41*'05 - Relação de funcionários'!U53</f>
        <v>4344.0199999999995</v>
      </c>
      <c r="AM41" s="265">
        <f>$B41*'05 - Relação de funcionários'!V53</f>
        <v>4344.0199999999995</v>
      </c>
      <c r="AN41" s="265">
        <f>$B41*'05 - Relação de funcionários'!W53</f>
        <v>4344.0199999999995</v>
      </c>
      <c r="AO41" s="265">
        <f>$B41*'05 - Relação de funcionários'!X53</f>
        <v>4344.0199999999995</v>
      </c>
      <c r="AP41" s="265">
        <f>$B41*'05 - Relação de funcionários'!Y53</f>
        <v>4344.0199999999995</v>
      </c>
      <c r="AQ41" s="265">
        <f>$B41*'05 - Relação de funcionários'!Z53</f>
        <v>4344.0199999999995</v>
      </c>
      <c r="AR41" s="265">
        <f>$B41*'05 - Relação de funcionários'!AA53</f>
        <v>4344.0199999999995</v>
      </c>
      <c r="AS41" s="265">
        <f>$B41*'05 - Relação de funcionários'!AB53</f>
        <v>4344.0199999999995</v>
      </c>
      <c r="AT41" s="265">
        <f>$B41*'05 - Relação de funcionários'!AC53</f>
        <v>4344.0199999999995</v>
      </c>
      <c r="AU41" s="265">
        <f>$B41*'05 - Relação de funcionários'!AD53</f>
        <v>4344.0199999999995</v>
      </c>
      <c r="AV41" s="265">
        <f>$B41*'05 - Relação de funcionários'!AE53</f>
        <v>4344.0199999999995</v>
      </c>
      <c r="AW41" s="265">
        <f>$B41*'05 - Relação de funcionários'!AF53</f>
        <v>4344.0199999999995</v>
      </c>
      <c r="AX41" s="265">
        <f>$B41*'05 - Relação de funcionários'!AG53</f>
        <v>4344.0199999999995</v>
      </c>
      <c r="AY41" s="265">
        <f>$B41*'05 - Relação de funcionários'!AH53</f>
        <v>4344.0199999999995</v>
      </c>
      <c r="AZ41" s="265">
        <f>$B41*'05 - Relação de funcionários'!AI53</f>
        <v>4344.0199999999995</v>
      </c>
      <c r="BA41" s="265">
        <f>$B41*'05 - Relação de funcionários'!AJ53</f>
        <v>4344.0199999999995</v>
      </c>
    </row>
    <row r="42" spans="1:53" s="258" customFormat="1" ht="13.15" customHeight="1" x14ac:dyDescent="0.2">
      <c r="A42" s="31" t="s">
        <v>836</v>
      </c>
      <c r="B42" s="502">
        <f>C42*'01 - Dados de Entrada'!$C$86+D42*'01 - Dados de Entrada'!$C$87+E42*'01 - Dados de Entrada'!$C$88+F42*'01 - Dados de Entrada'!$C$89+G42*'01 - Dados de Entrada'!$C$90+H42*'01 - Dados de Entrada'!$C$91+I42*'01 - Dados de Entrada'!$C$92+J42*'01 - Dados de Entrada'!$C$93+K42*'01 - Dados de Entrada'!$C$94+L42*'01 - Dados de Entrada'!$C$95+M42*'01 - Dados de Entrada'!$C$96+'08 - Custos com EPI e uniformes'!N42*'01 - Dados de Entrada'!$C$97+O42*'01 - Dados de Entrada'!$C$98+P42*'01 - Dados de Entrada'!$C$99+Q42*'01 - Dados de Entrada'!$C$100</f>
        <v>0</v>
      </c>
      <c r="C42" s="46"/>
      <c r="D42" s="46"/>
      <c r="E42" s="46"/>
      <c r="F42" s="46"/>
      <c r="G42" s="46"/>
      <c r="H42" s="46"/>
      <c r="I42" s="46"/>
      <c r="J42" s="46"/>
      <c r="K42" s="46"/>
      <c r="L42" s="264"/>
      <c r="M42" s="264"/>
      <c r="N42" s="264"/>
      <c r="O42" s="264"/>
      <c r="P42" s="264"/>
      <c r="Q42" s="264"/>
      <c r="R42" s="264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65"/>
      <c r="AE42" s="265"/>
      <c r="AF42" s="265"/>
      <c r="AG42" s="265"/>
      <c r="AH42" s="265"/>
      <c r="AI42" s="265"/>
      <c r="AJ42" s="265"/>
      <c r="AK42" s="265"/>
      <c r="AL42" s="265"/>
      <c r="AM42" s="265"/>
      <c r="AN42" s="265"/>
      <c r="AO42" s="265"/>
      <c r="AP42" s="265"/>
      <c r="AQ42" s="265"/>
      <c r="AR42" s="265"/>
      <c r="AS42" s="265"/>
      <c r="AT42" s="265"/>
      <c r="AU42" s="265"/>
      <c r="AV42" s="265"/>
      <c r="AW42" s="265"/>
      <c r="AX42" s="265"/>
      <c r="AY42" s="265"/>
      <c r="AZ42" s="265"/>
      <c r="BA42" s="265"/>
    </row>
    <row r="43" spans="1:53" s="258" customFormat="1" ht="13.15" customHeight="1" x14ac:dyDescent="0.2">
      <c r="A43" s="261" t="s">
        <v>930</v>
      </c>
      <c r="B43" s="502">
        <f>C43*'01 - Dados de Entrada'!$C$86+D43*'01 - Dados de Entrada'!$C$87+E43*'01 - Dados de Entrada'!$C$88+F43*'01 - Dados de Entrada'!$C$89+G43*'01 - Dados de Entrada'!$C$90+H43*'01 - Dados de Entrada'!$C$91+I43*'01 - Dados de Entrada'!$C$92+J43*'01 - Dados de Entrada'!$C$93+K43*'01 - Dados de Entrada'!$C$94+L43*'01 - Dados de Entrada'!$C$95+M43*'01 - Dados de Entrada'!$C$96+'08 - Custos com EPI e uniformes'!N43*'01 - Dados de Entrada'!$C$97+O43*'01 - Dados de Entrada'!$C$98+P43*'01 - Dados de Entrada'!$C$99+Q43*'01 - Dados de Entrada'!$C$100</f>
        <v>2326.73</v>
      </c>
      <c r="C43" s="46">
        <v>0</v>
      </c>
      <c r="D43" s="46">
        <v>0</v>
      </c>
      <c r="E43" s="46">
        <v>0</v>
      </c>
      <c r="F43" s="46">
        <v>8</v>
      </c>
      <c r="G43" s="46">
        <v>8</v>
      </c>
      <c r="H43" s="46">
        <v>2</v>
      </c>
      <c r="I43" s="46">
        <v>3</v>
      </c>
      <c r="J43" s="46">
        <v>3</v>
      </c>
      <c r="K43" s="46">
        <v>4</v>
      </c>
      <c r="L43" s="264">
        <v>24</v>
      </c>
      <c r="M43" s="264">
        <v>12</v>
      </c>
      <c r="N43" s="264">
        <v>6</v>
      </c>
      <c r="O43" s="264"/>
      <c r="P43" s="264"/>
      <c r="Q43" s="264">
        <v>24</v>
      </c>
      <c r="R43" s="264">
        <f>SUM(S43:BA43)</f>
        <v>407177.75000000017</v>
      </c>
      <c r="S43" s="265">
        <f>$B43*'05 - Relação de funcionários'!B55</f>
        <v>11633.65</v>
      </c>
      <c r="T43" s="265">
        <f>$B43*'05 - Relação de funcionários'!C55</f>
        <v>11633.65</v>
      </c>
      <c r="U43" s="265">
        <f>$B43*'05 - Relação de funcionários'!D55</f>
        <v>11633.65</v>
      </c>
      <c r="V43" s="265">
        <f>$B43*'05 - Relação de funcionários'!E55</f>
        <v>11633.65</v>
      </c>
      <c r="W43" s="265">
        <f>$B43*'05 - Relação de funcionários'!F55</f>
        <v>11633.65</v>
      </c>
      <c r="X43" s="265">
        <f>$B43*'05 - Relação de funcionários'!G55</f>
        <v>11633.65</v>
      </c>
      <c r="Y43" s="265">
        <f>$B43*'05 - Relação de funcionários'!H55</f>
        <v>11633.65</v>
      </c>
      <c r="Z43" s="265">
        <f>$B43*'05 - Relação de funcionários'!I55</f>
        <v>11633.65</v>
      </c>
      <c r="AA43" s="265">
        <f>$B43*'05 - Relação de funcionários'!J55</f>
        <v>11633.65</v>
      </c>
      <c r="AB43" s="265">
        <f>$B43*'05 - Relação de funcionários'!K55</f>
        <v>11633.65</v>
      </c>
      <c r="AC43" s="265">
        <f>$B43*'05 - Relação de funcionários'!L55</f>
        <v>11633.65</v>
      </c>
      <c r="AD43" s="265">
        <f>$B43*'05 - Relação de funcionários'!M55</f>
        <v>11633.65</v>
      </c>
      <c r="AE43" s="265">
        <f>$B43*'05 - Relação de funcionários'!N55</f>
        <v>11633.65</v>
      </c>
      <c r="AF43" s="265">
        <f>$B43*'05 - Relação de funcionários'!O55</f>
        <v>11633.65</v>
      </c>
      <c r="AG43" s="265">
        <f>$B43*'05 - Relação de funcionários'!P55</f>
        <v>11633.65</v>
      </c>
      <c r="AH43" s="265">
        <f>$B43*'05 - Relação de funcionários'!Q55</f>
        <v>11633.65</v>
      </c>
      <c r="AI43" s="265">
        <f>$B43*'05 - Relação de funcionários'!R55</f>
        <v>11633.65</v>
      </c>
      <c r="AJ43" s="265">
        <f>$B43*'05 - Relação de funcionários'!S55</f>
        <v>11633.65</v>
      </c>
      <c r="AK43" s="265">
        <f>$B43*'05 - Relação de funcionários'!T55</f>
        <v>11633.65</v>
      </c>
      <c r="AL43" s="265">
        <f>$B43*'05 - Relação de funcionários'!U55</f>
        <v>11633.65</v>
      </c>
      <c r="AM43" s="265">
        <f>$B43*'05 - Relação de funcionários'!V55</f>
        <v>11633.65</v>
      </c>
      <c r="AN43" s="265">
        <f>$B43*'05 - Relação de funcionários'!W55</f>
        <v>11633.65</v>
      </c>
      <c r="AO43" s="265">
        <f>$B43*'05 - Relação de funcionários'!X55</f>
        <v>11633.65</v>
      </c>
      <c r="AP43" s="265">
        <f>$B43*'05 - Relação de funcionários'!Y55</f>
        <v>11633.65</v>
      </c>
      <c r="AQ43" s="265">
        <f>$B43*'05 - Relação de funcionários'!Z55</f>
        <v>11633.65</v>
      </c>
      <c r="AR43" s="265">
        <f>$B43*'05 - Relação de funcionários'!AA55</f>
        <v>11633.65</v>
      </c>
      <c r="AS43" s="265">
        <f>$B43*'05 - Relação de funcionários'!AB55</f>
        <v>11633.65</v>
      </c>
      <c r="AT43" s="265">
        <f>$B43*'05 - Relação de funcionários'!AC55</f>
        <v>11633.65</v>
      </c>
      <c r="AU43" s="265">
        <f>$B43*'05 - Relação de funcionários'!AD55</f>
        <v>11633.65</v>
      </c>
      <c r="AV43" s="265">
        <f>$B43*'05 - Relação de funcionários'!AE55</f>
        <v>11633.65</v>
      </c>
      <c r="AW43" s="265">
        <f>$B43*'05 - Relação de funcionários'!AF55</f>
        <v>11633.65</v>
      </c>
      <c r="AX43" s="265">
        <f>$B43*'05 - Relação de funcionários'!AG55</f>
        <v>11633.65</v>
      </c>
      <c r="AY43" s="265">
        <f>$B43*'05 - Relação de funcionários'!AH55</f>
        <v>11633.65</v>
      </c>
      <c r="AZ43" s="265">
        <f>$B43*'05 - Relação de funcionários'!AI55</f>
        <v>11633.65</v>
      </c>
      <c r="BA43" s="265">
        <f>$B43*'05 - Relação de funcionários'!AJ55</f>
        <v>11633.65</v>
      </c>
    </row>
    <row r="44" spans="1:53" s="258" customFormat="1" ht="13.15" customHeight="1" x14ac:dyDescent="0.2">
      <c r="A44" s="261" t="s">
        <v>931</v>
      </c>
      <c r="B44" s="502">
        <f>C44*'01 - Dados de Entrada'!$C$86+D44*'01 - Dados de Entrada'!$C$87+E44*'01 - Dados de Entrada'!$C$88+F44*'01 - Dados de Entrada'!$C$89+G44*'01 - Dados de Entrada'!$C$90+H44*'01 - Dados de Entrada'!$C$91+I44*'01 - Dados de Entrada'!$C$92+J44*'01 - Dados de Entrada'!$C$93+K44*'01 - Dados de Entrada'!$C$94+L44*'01 - Dados de Entrada'!$C$95+M44*'01 - Dados de Entrada'!$C$96+'08 - Custos com EPI e uniformes'!N44*'01 - Dados de Entrada'!$C$97+O44*'01 - Dados de Entrada'!$C$98+P44*'01 - Dados de Entrada'!$C$99+Q44*'01 - Dados de Entrada'!$C$100</f>
        <v>2326.73</v>
      </c>
      <c r="C44" s="46">
        <v>0</v>
      </c>
      <c r="D44" s="46">
        <v>0</v>
      </c>
      <c r="E44" s="46">
        <v>0</v>
      </c>
      <c r="F44" s="46">
        <v>8</v>
      </c>
      <c r="G44" s="46">
        <v>8</v>
      </c>
      <c r="H44" s="46">
        <v>2</v>
      </c>
      <c r="I44" s="46">
        <v>3</v>
      </c>
      <c r="J44" s="46">
        <v>3</v>
      </c>
      <c r="K44" s="46">
        <v>4</v>
      </c>
      <c r="L44" s="264">
        <v>24</v>
      </c>
      <c r="M44" s="264">
        <v>12</v>
      </c>
      <c r="N44" s="264">
        <v>6</v>
      </c>
      <c r="O44" s="264"/>
      <c r="P44" s="264"/>
      <c r="Q44" s="264">
        <v>24</v>
      </c>
      <c r="R44" s="264">
        <f>SUM(S44:BA44)</f>
        <v>307128.3600000001</v>
      </c>
      <c r="S44" s="265">
        <f>$B44*'05 - Relação de funcionários'!B56</f>
        <v>0</v>
      </c>
      <c r="T44" s="265">
        <f>$B44*'05 - Relação de funcionários'!C56</f>
        <v>4653.46</v>
      </c>
      <c r="U44" s="265">
        <f>$B44*'05 - Relação de funcionários'!D56</f>
        <v>6980.1900000000005</v>
      </c>
      <c r="V44" s="265">
        <f>$B44*'05 - Relação de funcionários'!E56</f>
        <v>6980.1900000000005</v>
      </c>
      <c r="W44" s="265">
        <f>$B44*'05 - Relação de funcionários'!F56</f>
        <v>9306.92</v>
      </c>
      <c r="X44" s="265">
        <f>$B44*'05 - Relação de funcionários'!G56</f>
        <v>9306.92</v>
      </c>
      <c r="Y44" s="265">
        <f>$B44*'05 - Relação de funcionários'!H56</f>
        <v>9306.92</v>
      </c>
      <c r="Z44" s="265">
        <f>$B44*'05 - Relação de funcionários'!I56</f>
        <v>9306.92</v>
      </c>
      <c r="AA44" s="265">
        <f>$B44*'05 - Relação de funcionários'!J56</f>
        <v>9306.92</v>
      </c>
      <c r="AB44" s="265">
        <f>$B44*'05 - Relação de funcionários'!K56</f>
        <v>9306.92</v>
      </c>
      <c r="AC44" s="265">
        <f>$B44*'05 - Relação de funcionários'!L56</f>
        <v>9306.92</v>
      </c>
      <c r="AD44" s="265">
        <f>$B44*'05 - Relação de funcionários'!M56</f>
        <v>9306.92</v>
      </c>
      <c r="AE44" s="265">
        <f>$B44*'05 - Relação de funcionários'!N56</f>
        <v>9306.92</v>
      </c>
      <c r="AF44" s="265">
        <f>$B44*'05 - Relação de funcionários'!O56</f>
        <v>9306.92</v>
      </c>
      <c r="AG44" s="265">
        <f>$B44*'05 - Relação de funcionários'!P56</f>
        <v>9306.92</v>
      </c>
      <c r="AH44" s="265">
        <f>$B44*'05 - Relação de funcionários'!Q56</f>
        <v>9306.92</v>
      </c>
      <c r="AI44" s="265">
        <f>$B44*'05 - Relação de funcionários'!R56</f>
        <v>9306.92</v>
      </c>
      <c r="AJ44" s="265">
        <f>$B44*'05 - Relação de funcionários'!S56</f>
        <v>9306.92</v>
      </c>
      <c r="AK44" s="265">
        <f>$B44*'05 - Relação de funcionários'!T56</f>
        <v>9306.92</v>
      </c>
      <c r="AL44" s="265">
        <f>$B44*'05 - Relação de funcionários'!U56</f>
        <v>9306.92</v>
      </c>
      <c r="AM44" s="265">
        <f>$B44*'05 - Relação de funcionários'!V56</f>
        <v>9306.92</v>
      </c>
      <c r="AN44" s="265">
        <f>$B44*'05 - Relação de funcionários'!W56</f>
        <v>9306.92</v>
      </c>
      <c r="AO44" s="265">
        <f>$B44*'05 - Relação de funcionários'!X56</f>
        <v>9306.92</v>
      </c>
      <c r="AP44" s="265">
        <f>$B44*'05 - Relação de funcionários'!Y56</f>
        <v>9306.92</v>
      </c>
      <c r="AQ44" s="265">
        <f>$B44*'05 - Relação de funcionários'!Z56</f>
        <v>9306.92</v>
      </c>
      <c r="AR44" s="265">
        <f>$B44*'05 - Relação de funcionários'!AA56</f>
        <v>9306.92</v>
      </c>
      <c r="AS44" s="265">
        <f>$B44*'05 - Relação de funcionários'!AB56</f>
        <v>9306.92</v>
      </c>
      <c r="AT44" s="265">
        <f>$B44*'05 - Relação de funcionários'!AC56</f>
        <v>9306.92</v>
      </c>
      <c r="AU44" s="265">
        <f>$B44*'05 - Relação de funcionários'!AD56</f>
        <v>9306.92</v>
      </c>
      <c r="AV44" s="265">
        <f>$B44*'05 - Relação de funcionários'!AE56</f>
        <v>9306.92</v>
      </c>
      <c r="AW44" s="265">
        <f>$B44*'05 - Relação de funcionários'!AF56</f>
        <v>9306.92</v>
      </c>
      <c r="AX44" s="265">
        <f>$B44*'05 - Relação de funcionários'!AG56</f>
        <v>9306.92</v>
      </c>
      <c r="AY44" s="265">
        <f>$B44*'05 - Relação de funcionários'!AH56</f>
        <v>9306.92</v>
      </c>
      <c r="AZ44" s="265">
        <f>$B44*'05 - Relação de funcionários'!AI56</f>
        <v>9306.92</v>
      </c>
      <c r="BA44" s="265">
        <f>$B44*'05 - Relação de funcionários'!AJ56</f>
        <v>9306.92</v>
      </c>
    </row>
    <row r="45" spans="1:53" s="258" customFormat="1" ht="13.15" customHeight="1" x14ac:dyDescent="0.2">
      <c r="A45" s="31" t="s">
        <v>837</v>
      </c>
      <c r="B45" s="504">
        <f>C45*'01 - Dados de Entrada'!$C$86+D45*'01 - Dados de Entrada'!$C$87+E45*'01 - Dados de Entrada'!$C$88+F45*'01 - Dados de Entrada'!$C$89+G45*'01 - Dados de Entrada'!$C$90+H45*'01 - Dados de Entrada'!$C$91+I45*'01 - Dados de Entrada'!$C$92+J45*'01 - Dados de Entrada'!$C$93+K45*'01 - Dados de Entrada'!$C$94+L45*'01 - Dados de Entrada'!$C$95+M45*'01 - Dados de Entrada'!$C$96+'08 - Custos com EPI e uniformes'!N45*'01 - Dados de Entrada'!$C$97+O45*'01 - Dados de Entrada'!$C$98+P45*'01 - Dados de Entrada'!$C$99+Q45*'01 - Dados de Entrada'!$C$100</f>
        <v>0</v>
      </c>
      <c r="C45" s="46"/>
      <c r="D45" s="46"/>
      <c r="E45" s="46"/>
      <c r="F45" s="46"/>
      <c r="G45" s="46"/>
      <c r="H45" s="46"/>
      <c r="I45" s="46"/>
      <c r="J45" s="46"/>
      <c r="K45" s="46"/>
      <c r="L45" s="264"/>
      <c r="M45" s="264"/>
      <c r="N45" s="264"/>
      <c r="O45" s="264"/>
      <c r="P45" s="264"/>
      <c r="Q45" s="264"/>
      <c r="R45" s="264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65"/>
      <c r="AE45" s="265"/>
      <c r="AF45" s="265"/>
      <c r="AG45" s="265"/>
      <c r="AH45" s="265"/>
      <c r="AI45" s="265"/>
      <c r="AJ45" s="265"/>
      <c r="AK45" s="265"/>
      <c r="AL45" s="265"/>
      <c r="AM45" s="265"/>
      <c r="AN45" s="265"/>
      <c r="AO45" s="265"/>
      <c r="AP45" s="265"/>
      <c r="AQ45" s="265"/>
      <c r="AR45" s="265"/>
      <c r="AS45" s="265"/>
      <c r="AT45" s="265"/>
      <c r="AU45" s="265"/>
      <c r="AV45" s="265"/>
      <c r="AW45" s="265"/>
      <c r="AX45" s="265"/>
      <c r="AY45" s="265"/>
      <c r="AZ45" s="265"/>
      <c r="BA45" s="265"/>
    </row>
    <row r="46" spans="1:53" s="258" customFormat="1" ht="13.15" customHeight="1" x14ac:dyDescent="0.2">
      <c r="A46" s="32" t="s">
        <v>865</v>
      </c>
      <c r="B46" s="504">
        <f>C46*'01 - Dados de Entrada'!$C$86+D46*'01 - Dados de Entrada'!$C$87+E46*'01 - Dados de Entrada'!$C$88+F46*'01 - Dados de Entrada'!$C$89+G46*'01 - Dados de Entrada'!$C$90+H46*'01 - Dados de Entrada'!$C$91+I46*'01 - Dados de Entrada'!$C$92+J46*'01 - Dados de Entrada'!$C$93+K46*'01 - Dados de Entrada'!$C$94+L46*'01 - Dados de Entrada'!$C$95+M46*'01 - Dados de Entrada'!$C$96+'08 - Custos com EPI e uniformes'!N46*'01 - Dados de Entrada'!$C$97+O46*'01 - Dados de Entrada'!$C$98+P46*'01 - Dados de Entrada'!$C$99+Q46*'01 - Dados de Entrada'!$C$100</f>
        <v>2172.0099999999998</v>
      </c>
      <c r="C46" s="46">
        <v>0</v>
      </c>
      <c r="D46" s="46">
        <v>0</v>
      </c>
      <c r="E46" s="46">
        <v>0</v>
      </c>
      <c r="F46" s="46">
        <v>8</v>
      </c>
      <c r="G46" s="46">
        <v>8</v>
      </c>
      <c r="H46" s="46">
        <v>3</v>
      </c>
      <c r="I46" s="46">
        <v>4</v>
      </c>
      <c r="J46" s="46">
        <v>3</v>
      </c>
      <c r="K46" s="46">
        <v>4</v>
      </c>
      <c r="L46" s="264">
        <v>12</v>
      </c>
      <c r="M46" s="264">
        <v>12</v>
      </c>
      <c r="N46" s="264">
        <v>6</v>
      </c>
      <c r="O46" s="264"/>
      <c r="P46" s="264"/>
      <c r="Q46" s="264"/>
      <c r="R46" s="264">
        <f>SUM(S46:BA46)</f>
        <v>152040.69999999998</v>
      </c>
      <c r="S46" s="265">
        <f>$B46*'05 - Relação de funcionários'!B58</f>
        <v>4344.0199999999995</v>
      </c>
      <c r="T46" s="265">
        <f>$B46*'05 - Relação de funcionários'!C58</f>
        <v>4344.0199999999995</v>
      </c>
      <c r="U46" s="265">
        <f>$B46*'05 - Relação de funcionários'!D58</f>
        <v>4344.0199999999995</v>
      </c>
      <c r="V46" s="265">
        <f>$B46*'05 - Relação de funcionários'!E58</f>
        <v>4344.0199999999995</v>
      </c>
      <c r="W46" s="265">
        <f>$B46*'05 - Relação de funcionários'!F58</f>
        <v>4344.0199999999995</v>
      </c>
      <c r="X46" s="265">
        <f>$B46*'05 - Relação de funcionários'!G58</f>
        <v>4344.0199999999995</v>
      </c>
      <c r="Y46" s="265">
        <f>$B46*'05 - Relação de funcionários'!H58</f>
        <v>4344.0199999999995</v>
      </c>
      <c r="Z46" s="265">
        <f>$B46*'05 - Relação de funcionários'!I58</f>
        <v>4344.0199999999995</v>
      </c>
      <c r="AA46" s="265">
        <f>$B46*'05 - Relação de funcionários'!J58</f>
        <v>4344.0199999999995</v>
      </c>
      <c r="AB46" s="265">
        <f>$B46*'05 - Relação de funcionários'!K58</f>
        <v>4344.0199999999995</v>
      </c>
      <c r="AC46" s="265">
        <f>$B46*'05 - Relação de funcionários'!L58</f>
        <v>4344.0199999999995</v>
      </c>
      <c r="AD46" s="265">
        <f>$B46*'05 - Relação de funcionários'!M58</f>
        <v>4344.0199999999995</v>
      </c>
      <c r="AE46" s="265">
        <f>$B46*'05 - Relação de funcionários'!N58</f>
        <v>4344.0199999999995</v>
      </c>
      <c r="AF46" s="265">
        <f>$B46*'05 - Relação de funcionários'!O58</f>
        <v>4344.0199999999995</v>
      </c>
      <c r="AG46" s="265">
        <f>$B46*'05 - Relação de funcionários'!P58</f>
        <v>4344.0199999999995</v>
      </c>
      <c r="AH46" s="265">
        <f>$B46*'05 - Relação de funcionários'!Q58</f>
        <v>4344.0199999999995</v>
      </c>
      <c r="AI46" s="265">
        <f>$B46*'05 - Relação de funcionários'!R58</f>
        <v>4344.0199999999995</v>
      </c>
      <c r="AJ46" s="265">
        <f>$B46*'05 - Relação de funcionários'!S58</f>
        <v>4344.0199999999995</v>
      </c>
      <c r="AK46" s="265">
        <f>$B46*'05 - Relação de funcionários'!T58</f>
        <v>4344.0199999999995</v>
      </c>
      <c r="AL46" s="265">
        <f>$B46*'05 - Relação de funcionários'!U58</f>
        <v>4344.0199999999995</v>
      </c>
      <c r="AM46" s="265">
        <f>$B46*'05 - Relação de funcionários'!V58</f>
        <v>4344.0199999999995</v>
      </c>
      <c r="AN46" s="265">
        <f>$B46*'05 - Relação de funcionários'!W58</f>
        <v>4344.0199999999995</v>
      </c>
      <c r="AO46" s="265">
        <f>$B46*'05 - Relação de funcionários'!X58</f>
        <v>4344.0199999999995</v>
      </c>
      <c r="AP46" s="265">
        <f>$B46*'05 - Relação de funcionários'!Y58</f>
        <v>4344.0199999999995</v>
      </c>
      <c r="AQ46" s="265">
        <f>$B46*'05 - Relação de funcionários'!Z58</f>
        <v>4344.0199999999995</v>
      </c>
      <c r="AR46" s="265">
        <f>$B46*'05 - Relação de funcionários'!AA58</f>
        <v>4344.0199999999995</v>
      </c>
      <c r="AS46" s="265">
        <f>$B46*'05 - Relação de funcionários'!AB58</f>
        <v>4344.0199999999995</v>
      </c>
      <c r="AT46" s="265">
        <f>$B46*'05 - Relação de funcionários'!AC58</f>
        <v>4344.0199999999995</v>
      </c>
      <c r="AU46" s="265">
        <f>$B46*'05 - Relação de funcionários'!AD58</f>
        <v>4344.0199999999995</v>
      </c>
      <c r="AV46" s="265">
        <f>$B46*'05 - Relação de funcionários'!AE58</f>
        <v>4344.0199999999995</v>
      </c>
      <c r="AW46" s="265">
        <f>$B46*'05 - Relação de funcionários'!AF58</f>
        <v>4344.0199999999995</v>
      </c>
      <c r="AX46" s="265">
        <f>$B46*'05 - Relação de funcionários'!AG58</f>
        <v>4344.0199999999995</v>
      </c>
      <c r="AY46" s="265">
        <f>$B46*'05 - Relação de funcionários'!AH58</f>
        <v>4344.0199999999995</v>
      </c>
      <c r="AZ46" s="265">
        <f>$B46*'05 - Relação de funcionários'!AI58</f>
        <v>4344.0199999999995</v>
      </c>
      <c r="BA46" s="265">
        <f>$B46*'05 - Relação de funcionários'!AJ58</f>
        <v>4344.0199999999995</v>
      </c>
    </row>
    <row r="47" spans="1:53" s="258" customFormat="1" ht="13.15" customHeight="1" x14ac:dyDescent="0.2">
      <c r="A47" s="257" t="s">
        <v>874</v>
      </c>
      <c r="B47" s="504">
        <f>C47*'01 - Dados de Entrada'!$C$86+D47*'01 - Dados de Entrada'!$C$87+E47*'01 - Dados de Entrada'!$C$88+F47*'01 - Dados de Entrada'!$C$89+G47*'01 - Dados de Entrada'!$C$90+H47*'01 - Dados de Entrada'!$C$91+I47*'01 - Dados de Entrada'!$C$92+J47*'01 - Dados de Entrada'!$C$93+K47*'01 - Dados de Entrada'!$C$94+L47*'01 - Dados de Entrada'!$C$95+M47*'01 - Dados de Entrada'!$C$96+'08 - Custos com EPI e uniformes'!N47*'01 - Dados de Entrada'!$C$97+O47*'01 - Dados de Entrada'!$C$98+P47*'01 - Dados de Entrada'!$C$99+Q47*'01 - Dados de Entrada'!$C$100</f>
        <v>0</v>
      </c>
      <c r="C47" s="46"/>
      <c r="D47" s="46"/>
      <c r="E47" s="46"/>
      <c r="F47" s="46"/>
      <c r="G47" s="46"/>
      <c r="H47" s="46"/>
      <c r="I47" s="46"/>
      <c r="J47" s="46"/>
      <c r="K47" s="46"/>
      <c r="L47" s="264"/>
      <c r="M47" s="264"/>
      <c r="N47" s="264"/>
      <c r="O47" s="264"/>
      <c r="P47" s="264"/>
      <c r="Q47" s="264"/>
      <c r="R47" s="264">
        <f t="shared" si="1"/>
        <v>0</v>
      </c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65"/>
      <c r="AE47" s="265"/>
      <c r="AF47" s="265"/>
      <c r="AG47" s="265"/>
      <c r="AH47" s="265"/>
      <c r="AI47" s="265"/>
      <c r="AJ47" s="265"/>
      <c r="AK47" s="265"/>
      <c r="AL47" s="265"/>
      <c r="AM47" s="265"/>
      <c r="AN47" s="265"/>
      <c r="AO47" s="265"/>
      <c r="AP47" s="265"/>
      <c r="AQ47" s="265"/>
      <c r="AR47" s="265"/>
      <c r="AS47" s="265"/>
      <c r="AT47" s="265"/>
      <c r="AU47" s="265"/>
      <c r="AV47" s="265"/>
      <c r="AW47" s="265"/>
      <c r="AX47" s="265"/>
      <c r="AY47" s="265"/>
      <c r="AZ47" s="265"/>
      <c r="BA47" s="265"/>
    </row>
    <row r="48" spans="1:53" s="258" customFormat="1" ht="13.15" customHeight="1" x14ac:dyDescent="0.2">
      <c r="A48" s="261" t="s">
        <v>875</v>
      </c>
      <c r="B48" s="502">
        <f>C48*'01 - Dados de Entrada'!$C$86+D48*'01 - Dados de Entrada'!$C$87+E48*'01 - Dados de Entrada'!$C$88+F48*'01 - Dados de Entrada'!$C$89+G48*'01 - Dados de Entrada'!$C$90+H48*'01 - Dados de Entrada'!$C$91+I48*'01 - Dados de Entrada'!$C$92+J48*'01 - Dados de Entrada'!$C$93+K48*'01 - Dados de Entrada'!$C$94+L48*'01 - Dados de Entrada'!$C$95+M48*'01 - Dados de Entrada'!$C$96+'08 - Custos com EPI e uniformes'!N48*'01 - Dados de Entrada'!$C$97+O48*'01 - Dados de Entrada'!$C$98+P48*'01 - Dados de Entrada'!$C$99+Q48*'01 - Dados de Entrada'!$C$100</f>
        <v>2419.39</v>
      </c>
      <c r="C48" s="46">
        <v>0</v>
      </c>
      <c r="D48" s="46">
        <v>0</v>
      </c>
      <c r="E48" s="46">
        <v>0</v>
      </c>
      <c r="F48" s="46">
        <v>8</v>
      </c>
      <c r="G48" s="46">
        <v>8</v>
      </c>
      <c r="H48" s="46">
        <v>3</v>
      </c>
      <c r="I48" s="46">
        <v>4</v>
      </c>
      <c r="J48" s="46">
        <v>3</v>
      </c>
      <c r="K48" s="46">
        <v>4</v>
      </c>
      <c r="L48" s="264">
        <v>24</v>
      </c>
      <c r="M48" s="264">
        <v>12</v>
      </c>
      <c r="N48" s="264">
        <v>6</v>
      </c>
      <c r="O48" s="264"/>
      <c r="P48" s="264"/>
      <c r="Q48" s="264">
        <v>24</v>
      </c>
      <c r="R48" s="264">
        <f t="shared" si="1"/>
        <v>84678.65</v>
      </c>
      <c r="S48" s="265">
        <f>$B48*'05 - Relação de funcionários'!B60</f>
        <v>2419.39</v>
      </c>
      <c r="T48" s="265">
        <f>$B48*'05 - Relação de funcionários'!C60</f>
        <v>2419.39</v>
      </c>
      <c r="U48" s="265">
        <f>$B48*'05 - Relação de funcionários'!D60</f>
        <v>2419.39</v>
      </c>
      <c r="V48" s="265">
        <f>$B48*'05 - Relação de funcionários'!E60</f>
        <v>2419.39</v>
      </c>
      <c r="W48" s="265">
        <f>$B48*'05 - Relação de funcionários'!F60</f>
        <v>2419.39</v>
      </c>
      <c r="X48" s="265">
        <f>$B48*'05 - Relação de funcionários'!G60</f>
        <v>2419.39</v>
      </c>
      <c r="Y48" s="265">
        <f>$B48*'05 - Relação de funcionários'!H60</f>
        <v>2419.39</v>
      </c>
      <c r="Z48" s="265">
        <f>$B48*'05 - Relação de funcionários'!I60</f>
        <v>2419.39</v>
      </c>
      <c r="AA48" s="265">
        <f>$B48*'05 - Relação de funcionários'!J60</f>
        <v>2419.39</v>
      </c>
      <c r="AB48" s="265">
        <f>$B48*'05 - Relação de funcionários'!K60</f>
        <v>2419.39</v>
      </c>
      <c r="AC48" s="265">
        <f>$B48*'05 - Relação de funcionários'!L60</f>
        <v>2419.39</v>
      </c>
      <c r="AD48" s="265">
        <f>$B48*'05 - Relação de funcionários'!M60</f>
        <v>2419.39</v>
      </c>
      <c r="AE48" s="265">
        <f>$B48*'05 - Relação de funcionários'!N60</f>
        <v>2419.39</v>
      </c>
      <c r="AF48" s="265">
        <f>$B48*'05 - Relação de funcionários'!O60</f>
        <v>2419.39</v>
      </c>
      <c r="AG48" s="265">
        <f>$B48*'05 - Relação de funcionários'!P60</f>
        <v>2419.39</v>
      </c>
      <c r="AH48" s="265">
        <f>$B48*'05 - Relação de funcionários'!Q60</f>
        <v>2419.39</v>
      </c>
      <c r="AI48" s="265">
        <f>$B48*'05 - Relação de funcionários'!R60</f>
        <v>2419.39</v>
      </c>
      <c r="AJ48" s="265">
        <f>$B48*'05 - Relação de funcionários'!S60</f>
        <v>2419.39</v>
      </c>
      <c r="AK48" s="265">
        <f>$B48*'05 - Relação de funcionários'!T60</f>
        <v>2419.39</v>
      </c>
      <c r="AL48" s="265">
        <f>$B48*'05 - Relação de funcionários'!U60</f>
        <v>2419.39</v>
      </c>
      <c r="AM48" s="265">
        <f>$B48*'05 - Relação de funcionários'!V60</f>
        <v>2419.39</v>
      </c>
      <c r="AN48" s="265">
        <f>$B48*'05 - Relação de funcionários'!W60</f>
        <v>2419.39</v>
      </c>
      <c r="AO48" s="265">
        <f>$B48*'05 - Relação de funcionários'!X60</f>
        <v>2419.39</v>
      </c>
      <c r="AP48" s="265">
        <f>$B48*'05 - Relação de funcionários'!Y60</f>
        <v>2419.39</v>
      </c>
      <c r="AQ48" s="265">
        <f>$B48*'05 - Relação de funcionários'!Z60</f>
        <v>2419.39</v>
      </c>
      <c r="AR48" s="265">
        <f>$B48*'05 - Relação de funcionários'!AA60</f>
        <v>2419.39</v>
      </c>
      <c r="AS48" s="265">
        <f>$B48*'05 - Relação de funcionários'!AB60</f>
        <v>2419.39</v>
      </c>
      <c r="AT48" s="265">
        <f>$B48*'05 - Relação de funcionários'!AC60</f>
        <v>2419.39</v>
      </c>
      <c r="AU48" s="265">
        <f>$B48*'05 - Relação de funcionários'!AD60</f>
        <v>2419.39</v>
      </c>
      <c r="AV48" s="265">
        <f>$B48*'05 - Relação de funcionários'!AE60</f>
        <v>2419.39</v>
      </c>
      <c r="AW48" s="265">
        <f>$B48*'05 - Relação de funcionários'!AF60</f>
        <v>2419.39</v>
      </c>
      <c r="AX48" s="265">
        <f>$B48*'05 - Relação de funcionários'!AG60</f>
        <v>2419.39</v>
      </c>
      <c r="AY48" s="265">
        <f>$B48*'05 - Relação de funcionários'!AH60</f>
        <v>2419.39</v>
      </c>
      <c r="AZ48" s="265">
        <f>$B48*'05 - Relação de funcionários'!AI60</f>
        <v>2419.39</v>
      </c>
      <c r="BA48" s="265">
        <f>$B48*'05 - Relação de funcionários'!AJ60</f>
        <v>2419.39</v>
      </c>
    </row>
    <row r="49" spans="1:53" s="258" customFormat="1" ht="13.15" customHeight="1" x14ac:dyDescent="0.2">
      <c r="A49" s="261" t="s">
        <v>876</v>
      </c>
      <c r="B49" s="502">
        <f>C49*'01 - Dados de Entrada'!$C$86+D49*'01 - Dados de Entrada'!$C$87+E49*'01 - Dados de Entrada'!$C$88+F49*'01 - Dados de Entrada'!$C$89+G49*'01 - Dados de Entrada'!$C$90+H49*'01 - Dados de Entrada'!$C$91+I49*'01 - Dados de Entrada'!$C$92+J49*'01 - Dados de Entrada'!$C$93+K49*'01 - Dados de Entrada'!$C$94+L49*'01 - Dados de Entrada'!$C$95+M49*'01 - Dados de Entrada'!$C$96+'08 - Custos com EPI e uniformes'!N49*'01 - Dados de Entrada'!$C$97+O49*'01 - Dados de Entrada'!$C$98+P49*'01 - Dados de Entrada'!$C$99+Q49*'01 - Dados de Entrada'!$C$100</f>
        <v>2419.39</v>
      </c>
      <c r="C49" s="46">
        <v>0</v>
      </c>
      <c r="D49" s="46">
        <v>0</v>
      </c>
      <c r="E49" s="46">
        <v>0</v>
      </c>
      <c r="F49" s="46">
        <v>8</v>
      </c>
      <c r="G49" s="46">
        <v>8</v>
      </c>
      <c r="H49" s="46">
        <v>3</v>
      </c>
      <c r="I49" s="46">
        <v>4</v>
      </c>
      <c r="J49" s="46">
        <v>3</v>
      </c>
      <c r="K49" s="46">
        <v>4</v>
      </c>
      <c r="L49" s="264">
        <v>24</v>
      </c>
      <c r="M49" s="264">
        <v>12</v>
      </c>
      <c r="N49" s="264">
        <v>6</v>
      </c>
      <c r="O49" s="264"/>
      <c r="P49" s="264"/>
      <c r="Q49" s="264">
        <v>24</v>
      </c>
      <c r="R49" s="264">
        <f t="shared" si="1"/>
        <v>169357.3</v>
      </c>
      <c r="S49" s="265">
        <f>$B49*'05 - Relação de funcionários'!B61</f>
        <v>4838.78</v>
      </c>
      <c r="T49" s="265">
        <f>$B49*'05 - Relação de funcionários'!C61</f>
        <v>4838.78</v>
      </c>
      <c r="U49" s="265">
        <f>$B49*'05 - Relação de funcionários'!D61</f>
        <v>4838.78</v>
      </c>
      <c r="V49" s="265">
        <f>$B49*'05 - Relação de funcionários'!E61</f>
        <v>4838.78</v>
      </c>
      <c r="W49" s="265">
        <f>$B49*'05 - Relação de funcionários'!F61</f>
        <v>4838.78</v>
      </c>
      <c r="X49" s="265">
        <f>$B49*'05 - Relação de funcionários'!G61</f>
        <v>4838.78</v>
      </c>
      <c r="Y49" s="265">
        <f>$B49*'05 - Relação de funcionários'!H61</f>
        <v>4838.78</v>
      </c>
      <c r="Z49" s="265">
        <f>$B49*'05 - Relação de funcionários'!I61</f>
        <v>4838.78</v>
      </c>
      <c r="AA49" s="265">
        <f>$B49*'05 - Relação de funcionários'!J61</f>
        <v>4838.78</v>
      </c>
      <c r="AB49" s="265">
        <f>$B49*'05 - Relação de funcionários'!K61</f>
        <v>4838.78</v>
      </c>
      <c r="AC49" s="265">
        <f>$B49*'05 - Relação de funcionários'!L61</f>
        <v>4838.78</v>
      </c>
      <c r="AD49" s="265">
        <f>$B49*'05 - Relação de funcionários'!M61</f>
        <v>4838.78</v>
      </c>
      <c r="AE49" s="265">
        <f>$B49*'05 - Relação de funcionários'!N61</f>
        <v>4838.78</v>
      </c>
      <c r="AF49" s="265">
        <f>$B49*'05 - Relação de funcionários'!O61</f>
        <v>4838.78</v>
      </c>
      <c r="AG49" s="265">
        <f>$B49*'05 - Relação de funcionários'!P61</f>
        <v>4838.78</v>
      </c>
      <c r="AH49" s="265">
        <f>$B49*'05 - Relação de funcionários'!Q61</f>
        <v>4838.78</v>
      </c>
      <c r="AI49" s="265">
        <f>$B49*'05 - Relação de funcionários'!R61</f>
        <v>4838.78</v>
      </c>
      <c r="AJ49" s="265">
        <f>$B49*'05 - Relação de funcionários'!S61</f>
        <v>4838.78</v>
      </c>
      <c r="AK49" s="265">
        <f>$B49*'05 - Relação de funcionários'!T61</f>
        <v>4838.78</v>
      </c>
      <c r="AL49" s="265">
        <f>$B49*'05 - Relação de funcionários'!U61</f>
        <v>4838.78</v>
      </c>
      <c r="AM49" s="265">
        <f>$B49*'05 - Relação de funcionários'!V61</f>
        <v>4838.78</v>
      </c>
      <c r="AN49" s="265">
        <f>$B49*'05 - Relação de funcionários'!W61</f>
        <v>4838.78</v>
      </c>
      <c r="AO49" s="265">
        <f>$B49*'05 - Relação de funcionários'!X61</f>
        <v>4838.78</v>
      </c>
      <c r="AP49" s="265">
        <f>$B49*'05 - Relação de funcionários'!Y61</f>
        <v>4838.78</v>
      </c>
      <c r="AQ49" s="265">
        <f>$B49*'05 - Relação de funcionários'!Z61</f>
        <v>4838.78</v>
      </c>
      <c r="AR49" s="265">
        <f>$B49*'05 - Relação de funcionários'!AA61</f>
        <v>4838.78</v>
      </c>
      <c r="AS49" s="265">
        <f>$B49*'05 - Relação de funcionários'!AB61</f>
        <v>4838.78</v>
      </c>
      <c r="AT49" s="265">
        <f>$B49*'05 - Relação de funcionários'!AC61</f>
        <v>4838.78</v>
      </c>
      <c r="AU49" s="265">
        <f>$B49*'05 - Relação de funcionários'!AD61</f>
        <v>4838.78</v>
      </c>
      <c r="AV49" s="265">
        <f>$B49*'05 - Relação de funcionários'!AE61</f>
        <v>4838.78</v>
      </c>
      <c r="AW49" s="265">
        <f>$B49*'05 - Relação de funcionários'!AF61</f>
        <v>4838.78</v>
      </c>
      <c r="AX49" s="265">
        <f>$B49*'05 - Relação de funcionários'!AG61</f>
        <v>4838.78</v>
      </c>
      <c r="AY49" s="265">
        <f>$B49*'05 - Relação de funcionários'!AH61</f>
        <v>4838.78</v>
      </c>
      <c r="AZ49" s="265">
        <f>$B49*'05 - Relação de funcionários'!AI61</f>
        <v>4838.78</v>
      </c>
      <c r="BA49" s="265">
        <f>$B49*'05 - Relação de funcionários'!AJ61</f>
        <v>4838.78</v>
      </c>
    </row>
    <row r="50" spans="1:53" s="258" customFormat="1" ht="13.15" customHeight="1" x14ac:dyDescent="0.2">
      <c r="A50" s="261" t="s">
        <v>877</v>
      </c>
      <c r="B50" s="502">
        <f>C50*'01 - Dados de Entrada'!$C$86+D50*'01 - Dados de Entrada'!$C$87+E50*'01 - Dados de Entrada'!$C$88+F50*'01 - Dados de Entrada'!$C$89+G50*'01 - Dados de Entrada'!$C$90+H50*'01 - Dados de Entrada'!$C$91+I50*'01 - Dados de Entrada'!$C$92+J50*'01 - Dados de Entrada'!$C$93+K50*'01 - Dados de Entrada'!$C$94+L50*'01 - Dados de Entrada'!$C$95+M50*'01 - Dados de Entrada'!$C$96+'08 - Custos com EPI e uniformes'!N50*'01 - Dados de Entrada'!$C$97+O50*'01 - Dados de Entrada'!$C$98+P50*'01 - Dados de Entrada'!$C$99+Q50*'01 - Dados de Entrada'!$C$100</f>
        <v>2419.39</v>
      </c>
      <c r="C50" s="46">
        <v>0</v>
      </c>
      <c r="D50" s="46">
        <v>0</v>
      </c>
      <c r="E50" s="46">
        <v>0</v>
      </c>
      <c r="F50" s="46">
        <v>8</v>
      </c>
      <c r="G50" s="46">
        <v>8</v>
      </c>
      <c r="H50" s="46">
        <v>3</v>
      </c>
      <c r="I50" s="46">
        <v>4</v>
      </c>
      <c r="J50" s="46">
        <v>3</v>
      </c>
      <c r="K50" s="46">
        <v>4</v>
      </c>
      <c r="L50" s="264">
        <v>24</v>
      </c>
      <c r="M50" s="264">
        <v>12</v>
      </c>
      <c r="N50" s="264">
        <v>6</v>
      </c>
      <c r="O50" s="264"/>
      <c r="P50" s="264"/>
      <c r="Q50" s="264">
        <v>24</v>
      </c>
      <c r="R50" s="264">
        <f t="shared" si="1"/>
        <v>169357.3</v>
      </c>
      <c r="S50" s="265">
        <f>$B50*'05 - Relação de funcionários'!B62</f>
        <v>4838.78</v>
      </c>
      <c r="T50" s="265">
        <f>$B50*'05 - Relação de funcionários'!C62</f>
        <v>4838.78</v>
      </c>
      <c r="U50" s="265">
        <f>$B50*'05 - Relação de funcionários'!D62</f>
        <v>4838.78</v>
      </c>
      <c r="V50" s="265">
        <f>$B50*'05 - Relação de funcionários'!E62</f>
        <v>4838.78</v>
      </c>
      <c r="W50" s="265">
        <f>$B50*'05 - Relação de funcionários'!F62</f>
        <v>4838.78</v>
      </c>
      <c r="X50" s="265">
        <f>$B50*'05 - Relação de funcionários'!G62</f>
        <v>4838.78</v>
      </c>
      <c r="Y50" s="265">
        <f>$B50*'05 - Relação de funcionários'!H62</f>
        <v>4838.78</v>
      </c>
      <c r="Z50" s="265">
        <f>$B50*'05 - Relação de funcionários'!I62</f>
        <v>4838.78</v>
      </c>
      <c r="AA50" s="265">
        <f>$B50*'05 - Relação de funcionários'!J62</f>
        <v>4838.78</v>
      </c>
      <c r="AB50" s="265">
        <f>$B50*'05 - Relação de funcionários'!K62</f>
        <v>4838.78</v>
      </c>
      <c r="AC50" s="265">
        <f>$B50*'05 - Relação de funcionários'!L62</f>
        <v>4838.78</v>
      </c>
      <c r="AD50" s="265">
        <f>$B50*'05 - Relação de funcionários'!M62</f>
        <v>4838.78</v>
      </c>
      <c r="AE50" s="265">
        <f>$B50*'05 - Relação de funcionários'!N62</f>
        <v>4838.78</v>
      </c>
      <c r="AF50" s="265">
        <f>$B50*'05 - Relação de funcionários'!O62</f>
        <v>4838.78</v>
      </c>
      <c r="AG50" s="265">
        <f>$B50*'05 - Relação de funcionários'!P62</f>
        <v>4838.78</v>
      </c>
      <c r="AH50" s="265">
        <f>$B50*'05 - Relação de funcionários'!Q62</f>
        <v>4838.78</v>
      </c>
      <c r="AI50" s="265">
        <f>$B50*'05 - Relação de funcionários'!R62</f>
        <v>4838.78</v>
      </c>
      <c r="AJ50" s="265">
        <f>$B50*'05 - Relação de funcionários'!S62</f>
        <v>4838.78</v>
      </c>
      <c r="AK50" s="265">
        <f>$B50*'05 - Relação de funcionários'!T62</f>
        <v>4838.78</v>
      </c>
      <c r="AL50" s="265">
        <f>$B50*'05 - Relação de funcionários'!U62</f>
        <v>4838.78</v>
      </c>
      <c r="AM50" s="265">
        <f>$B50*'05 - Relação de funcionários'!V62</f>
        <v>4838.78</v>
      </c>
      <c r="AN50" s="265">
        <f>$B50*'05 - Relação de funcionários'!W62</f>
        <v>4838.78</v>
      </c>
      <c r="AO50" s="265">
        <f>$B50*'05 - Relação de funcionários'!X62</f>
        <v>4838.78</v>
      </c>
      <c r="AP50" s="265">
        <f>$B50*'05 - Relação de funcionários'!Y62</f>
        <v>4838.78</v>
      </c>
      <c r="AQ50" s="265">
        <f>$B50*'05 - Relação de funcionários'!Z62</f>
        <v>4838.78</v>
      </c>
      <c r="AR50" s="265">
        <f>$B50*'05 - Relação de funcionários'!AA62</f>
        <v>4838.78</v>
      </c>
      <c r="AS50" s="265">
        <f>$B50*'05 - Relação de funcionários'!AB62</f>
        <v>4838.78</v>
      </c>
      <c r="AT50" s="265">
        <f>$B50*'05 - Relação de funcionários'!AC62</f>
        <v>4838.78</v>
      </c>
      <c r="AU50" s="265">
        <f>$B50*'05 - Relação de funcionários'!AD62</f>
        <v>4838.78</v>
      </c>
      <c r="AV50" s="265">
        <f>$B50*'05 - Relação de funcionários'!AE62</f>
        <v>4838.78</v>
      </c>
      <c r="AW50" s="265">
        <f>$B50*'05 - Relação de funcionários'!AF62</f>
        <v>4838.78</v>
      </c>
      <c r="AX50" s="265">
        <f>$B50*'05 - Relação de funcionários'!AG62</f>
        <v>4838.78</v>
      </c>
      <c r="AY50" s="265">
        <f>$B50*'05 - Relação de funcionários'!AH62</f>
        <v>4838.78</v>
      </c>
      <c r="AZ50" s="265">
        <f>$B50*'05 - Relação de funcionários'!AI62</f>
        <v>4838.78</v>
      </c>
      <c r="BA50" s="265">
        <f>$B50*'05 - Relação de funcionários'!AJ62</f>
        <v>4838.78</v>
      </c>
    </row>
    <row r="51" spans="1:53" s="258" customFormat="1" ht="13.15" customHeight="1" x14ac:dyDescent="0.2">
      <c r="A51" s="261" t="s">
        <v>878</v>
      </c>
      <c r="B51" s="502">
        <f>C51*'01 - Dados de Entrada'!$C$86+D51*'01 - Dados de Entrada'!$C$87+E51*'01 - Dados de Entrada'!$C$88+F51*'01 - Dados de Entrada'!$C$89+G51*'01 - Dados de Entrada'!$C$90+H51*'01 - Dados de Entrada'!$C$91+I51*'01 - Dados de Entrada'!$C$92+J51*'01 - Dados de Entrada'!$C$93+K51*'01 - Dados de Entrada'!$C$94+L51*'01 - Dados de Entrada'!$C$95+M51*'01 - Dados de Entrada'!$C$96+'08 - Custos com EPI e uniformes'!N51*'01 - Dados de Entrada'!$C$97+O51*'01 - Dados de Entrada'!$C$98+P51*'01 - Dados de Entrada'!$C$99+Q51*'01 - Dados de Entrada'!$C$100</f>
        <v>2378.35</v>
      </c>
      <c r="C51" s="46">
        <v>0</v>
      </c>
      <c r="D51" s="46">
        <v>0</v>
      </c>
      <c r="E51" s="46">
        <v>0</v>
      </c>
      <c r="F51" s="46">
        <v>8</v>
      </c>
      <c r="G51" s="46">
        <v>8</v>
      </c>
      <c r="H51" s="46">
        <v>3</v>
      </c>
      <c r="I51" s="46">
        <v>4</v>
      </c>
      <c r="J51" s="46">
        <v>3</v>
      </c>
      <c r="K51" s="46">
        <v>4</v>
      </c>
      <c r="L51" s="264">
        <v>24</v>
      </c>
      <c r="M51" s="264">
        <v>12</v>
      </c>
      <c r="N51" s="264">
        <v>6</v>
      </c>
      <c r="O51" s="264"/>
      <c r="P51" s="264"/>
      <c r="Q51" s="264"/>
      <c r="R51" s="264">
        <f t="shared" si="1"/>
        <v>83242.250000000015</v>
      </c>
      <c r="S51" s="265">
        <f>$B51*'05 - Relação de funcionários'!B63</f>
        <v>2378.35</v>
      </c>
      <c r="T51" s="265">
        <f>$B51*'05 - Relação de funcionários'!C63</f>
        <v>2378.35</v>
      </c>
      <c r="U51" s="265">
        <f>$B51*'05 - Relação de funcionários'!D63</f>
        <v>2378.35</v>
      </c>
      <c r="V51" s="265">
        <f>$B51*'05 - Relação de funcionários'!E63</f>
        <v>2378.35</v>
      </c>
      <c r="W51" s="265">
        <f>$B51*'05 - Relação de funcionários'!F63</f>
        <v>2378.35</v>
      </c>
      <c r="X51" s="265">
        <f>$B51*'05 - Relação de funcionários'!G63</f>
        <v>2378.35</v>
      </c>
      <c r="Y51" s="265">
        <f>$B51*'05 - Relação de funcionários'!H63</f>
        <v>2378.35</v>
      </c>
      <c r="Z51" s="265">
        <f>$B51*'05 - Relação de funcionários'!I63</f>
        <v>2378.35</v>
      </c>
      <c r="AA51" s="265">
        <f>$B51*'05 - Relação de funcionários'!J63</f>
        <v>2378.35</v>
      </c>
      <c r="AB51" s="265">
        <f>$B51*'05 - Relação de funcionários'!K63</f>
        <v>2378.35</v>
      </c>
      <c r="AC51" s="265">
        <f>$B51*'05 - Relação de funcionários'!L63</f>
        <v>2378.35</v>
      </c>
      <c r="AD51" s="265">
        <f>$B51*'05 - Relação de funcionários'!M63</f>
        <v>2378.35</v>
      </c>
      <c r="AE51" s="265">
        <f>$B51*'05 - Relação de funcionários'!N63</f>
        <v>2378.35</v>
      </c>
      <c r="AF51" s="265">
        <f>$B51*'05 - Relação de funcionários'!O63</f>
        <v>2378.35</v>
      </c>
      <c r="AG51" s="265">
        <f>$B51*'05 - Relação de funcionários'!P63</f>
        <v>2378.35</v>
      </c>
      <c r="AH51" s="265">
        <f>$B51*'05 - Relação de funcionários'!Q63</f>
        <v>2378.35</v>
      </c>
      <c r="AI51" s="265">
        <f>$B51*'05 - Relação de funcionários'!R63</f>
        <v>2378.35</v>
      </c>
      <c r="AJ51" s="265">
        <f>$B51*'05 - Relação de funcionários'!S63</f>
        <v>2378.35</v>
      </c>
      <c r="AK51" s="265">
        <f>$B51*'05 - Relação de funcionários'!T63</f>
        <v>2378.35</v>
      </c>
      <c r="AL51" s="265">
        <f>$B51*'05 - Relação de funcionários'!U63</f>
        <v>2378.35</v>
      </c>
      <c r="AM51" s="265">
        <f>$B51*'05 - Relação de funcionários'!V63</f>
        <v>2378.35</v>
      </c>
      <c r="AN51" s="265">
        <f>$B51*'05 - Relação de funcionários'!W63</f>
        <v>2378.35</v>
      </c>
      <c r="AO51" s="265">
        <f>$B51*'05 - Relação de funcionários'!X63</f>
        <v>2378.35</v>
      </c>
      <c r="AP51" s="265">
        <f>$B51*'05 - Relação de funcionários'!Y63</f>
        <v>2378.35</v>
      </c>
      <c r="AQ51" s="265">
        <f>$B51*'05 - Relação de funcionários'!Z63</f>
        <v>2378.35</v>
      </c>
      <c r="AR51" s="265">
        <f>$B51*'05 - Relação de funcionários'!AA63</f>
        <v>2378.35</v>
      </c>
      <c r="AS51" s="265">
        <f>$B51*'05 - Relação de funcionários'!AB63</f>
        <v>2378.35</v>
      </c>
      <c r="AT51" s="265">
        <f>$B51*'05 - Relação de funcionários'!AC63</f>
        <v>2378.35</v>
      </c>
      <c r="AU51" s="265">
        <f>$B51*'05 - Relação de funcionários'!AD63</f>
        <v>2378.35</v>
      </c>
      <c r="AV51" s="265">
        <f>$B51*'05 - Relação de funcionários'!AE63</f>
        <v>2378.35</v>
      </c>
      <c r="AW51" s="265">
        <f>$B51*'05 - Relação de funcionários'!AF63</f>
        <v>2378.35</v>
      </c>
      <c r="AX51" s="265">
        <f>$B51*'05 - Relação de funcionários'!AG63</f>
        <v>2378.35</v>
      </c>
      <c r="AY51" s="265">
        <f>$B51*'05 - Relação de funcionários'!AH63</f>
        <v>2378.35</v>
      </c>
      <c r="AZ51" s="265">
        <f>$B51*'05 - Relação de funcionários'!AI63</f>
        <v>2378.35</v>
      </c>
      <c r="BA51" s="265">
        <f>$B51*'05 - Relação de funcionários'!AJ63</f>
        <v>2378.35</v>
      </c>
    </row>
    <row r="52" spans="1:53" s="258" customFormat="1" ht="13.15" customHeight="1" x14ac:dyDescent="0.2">
      <c r="A52" s="261" t="s">
        <v>879</v>
      </c>
      <c r="B52" s="502">
        <f>C52*'01 - Dados de Entrada'!$C$86+D52*'01 - Dados de Entrada'!$C$87+E52*'01 - Dados de Entrada'!$C$88+F52*'01 - Dados de Entrada'!$C$89+G52*'01 - Dados de Entrada'!$C$90+H52*'01 - Dados de Entrada'!$C$91+I52*'01 - Dados de Entrada'!$C$92+J52*'01 - Dados de Entrada'!$C$93+K52*'01 - Dados de Entrada'!$C$94+L52*'01 - Dados de Entrada'!$C$95+M52*'01 - Dados de Entrada'!$C$96+'08 - Custos com EPI e uniformes'!N52*'01 - Dados de Entrada'!$C$97+O52*'01 - Dados de Entrada'!$C$98+P52*'01 - Dados de Entrada'!$C$99+Q52*'01 - Dados de Entrada'!$C$100</f>
        <v>2378.35</v>
      </c>
      <c r="C52" s="46">
        <v>0</v>
      </c>
      <c r="D52" s="46">
        <v>0</v>
      </c>
      <c r="E52" s="46">
        <v>0</v>
      </c>
      <c r="F52" s="46">
        <v>8</v>
      </c>
      <c r="G52" s="46">
        <v>8</v>
      </c>
      <c r="H52" s="46">
        <v>3</v>
      </c>
      <c r="I52" s="46">
        <v>4</v>
      </c>
      <c r="J52" s="46">
        <v>3</v>
      </c>
      <c r="K52" s="46">
        <v>4</v>
      </c>
      <c r="L52" s="264">
        <v>24</v>
      </c>
      <c r="M52" s="264">
        <v>12</v>
      </c>
      <c r="N52" s="264">
        <v>6</v>
      </c>
      <c r="O52" s="264"/>
      <c r="P52" s="264"/>
      <c r="Q52" s="264"/>
      <c r="R52" s="264">
        <f t="shared" si="1"/>
        <v>166484.50000000003</v>
      </c>
      <c r="S52" s="265">
        <f>$B52*'05 - Relação de funcionários'!B64</f>
        <v>4756.7</v>
      </c>
      <c r="T52" s="265">
        <f>$B52*'05 - Relação de funcionários'!C64</f>
        <v>4756.7</v>
      </c>
      <c r="U52" s="265">
        <f>$B52*'05 - Relação de funcionários'!D64</f>
        <v>4756.7</v>
      </c>
      <c r="V52" s="265">
        <f>$B52*'05 - Relação de funcionários'!E64</f>
        <v>4756.7</v>
      </c>
      <c r="W52" s="265">
        <f>$B52*'05 - Relação de funcionários'!F64</f>
        <v>4756.7</v>
      </c>
      <c r="X52" s="265">
        <f>$B52*'05 - Relação de funcionários'!G64</f>
        <v>4756.7</v>
      </c>
      <c r="Y52" s="265">
        <f>$B52*'05 - Relação de funcionários'!H64</f>
        <v>4756.7</v>
      </c>
      <c r="Z52" s="265">
        <f>$B52*'05 - Relação de funcionários'!I64</f>
        <v>4756.7</v>
      </c>
      <c r="AA52" s="265">
        <f>$B52*'05 - Relação de funcionários'!J64</f>
        <v>4756.7</v>
      </c>
      <c r="AB52" s="265">
        <f>$B52*'05 - Relação de funcionários'!K64</f>
        <v>4756.7</v>
      </c>
      <c r="AC52" s="265">
        <f>$B52*'05 - Relação de funcionários'!L64</f>
        <v>4756.7</v>
      </c>
      <c r="AD52" s="265">
        <f>$B52*'05 - Relação de funcionários'!M64</f>
        <v>4756.7</v>
      </c>
      <c r="AE52" s="265">
        <f>$B52*'05 - Relação de funcionários'!N64</f>
        <v>4756.7</v>
      </c>
      <c r="AF52" s="265">
        <f>$B52*'05 - Relação de funcionários'!O64</f>
        <v>4756.7</v>
      </c>
      <c r="AG52" s="265">
        <f>$B52*'05 - Relação de funcionários'!P64</f>
        <v>4756.7</v>
      </c>
      <c r="AH52" s="265">
        <f>$B52*'05 - Relação de funcionários'!Q64</f>
        <v>4756.7</v>
      </c>
      <c r="AI52" s="265">
        <f>$B52*'05 - Relação de funcionários'!R64</f>
        <v>4756.7</v>
      </c>
      <c r="AJ52" s="265">
        <f>$B52*'05 - Relação de funcionários'!S64</f>
        <v>4756.7</v>
      </c>
      <c r="AK52" s="265">
        <f>$B52*'05 - Relação de funcionários'!T64</f>
        <v>4756.7</v>
      </c>
      <c r="AL52" s="265">
        <f>$B52*'05 - Relação de funcionários'!U64</f>
        <v>4756.7</v>
      </c>
      <c r="AM52" s="265">
        <f>$B52*'05 - Relação de funcionários'!V64</f>
        <v>4756.7</v>
      </c>
      <c r="AN52" s="265">
        <f>$B52*'05 - Relação de funcionários'!W64</f>
        <v>4756.7</v>
      </c>
      <c r="AO52" s="265">
        <f>$B52*'05 - Relação de funcionários'!X64</f>
        <v>4756.7</v>
      </c>
      <c r="AP52" s="265">
        <f>$B52*'05 - Relação de funcionários'!Y64</f>
        <v>4756.7</v>
      </c>
      <c r="AQ52" s="265">
        <f>$B52*'05 - Relação de funcionários'!Z64</f>
        <v>4756.7</v>
      </c>
      <c r="AR52" s="265">
        <f>$B52*'05 - Relação de funcionários'!AA64</f>
        <v>4756.7</v>
      </c>
      <c r="AS52" s="265">
        <f>$B52*'05 - Relação de funcionários'!AB64</f>
        <v>4756.7</v>
      </c>
      <c r="AT52" s="265">
        <f>$B52*'05 - Relação de funcionários'!AC64</f>
        <v>4756.7</v>
      </c>
      <c r="AU52" s="265">
        <f>$B52*'05 - Relação de funcionários'!AD64</f>
        <v>4756.7</v>
      </c>
      <c r="AV52" s="265">
        <f>$B52*'05 - Relação de funcionários'!AE64</f>
        <v>4756.7</v>
      </c>
      <c r="AW52" s="265">
        <f>$B52*'05 - Relação de funcionários'!AF64</f>
        <v>4756.7</v>
      </c>
      <c r="AX52" s="265">
        <f>$B52*'05 - Relação de funcionários'!AG64</f>
        <v>4756.7</v>
      </c>
      <c r="AY52" s="265">
        <f>$B52*'05 - Relação de funcionários'!AH64</f>
        <v>4756.7</v>
      </c>
      <c r="AZ52" s="265">
        <f>$B52*'05 - Relação de funcionários'!AI64</f>
        <v>4756.7</v>
      </c>
      <c r="BA52" s="265">
        <f>$B52*'05 - Relação de funcionários'!AJ64</f>
        <v>4756.7</v>
      </c>
    </row>
    <row r="53" spans="1:53" s="258" customFormat="1" ht="13.15" customHeight="1" x14ac:dyDescent="0.2">
      <c r="A53" s="260"/>
      <c r="B53" s="502">
        <f>C53*'01 - Dados de Entrada'!$C$86+D53*'01 - Dados de Entrada'!$C$87+E53*'01 - Dados de Entrada'!$C$88+F53*'01 - Dados de Entrada'!$C$89+G53*'01 - Dados de Entrada'!$C$90+H53*'01 - Dados de Entrada'!$C$91+I53*'01 - Dados de Entrada'!$C$92+J53*'01 - Dados de Entrada'!$C$93+K53*'01 - Dados de Entrada'!$C$94+L53*'01 - Dados de Entrada'!$C$95+M53*'01 - Dados de Entrada'!$C$96+'08 - Custos com EPI e uniformes'!N53*'01 - Dados de Entrada'!$C$97+O53*'01 - Dados de Entrada'!$C$98+P53*'01 - Dados de Entrada'!$C$99+Q53*'01 - Dados de Entrada'!$C$100</f>
        <v>0</v>
      </c>
      <c r="C53" s="267"/>
      <c r="D53" s="267"/>
      <c r="E53" s="267"/>
      <c r="F53" s="267"/>
      <c r="G53" s="267"/>
      <c r="H53" s="267"/>
      <c r="I53" s="267"/>
      <c r="J53" s="267"/>
      <c r="K53" s="267"/>
      <c r="R53" s="264">
        <f t="shared" si="1"/>
        <v>0</v>
      </c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265"/>
      <c r="AW53" s="265"/>
      <c r="AX53" s="265"/>
      <c r="AY53" s="265"/>
      <c r="AZ53" s="265"/>
      <c r="BA53" s="265"/>
    </row>
    <row r="54" spans="1:53" s="269" customFormat="1" ht="13.15" customHeight="1" x14ac:dyDescent="0.2">
      <c r="A54" s="257" t="s">
        <v>880</v>
      </c>
      <c r="B54" s="504">
        <f>C54*'01 - Dados de Entrada'!$C$86+D54*'01 - Dados de Entrada'!$C$87+E54*'01 - Dados de Entrada'!$C$88+F54*'01 - Dados de Entrada'!$C$89+G54*'01 - Dados de Entrada'!$C$90+H54*'01 - Dados de Entrada'!$C$91+I54*'01 - Dados de Entrada'!$C$92+J54*'01 - Dados de Entrada'!$C$93+K54*'01 - Dados de Entrada'!$C$94+L54*'01 - Dados de Entrada'!$C$95+M54*'01 - Dados de Entrada'!$C$96+'08 - Custos com EPI e uniformes'!N54*'01 - Dados de Entrada'!$C$97+O54*'01 - Dados de Entrada'!$C$98+P54*'01 - Dados de Entrada'!$C$99+Q54*'01 - Dados de Entrada'!$C$100</f>
        <v>0</v>
      </c>
      <c r="C54" s="268"/>
      <c r="D54" s="268"/>
      <c r="E54" s="268"/>
      <c r="F54" s="268"/>
      <c r="G54" s="268"/>
      <c r="H54" s="268"/>
      <c r="I54" s="268"/>
      <c r="J54" s="268"/>
      <c r="K54" s="268"/>
      <c r="L54" s="268"/>
      <c r="M54" s="268"/>
      <c r="N54" s="268"/>
      <c r="O54" s="330"/>
      <c r="P54" s="330"/>
      <c r="Q54" s="330"/>
      <c r="R54" s="264">
        <f t="shared" si="1"/>
        <v>0</v>
      </c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265"/>
      <c r="AW54" s="265"/>
      <c r="AX54" s="265"/>
      <c r="AY54" s="265"/>
      <c r="AZ54" s="265"/>
      <c r="BA54" s="265"/>
    </row>
    <row r="55" spans="1:53" s="258" customFormat="1" ht="13.15" customHeight="1" x14ac:dyDescent="0.2">
      <c r="A55" s="261" t="s">
        <v>883</v>
      </c>
      <c r="B55" s="504">
        <f>C55*'01 - Dados de Entrada'!$C$86+D55*'01 - Dados de Entrada'!$C$87+E55*'01 - Dados de Entrada'!$C$88+F55*'01 - Dados de Entrada'!$C$89+G55*'01 - Dados de Entrada'!$C$90+H55*'01 - Dados de Entrada'!$C$91+I55*'01 - Dados de Entrada'!$C$92+J55*'01 - Dados de Entrada'!$C$93+K55*'01 - Dados de Entrada'!$C$94+L55*'01 - Dados de Entrada'!$C$95+M55*'01 - Dados de Entrada'!$C$96+'08 - Custos com EPI e uniformes'!N55*'01 - Dados de Entrada'!$C$97+O55*'01 - Dados de Entrada'!$C$98+P55*'01 - Dados de Entrada'!$C$99+Q55*'01 - Dados de Entrada'!$C$100</f>
        <v>2080.9049999999997</v>
      </c>
      <c r="C55" s="46">
        <v>0</v>
      </c>
      <c r="D55" s="46">
        <v>0</v>
      </c>
      <c r="E55" s="46">
        <v>0</v>
      </c>
      <c r="F55" s="46">
        <v>8</v>
      </c>
      <c r="G55" s="46">
        <v>8</v>
      </c>
      <c r="H55" s="46">
        <v>3</v>
      </c>
      <c r="I55" s="46">
        <v>4</v>
      </c>
      <c r="J55" s="46">
        <v>3</v>
      </c>
      <c r="K55" s="46">
        <v>3</v>
      </c>
      <c r="L55" s="264">
        <v>12</v>
      </c>
      <c r="M55" s="264">
        <v>12</v>
      </c>
      <c r="N55" s="264">
        <v>6</v>
      </c>
      <c r="O55" s="264"/>
      <c r="P55" s="264"/>
      <c r="Q55" s="264"/>
      <c r="R55" s="264">
        <f>SUM(S55:BA55)</f>
        <v>291326.6999999999</v>
      </c>
      <c r="S55" s="265">
        <f>$B55*('05 - Relação de funcionários'!B67)</f>
        <v>8323.619999999999</v>
      </c>
      <c r="T55" s="265">
        <f>$B55*('05 - Relação de funcionários'!C67)</f>
        <v>8323.619999999999</v>
      </c>
      <c r="U55" s="265">
        <f>$B55*('05 - Relação de funcionários'!D67)</f>
        <v>8323.619999999999</v>
      </c>
      <c r="V55" s="265">
        <f>$B55*('05 - Relação de funcionários'!E67)</f>
        <v>8323.619999999999</v>
      </c>
      <c r="W55" s="265">
        <f>$B55*('05 - Relação de funcionários'!F67)</f>
        <v>8323.619999999999</v>
      </c>
      <c r="X55" s="265">
        <f>$B55*('05 - Relação de funcionários'!G67)</f>
        <v>8323.619999999999</v>
      </c>
      <c r="Y55" s="265">
        <f>$B55*('05 - Relação de funcionários'!H67)</f>
        <v>8323.619999999999</v>
      </c>
      <c r="Z55" s="265">
        <f>$B55*('05 - Relação de funcionários'!I67)</f>
        <v>8323.619999999999</v>
      </c>
      <c r="AA55" s="265">
        <f>$B55*('05 - Relação de funcionários'!J67)</f>
        <v>8323.619999999999</v>
      </c>
      <c r="AB55" s="265">
        <f>$B55*('05 - Relação de funcionários'!K67)</f>
        <v>8323.619999999999</v>
      </c>
      <c r="AC55" s="265">
        <f>$B55*('05 - Relação de funcionários'!L67)</f>
        <v>8323.619999999999</v>
      </c>
      <c r="AD55" s="265">
        <f>$B55*('05 - Relação de funcionários'!M67)</f>
        <v>8323.619999999999</v>
      </c>
      <c r="AE55" s="265">
        <f>$B55*('05 - Relação de funcionários'!N67)</f>
        <v>8323.619999999999</v>
      </c>
      <c r="AF55" s="265">
        <f>$B55*('05 - Relação de funcionários'!O67)</f>
        <v>8323.619999999999</v>
      </c>
      <c r="AG55" s="265">
        <f>$B55*('05 - Relação de funcionários'!P67)</f>
        <v>8323.619999999999</v>
      </c>
      <c r="AH55" s="265">
        <f>$B55*('05 - Relação de funcionários'!Q67)</f>
        <v>8323.619999999999</v>
      </c>
      <c r="AI55" s="265">
        <f>$B55*('05 - Relação de funcionários'!R67)</f>
        <v>8323.619999999999</v>
      </c>
      <c r="AJ55" s="265">
        <f>$B55*('05 - Relação de funcionários'!S67)</f>
        <v>8323.619999999999</v>
      </c>
      <c r="AK55" s="265">
        <f>$B55*('05 - Relação de funcionários'!T67)</f>
        <v>8323.619999999999</v>
      </c>
      <c r="AL55" s="265">
        <f>$B55*('05 - Relação de funcionários'!U67)</f>
        <v>8323.619999999999</v>
      </c>
      <c r="AM55" s="265">
        <f>$B55*('05 - Relação de funcionários'!V67)</f>
        <v>8323.619999999999</v>
      </c>
      <c r="AN55" s="265">
        <f>$B55*('05 - Relação de funcionários'!W67)</f>
        <v>8323.619999999999</v>
      </c>
      <c r="AO55" s="265">
        <f>$B55*('05 - Relação de funcionários'!X67)</f>
        <v>8323.619999999999</v>
      </c>
      <c r="AP55" s="265">
        <f>$B55*('05 - Relação de funcionários'!Y67)</f>
        <v>8323.619999999999</v>
      </c>
      <c r="AQ55" s="265">
        <f>$B55*('05 - Relação de funcionários'!Z67)</f>
        <v>8323.619999999999</v>
      </c>
      <c r="AR55" s="265">
        <f>$B55*('05 - Relação de funcionários'!AA67)</f>
        <v>8323.619999999999</v>
      </c>
      <c r="AS55" s="265">
        <f>$B55*('05 - Relação de funcionários'!AB67)</f>
        <v>8323.619999999999</v>
      </c>
      <c r="AT55" s="265">
        <f>$B55*('05 - Relação de funcionários'!AC67)</f>
        <v>8323.619999999999</v>
      </c>
      <c r="AU55" s="265">
        <f>$B55*('05 - Relação de funcionários'!AD67)</f>
        <v>8323.619999999999</v>
      </c>
      <c r="AV55" s="265">
        <f>$B55*('05 - Relação de funcionários'!AE67)</f>
        <v>8323.619999999999</v>
      </c>
      <c r="AW55" s="265">
        <f>$B55*('05 - Relação de funcionários'!AF67)</f>
        <v>8323.619999999999</v>
      </c>
      <c r="AX55" s="265">
        <f>$B55*('05 - Relação de funcionários'!AG67)</f>
        <v>8323.619999999999</v>
      </c>
      <c r="AY55" s="265">
        <f>$B55*('05 - Relação de funcionários'!AH67)</f>
        <v>8323.619999999999</v>
      </c>
      <c r="AZ55" s="265">
        <f>$B55*('05 - Relação de funcionários'!AI67)</f>
        <v>8323.619999999999</v>
      </c>
      <c r="BA55" s="265">
        <f>$B55*('05 - Relação de funcionários'!AJ67)</f>
        <v>8323.619999999999</v>
      </c>
    </row>
    <row r="56" spans="1:53" s="258" customFormat="1" ht="13.15" customHeight="1" x14ac:dyDescent="0.2">
      <c r="A56" s="261" t="s">
        <v>906</v>
      </c>
      <c r="B56" s="504">
        <f>C56*'01 - Dados de Entrada'!$C$86+D56*'01 - Dados de Entrada'!$C$87+E56*'01 - Dados de Entrada'!$C$88+F56*'01 - Dados de Entrada'!$C$89+G56*'01 - Dados de Entrada'!$C$90+H56*'01 - Dados de Entrada'!$C$91+I56*'01 - Dados de Entrada'!$C$92+J56*'01 - Dados de Entrada'!$C$93+K56*'01 - Dados de Entrada'!$C$94+L56*'01 - Dados de Entrada'!$C$95+M56*'01 - Dados de Entrada'!$C$96+'08 - Custos com EPI e uniformes'!N56*'01 - Dados de Entrada'!$C$97+O56*'01 - Dados de Entrada'!$C$98+P56*'01 - Dados de Entrada'!$C$99+Q56*'01 - Dados de Entrada'!$C$100</f>
        <v>2565.5199999999995</v>
      </c>
      <c r="C56" s="46">
        <v>0</v>
      </c>
      <c r="D56" s="46">
        <v>0</v>
      </c>
      <c r="E56" s="46">
        <v>0</v>
      </c>
      <c r="F56" s="46">
        <v>8</v>
      </c>
      <c r="G56" s="46">
        <v>8</v>
      </c>
      <c r="H56" s="46">
        <v>3</v>
      </c>
      <c r="I56" s="46">
        <v>4</v>
      </c>
      <c r="J56" s="46">
        <v>3</v>
      </c>
      <c r="K56" s="46">
        <v>4</v>
      </c>
      <c r="L56" s="264">
        <v>24</v>
      </c>
      <c r="M56" s="264">
        <v>12</v>
      </c>
      <c r="N56" s="264">
        <v>6</v>
      </c>
      <c r="O56" s="331">
        <v>3</v>
      </c>
      <c r="P56" s="331">
        <v>3</v>
      </c>
      <c r="Q56" s="264">
        <v>24</v>
      </c>
      <c r="R56" s="264">
        <f t="shared" ref="R56:R69" si="2">SUM(S56:BA56)</f>
        <v>3771314.3999999985</v>
      </c>
      <c r="S56" s="265">
        <f>$B56*('05 - Relação de funcionários'!B68)</f>
        <v>107751.83999999998</v>
      </c>
      <c r="T56" s="265">
        <f>$B56*('05 - Relação de funcionários'!C68)</f>
        <v>107751.83999999998</v>
      </c>
      <c r="U56" s="265">
        <f>$B56*('05 - Relação de funcionários'!D68)</f>
        <v>107751.83999999998</v>
      </c>
      <c r="V56" s="265">
        <f>$B56*('05 - Relação de funcionários'!E68)</f>
        <v>107751.83999999998</v>
      </c>
      <c r="W56" s="265">
        <f>$B56*('05 - Relação de funcionários'!F68)</f>
        <v>107751.83999999998</v>
      </c>
      <c r="X56" s="265">
        <f>$B56*('05 - Relação de funcionários'!G68)</f>
        <v>107751.83999999998</v>
      </c>
      <c r="Y56" s="265">
        <f>$B56*('05 - Relação de funcionários'!H68)</f>
        <v>107751.83999999998</v>
      </c>
      <c r="Z56" s="265">
        <f>$B56*('05 - Relação de funcionários'!I68)</f>
        <v>107751.83999999998</v>
      </c>
      <c r="AA56" s="265">
        <f>$B56*('05 - Relação de funcionários'!J68)</f>
        <v>107751.83999999998</v>
      </c>
      <c r="AB56" s="265">
        <f>$B56*('05 - Relação de funcionários'!K68)</f>
        <v>107751.83999999998</v>
      </c>
      <c r="AC56" s="265">
        <f>$B56*('05 - Relação de funcionários'!L68)</f>
        <v>107751.83999999998</v>
      </c>
      <c r="AD56" s="265">
        <f>$B56*('05 - Relação de funcionários'!M68)</f>
        <v>107751.83999999998</v>
      </c>
      <c r="AE56" s="265">
        <f>$B56*('05 - Relação de funcionários'!N68)</f>
        <v>107751.83999999998</v>
      </c>
      <c r="AF56" s="265">
        <f>$B56*('05 - Relação de funcionários'!O68)</f>
        <v>107751.83999999998</v>
      </c>
      <c r="AG56" s="265">
        <f>$B56*('05 - Relação de funcionários'!P68)</f>
        <v>107751.83999999998</v>
      </c>
      <c r="AH56" s="265">
        <f>$B56*('05 - Relação de funcionários'!Q68)</f>
        <v>107751.83999999998</v>
      </c>
      <c r="AI56" s="265">
        <f>$B56*('05 - Relação de funcionários'!R68)</f>
        <v>107751.83999999998</v>
      </c>
      <c r="AJ56" s="265">
        <f>$B56*('05 - Relação de funcionários'!S68)</f>
        <v>107751.83999999998</v>
      </c>
      <c r="AK56" s="265">
        <f>$B56*('05 - Relação de funcionários'!T68)</f>
        <v>107751.83999999998</v>
      </c>
      <c r="AL56" s="265">
        <f>$B56*('05 - Relação de funcionários'!U68)</f>
        <v>107751.83999999998</v>
      </c>
      <c r="AM56" s="265">
        <f>$B56*('05 - Relação de funcionários'!V68)</f>
        <v>107751.83999999998</v>
      </c>
      <c r="AN56" s="265">
        <f>$B56*('05 - Relação de funcionários'!W68)</f>
        <v>107751.83999999998</v>
      </c>
      <c r="AO56" s="265">
        <f>$B56*('05 - Relação de funcionários'!X68)</f>
        <v>107751.83999999998</v>
      </c>
      <c r="AP56" s="265">
        <f>$B56*('05 - Relação de funcionários'!Y68)</f>
        <v>107751.83999999998</v>
      </c>
      <c r="AQ56" s="265">
        <f>$B56*('05 - Relação de funcionários'!Z68)</f>
        <v>107751.83999999998</v>
      </c>
      <c r="AR56" s="265">
        <f>$B56*('05 - Relação de funcionários'!AA68)</f>
        <v>107751.83999999998</v>
      </c>
      <c r="AS56" s="265">
        <f>$B56*('05 - Relação de funcionários'!AB68)</f>
        <v>107751.83999999998</v>
      </c>
      <c r="AT56" s="265">
        <f>$B56*('05 - Relação de funcionários'!AC68)</f>
        <v>107751.83999999998</v>
      </c>
      <c r="AU56" s="265">
        <f>$B56*('05 - Relação de funcionários'!AD68)</f>
        <v>107751.83999999998</v>
      </c>
      <c r="AV56" s="265">
        <f>$B56*('05 - Relação de funcionários'!AE68)</f>
        <v>107751.83999999998</v>
      </c>
      <c r="AW56" s="265">
        <f>$B56*('05 - Relação de funcionários'!AF68)</f>
        <v>107751.83999999998</v>
      </c>
      <c r="AX56" s="265">
        <f>$B56*('05 - Relação de funcionários'!AG68)</f>
        <v>107751.83999999998</v>
      </c>
      <c r="AY56" s="265">
        <f>$B56*('05 - Relação de funcionários'!AH68)</f>
        <v>107751.83999999998</v>
      </c>
      <c r="AZ56" s="265">
        <f>$B56*('05 - Relação de funcionários'!AI68)</f>
        <v>107751.83999999998</v>
      </c>
      <c r="BA56" s="265">
        <f>$B56*('05 - Relação de funcionários'!AJ68)</f>
        <v>107751.83999999998</v>
      </c>
    </row>
    <row r="57" spans="1:53" s="258" customFormat="1" ht="13.15" customHeight="1" x14ac:dyDescent="0.2">
      <c r="A57" s="261" t="s">
        <v>867</v>
      </c>
      <c r="B57" s="504">
        <f>C57*'01 - Dados de Entrada'!$C$86+D57*'01 - Dados de Entrada'!$C$87+E57*'01 - Dados de Entrada'!$C$88+F57*'01 - Dados de Entrada'!$C$89+G57*'01 - Dados de Entrada'!$C$90+H57*'01 - Dados de Entrada'!$C$91+I57*'01 - Dados de Entrada'!$C$92+J57*'01 - Dados de Entrada'!$C$93+K57*'01 - Dados de Entrada'!$C$94+L57*'01 - Dados de Entrada'!$C$95+M57*'01 - Dados de Entrada'!$C$96+'08 - Custos com EPI e uniformes'!N57*'01 - Dados de Entrada'!$C$97+O57*'01 - Dados de Entrada'!$C$98+P57*'01 - Dados de Entrada'!$C$99+Q57*'01 - Dados de Entrada'!$C$100</f>
        <v>2172.0099999999998</v>
      </c>
      <c r="C57" s="46">
        <v>0</v>
      </c>
      <c r="D57" s="46">
        <v>0</v>
      </c>
      <c r="E57" s="46">
        <v>0</v>
      </c>
      <c r="F57" s="46">
        <v>8</v>
      </c>
      <c r="G57" s="46">
        <v>8</v>
      </c>
      <c r="H57" s="46">
        <v>3</v>
      </c>
      <c r="I57" s="46">
        <v>4</v>
      </c>
      <c r="J57" s="46">
        <v>3</v>
      </c>
      <c r="K57" s="46">
        <v>4</v>
      </c>
      <c r="L57" s="264">
        <v>12</v>
      </c>
      <c r="M57" s="264">
        <v>12</v>
      </c>
      <c r="N57" s="264">
        <v>6</v>
      </c>
      <c r="O57" s="264"/>
      <c r="P57" s="264"/>
      <c r="Q57" s="264"/>
      <c r="R57" s="264">
        <f t="shared" si="2"/>
        <v>76020.349999999991</v>
      </c>
      <c r="S57" s="265">
        <f>$B57*('05 - Relação de funcionários'!B69)</f>
        <v>2172.0099999999998</v>
      </c>
      <c r="T57" s="265">
        <f>$B57*('05 - Relação de funcionários'!C69)</f>
        <v>2172.0099999999998</v>
      </c>
      <c r="U57" s="265">
        <f>$B57*('05 - Relação de funcionários'!D69)</f>
        <v>2172.0099999999998</v>
      </c>
      <c r="V57" s="265">
        <f>$B57*('05 - Relação de funcionários'!E69)</f>
        <v>2172.0099999999998</v>
      </c>
      <c r="W57" s="265">
        <f>$B57*('05 - Relação de funcionários'!F69)</f>
        <v>2172.0099999999998</v>
      </c>
      <c r="X57" s="265">
        <f>$B57*('05 - Relação de funcionários'!G69)</f>
        <v>2172.0099999999998</v>
      </c>
      <c r="Y57" s="265">
        <f>$B57*('05 - Relação de funcionários'!H69)</f>
        <v>2172.0099999999998</v>
      </c>
      <c r="Z57" s="265">
        <f>$B57*('05 - Relação de funcionários'!I69)</f>
        <v>2172.0099999999998</v>
      </c>
      <c r="AA57" s="265">
        <f>$B57*('05 - Relação de funcionários'!J69)</f>
        <v>2172.0099999999998</v>
      </c>
      <c r="AB57" s="265">
        <f>$B57*('05 - Relação de funcionários'!K69)</f>
        <v>2172.0099999999998</v>
      </c>
      <c r="AC57" s="265">
        <f>$B57*('05 - Relação de funcionários'!L69)</f>
        <v>2172.0099999999998</v>
      </c>
      <c r="AD57" s="265">
        <f>$B57*('05 - Relação de funcionários'!M69)</f>
        <v>2172.0099999999998</v>
      </c>
      <c r="AE57" s="265">
        <f>$B57*('05 - Relação de funcionários'!N69)</f>
        <v>2172.0099999999998</v>
      </c>
      <c r="AF57" s="265">
        <f>$B57*('05 - Relação de funcionários'!O69)</f>
        <v>2172.0099999999998</v>
      </c>
      <c r="AG57" s="265">
        <f>$B57*('05 - Relação de funcionários'!P69)</f>
        <v>2172.0099999999998</v>
      </c>
      <c r="AH57" s="265">
        <f>$B57*('05 - Relação de funcionários'!Q69)</f>
        <v>2172.0099999999998</v>
      </c>
      <c r="AI57" s="265">
        <f>$B57*('05 - Relação de funcionários'!R69)</f>
        <v>2172.0099999999998</v>
      </c>
      <c r="AJ57" s="265">
        <f>$B57*('05 - Relação de funcionários'!S69)</f>
        <v>2172.0099999999998</v>
      </c>
      <c r="AK57" s="265">
        <f>$B57*('05 - Relação de funcionários'!T69)</f>
        <v>2172.0099999999998</v>
      </c>
      <c r="AL57" s="265">
        <f>$B57*('05 - Relação de funcionários'!U69)</f>
        <v>2172.0099999999998</v>
      </c>
      <c r="AM57" s="265">
        <f>$B57*('05 - Relação de funcionários'!V69)</f>
        <v>2172.0099999999998</v>
      </c>
      <c r="AN57" s="265">
        <f>$B57*('05 - Relação de funcionários'!W69)</f>
        <v>2172.0099999999998</v>
      </c>
      <c r="AO57" s="265">
        <f>$B57*('05 - Relação de funcionários'!X69)</f>
        <v>2172.0099999999998</v>
      </c>
      <c r="AP57" s="265">
        <f>$B57*('05 - Relação de funcionários'!Y69)</f>
        <v>2172.0099999999998</v>
      </c>
      <c r="AQ57" s="265">
        <f>$B57*('05 - Relação de funcionários'!Z69)</f>
        <v>2172.0099999999998</v>
      </c>
      <c r="AR57" s="265">
        <f>$B57*('05 - Relação de funcionários'!AA69)</f>
        <v>2172.0099999999998</v>
      </c>
      <c r="AS57" s="265">
        <f>$B57*('05 - Relação de funcionários'!AB69)</f>
        <v>2172.0099999999998</v>
      </c>
      <c r="AT57" s="265">
        <f>$B57*('05 - Relação de funcionários'!AC69)</f>
        <v>2172.0099999999998</v>
      </c>
      <c r="AU57" s="265">
        <f>$B57*('05 - Relação de funcionários'!AD69)</f>
        <v>2172.0099999999998</v>
      </c>
      <c r="AV57" s="265">
        <f>$B57*('05 - Relação de funcionários'!AE69)</f>
        <v>2172.0099999999998</v>
      </c>
      <c r="AW57" s="265">
        <f>$B57*('05 - Relação de funcionários'!AF69)</f>
        <v>2172.0099999999998</v>
      </c>
      <c r="AX57" s="265">
        <f>$B57*('05 - Relação de funcionários'!AG69)</f>
        <v>2172.0099999999998</v>
      </c>
      <c r="AY57" s="265">
        <f>$B57*('05 - Relação de funcionários'!AH69)</f>
        <v>2172.0099999999998</v>
      </c>
      <c r="AZ57" s="265">
        <f>$B57*('05 - Relação de funcionários'!AI69)</f>
        <v>2172.0099999999998</v>
      </c>
      <c r="BA57" s="265">
        <f>$B57*('05 - Relação de funcionários'!AJ69)</f>
        <v>2172.0099999999998</v>
      </c>
    </row>
    <row r="58" spans="1:53" s="258" customFormat="1" ht="13.15" customHeight="1" x14ac:dyDescent="0.2">
      <c r="A58" s="257" t="s">
        <v>839</v>
      </c>
      <c r="B58" s="504">
        <f>C58*'01 - Dados de Entrada'!$C$86+D58*'01 - Dados de Entrada'!$C$87+E58*'01 - Dados de Entrada'!$C$88+F58*'01 - Dados de Entrada'!$C$89+G58*'01 - Dados de Entrada'!$C$90+H58*'01 - Dados de Entrada'!$C$91+I58*'01 - Dados de Entrada'!$C$92+J58*'01 - Dados de Entrada'!$C$93+K58*'01 - Dados de Entrada'!$C$94+L58*'01 - Dados de Entrada'!$C$95+M58*'01 - Dados de Entrada'!$C$96+'08 - Custos com EPI e uniformes'!N58*'01 - Dados de Entrada'!$C$97+O58*'01 - Dados de Entrada'!$C$98+P58*'01 - Dados de Entrada'!$C$99+Q58*'01 - Dados de Entrada'!$C$100</f>
        <v>0</v>
      </c>
      <c r="C58" s="267"/>
      <c r="D58" s="267"/>
      <c r="E58" s="267"/>
      <c r="F58" s="267"/>
      <c r="G58" s="267"/>
      <c r="H58" s="267"/>
      <c r="I58" s="267"/>
      <c r="J58" s="267"/>
      <c r="K58" s="267"/>
      <c r="R58" s="264">
        <f t="shared" si="2"/>
        <v>0</v>
      </c>
    </row>
    <row r="59" spans="1:53" s="258" customFormat="1" ht="13.15" customHeight="1" x14ac:dyDescent="0.2">
      <c r="A59" s="261" t="s">
        <v>883</v>
      </c>
      <c r="B59" s="504">
        <f>C59*'01 - Dados de Entrada'!$C$86+D59*'01 - Dados de Entrada'!$C$87+E59*'01 - Dados de Entrada'!$C$88+F59*'01 - Dados de Entrada'!$C$89+G59*'01 - Dados de Entrada'!$C$90+H59*'01 - Dados de Entrada'!$C$91+I59*'01 - Dados de Entrada'!$C$92+J59*'01 - Dados de Entrada'!$C$93+K59*'01 - Dados de Entrada'!$C$94+L59*'01 - Dados de Entrada'!$C$95+M59*'01 - Dados de Entrada'!$C$96+'08 - Custos com EPI e uniformes'!N59*'01 - Dados de Entrada'!$C$97+O59*'01 - Dados de Entrada'!$C$98+P59*'01 - Dados de Entrada'!$C$99+Q59*'01 - Dados de Entrada'!$C$100</f>
        <v>2172.0099999999998</v>
      </c>
      <c r="C59" s="46">
        <v>0</v>
      </c>
      <c r="D59" s="46">
        <v>0</v>
      </c>
      <c r="E59" s="46">
        <v>0</v>
      </c>
      <c r="F59" s="46">
        <v>8</v>
      </c>
      <c r="G59" s="46">
        <v>8</v>
      </c>
      <c r="H59" s="46">
        <v>3</v>
      </c>
      <c r="I59" s="46">
        <v>4</v>
      </c>
      <c r="J59" s="46">
        <v>3</v>
      </c>
      <c r="K59" s="46">
        <v>4</v>
      </c>
      <c r="L59" s="264">
        <v>12</v>
      </c>
      <c r="M59" s="264">
        <v>12</v>
      </c>
      <c r="N59" s="264">
        <v>6</v>
      </c>
      <c r="O59" s="264"/>
      <c r="P59" s="264"/>
      <c r="Q59" s="264"/>
      <c r="R59" s="264">
        <f t="shared" si="2"/>
        <v>228061.04999999996</v>
      </c>
      <c r="S59" s="265">
        <f>$B59*'05 - Relação de funcionários'!B72</f>
        <v>6516.0299999999988</v>
      </c>
      <c r="T59" s="265">
        <f>$B59*'05 - Relação de funcionários'!C72</f>
        <v>6516.0299999999988</v>
      </c>
      <c r="U59" s="265">
        <f>$B59*'05 - Relação de funcionários'!D72</f>
        <v>6516.0299999999988</v>
      </c>
      <c r="V59" s="265">
        <f>$B59*'05 - Relação de funcionários'!E72</f>
        <v>6516.0299999999988</v>
      </c>
      <c r="W59" s="265">
        <f>$B59*'05 - Relação de funcionários'!F72</f>
        <v>6516.0299999999988</v>
      </c>
      <c r="X59" s="265">
        <f>$B59*'05 - Relação de funcionários'!G72</f>
        <v>6516.0299999999988</v>
      </c>
      <c r="Y59" s="265">
        <f>$B59*'05 - Relação de funcionários'!H72</f>
        <v>6516.0299999999988</v>
      </c>
      <c r="Z59" s="265">
        <f>$B59*'05 - Relação de funcionários'!I72</f>
        <v>6516.0299999999988</v>
      </c>
      <c r="AA59" s="265">
        <f>$B59*'05 - Relação de funcionários'!J72</f>
        <v>6516.0299999999988</v>
      </c>
      <c r="AB59" s="265">
        <f>$B59*'05 - Relação de funcionários'!K72</f>
        <v>6516.0299999999988</v>
      </c>
      <c r="AC59" s="265">
        <f>$B59*'05 - Relação de funcionários'!L72</f>
        <v>6516.0299999999988</v>
      </c>
      <c r="AD59" s="265">
        <f>$B59*'05 - Relação de funcionários'!M72</f>
        <v>6516.0299999999988</v>
      </c>
      <c r="AE59" s="265">
        <f>$B59*'05 - Relação de funcionários'!N72</f>
        <v>6516.0299999999988</v>
      </c>
      <c r="AF59" s="265">
        <f>$B59*'05 - Relação de funcionários'!O72</f>
        <v>6516.0299999999988</v>
      </c>
      <c r="AG59" s="265">
        <f>$B59*'05 - Relação de funcionários'!P72</f>
        <v>6516.0299999999988</v>
      </c>
      <c r="AH59" s="265">
        <f>$B59*'05 - Relação de funcionários'!Q72</f>
        <v>6516.0299999999988</v>
      </c>
      <c r="AI59" s="265">
        <f>$B59*'05 - Relação de funcionários'!R72</f>
        <v>6516.0299999999988</v>
      </c>
      <c r="AJ59" s="265">
        <f>$B59*'05 - Relação de funcionários'!S72</f>
        <v>6516.0299999999988</v>
      </c>
      <c r="AK59" s="265">
        <f>$B59*'05 - Relação de funcionários'!T72</f>
        <v>6516.0299999999988</v>
      </c>
      <c r="AL59" s="265">
        <f>$B59*'05 - Relação de funcionários'!U72</f>
        <v>6516.0299999999988</v>
      </c>
      <c r="AM59" s="265">
        <f>$B59*'05 - Relação de funcionários'!V72</f>
        <v>6516.0299999999988</v>
      </c>
      <c r="AN59" s="265">
        <f>$B59*'05 - Relação de funcionários'!W72</f>
        <v>6516.0299999999988</v>
      </c>
      <c r="AO59" s="265">
        <f>$B59*'05 - Relação de funcionários'!X72</f>
        <v>6516.0299999999988</v>
      </c>
      <c r="AP59" s="265">
        <f>$B59*'05 - Relação de funcionários'!Y72</f>
        <v>6516.0299999999988</v>
      </c>
      <c r="AQ59" s="265">
        <f>$B59*'05 - Relação de funcionários'!Z72</f>
        <v>6516.0299999999988</v>
      </c>
      <c r="AR59" s="265">
        <f>$B59*'05 - Relação de funcionários'!AA72</f>
        <v>6516.0299999999988</v>
      </c>
      <c r="AS59" s="265">
        <f>$B59*'05 - Relação de funcionários'!AB72</f>
        <v>6516.0299999999988</v>
      </c>
      <c r="AT59" s="265">
        <f>$B59*'05 - Relação de funcionários'!AC72</f>
        <v>6516.0299999999988</v>
      </c>
      <c r="AU59" s="265">
        <f>$B59*'05 - Relação de funcionários'!AD72</f>
        <v>6516.0299999999988</v>
      </c>
      <c r="AV59" s="265">
        <f>$B59*'05 - Relação de funcionários'!AE72</f>
        <v>6516.0299999999988</v>
      </c>
      <c r="AW59" s="265">
        <f>$B59*'05 - Relação de funcionários'!AF72</f>
        <v>6516.0299999999988</v>
      </c>
      <c r="AX59" s="265">
        <f>$B59*'05 - Relação de funcionários'!AG72</f>
        <v>6516.0299999999988</v>
      </c>
      <c r="AY59" s="265">
        <f>$B59*'05 - Relação de funcionários'!AH72</f>
        <v>6516.0299999999988</v>
      </c>
      <c r="AZ59" s="265">
        <f>$B59*'05 - Relação de funcionários'!AI72</f>
        <v>6516.0299999999988</v>
      </c>
      <c r="BA59" s="265">
        <f>$B59*'05 - Relação de funcionários'!AJ72</f>
        <v>6516.0299999999988</v>
      </c>
    </row>
    <row r="60" spans="1:53" s="258" customFormat="1" ht="13.15" customHeight="1" x14ac:dyDescent="0.2">
      <c r="A60" s="261" t="s">
        <v>906</v>
      </c>
      <c r="B60" s="504">
        <f>C60*'01 - Dados de Entrada'!$C$86+D60*'01 - Dados de Entrada'!$C$87+E60*'01 - Dados de Entrada'!$C$88+F60*'01 - Dados de Entrada'!$C$89+G60*'01 - Dados de Entrada'!$C$90+H60*'01 - Dados de Entrada'!$C$91+I60*'01 - Dados de Entrada'!$C$92+J60*'01 - Dados de Entrada'!$C$93+K60*'01 - Dados de Entrada'!$C$94+L60*'01 - Dados de Entrada'!$C$95+M60*'01 - Dados de Entrada'!$C$96+'08 - Custos com EPI e uniformes'!N60*'01 - Dados de Entrada'!$C$97+O60*'01 - Dados de Entrada'!$C$98+P60*'01 - Dados de Entrada'!$C$99+Q60*'01 - Dados de Entrada'!$C$100</f>
        <v>2565.5199999999995</v>
      </c>
      <c r="C60" s="46">
        <v>0</v>
      </c>
      <c r="D60" s="46">
        <v>0</v>
      </c>
      <c r="E60" s="46">
        <v>0</v>
      </c>
      <c r="F60" s="46">
        <v>8</v>
      </c>
      <c r="G60" s="46">
        <v>8</v>
      </c>
      <c r="H60" s="46">
        <v>3</v>
      </c>
      <c r="I60" s="46">
        <v>4</v>
      </c>
      <c r="J60" s="46">
        <v>3</v>
      </c>
      <c r="K60" s="46">
        <v>4</v>
      </c>
      <c r="L60" s="264">
        <v>24</v>
      </c>
      <c r="M60" s="264">
        <v>12</v>
      </c>
      <c r="N60" s="264">
        <v>6</v>
      </c>
      <c r="O60" s="331">
        <v>3</v>
      </c>
      <c r="P60" s="331">
        <v>3</v>
      </c>
      <c r="Q60" s="264">
        <v>24</v>
      </c>
      <c r="R60" s="264">
        <f t="shared" si="2"/>
        <v>1885657.1999999993</v>
      </c>
      <c r="S60" s="265">
        <f>$B60*'05 - Relação de funcionários'!B73</f>
        <v>53875.919999999991</v>
      </c>
      <c r="T60" s="265">
        <f>$B60*'05 - Relação de funcionários'!C73</f>
        <v>53875.919999999991</v>
      </c>
      <c r="U60" s="265">
        <f>$B60*'05 - Relação de funcionários'!D73</f>
        <v>53875.919999999991</v>
      </c>
      <c r="V60" s="265">
        <f>$B60*'05 - Relação de funcionários'!E73</f>
        <v>53875.919999999991</v>
      </c>
      <c r="W60" s="265">
        <f>$B60*'05 - Relação de funcionários'!F73</f>
        <v>53875.919999999991</v>
      </c>
      <c r="X60" s="265">
        <f>$B60*'05 - Relação de funcionários'!G73</f>
        <v>53875.919999999991</v>
      </c>
      <c r="Y60" s="265">
        <f>$B60*'05 - Relação de funcionários'!H73</f>
        <v>53875.919999999991</v>
      </c>
      <c r="Z60" s="265">
        <f>$B60*'05 - Relação de funcionários'!I73</f>
        <v>53875.919999999991</v>
      </c>
      <c r="AA60" s="265">
        <f>$B60*'05 - Relação de funcionários'!J73</f>
        <v>53875.919999999991</v>
      </c>
      <c r="AB60" s="265">
        <f>$B60*'05 - Relação de funcionários'!K73</f>
        <v>53875.919999999991</v>
      </c>
      <c r="AC60" s="265">
        <f>$B60*'05 - Relação de funcionários'!L73</f>
        <v>53875.919999999991</v>
      </c>
      <c r="AD60" s="265">
        <f>$B60*'05 - Relação de funcionários'!M73</f>
        <v>53875.919999999991</v>
      </c>
      <c r="AE60" s="265">
        <f>$B60*'05 - Relação de funcionários'!N73</f>
        <v>53875.919999999991</v>
      </c>
      <c r="AF60" s="265">
        <f>$B60*'05 - Relação de funcionários'!O73</f>
        <v>53875.919999999991</v>
      </c>
      <c r="AG60" s="265">
        <f>$B60*'05 - Relação de funcionários'!P73</f>
        <v>53875.919999999991</v>
      </c>
      <c r="AH60" s="265">
        <f>$B60*'05 - Relação de funcionários'!Q73</f>
        <v>53875.919999999991</v>
      </c>
      <c r="AI60" s="265">
        <f>$B60*'05 - Relação de funcionários'!R73</f>
        <v>53875.919999999991</v>
      </c>
      <c r="AJ60" s="265">
        <f>$B60*'05 - Relação de funcionários'!S73</f>
        <v>53875.919999999991</v>
      </c>
      <c r="AK60" s="265">
        <f>$B60*'05 - Relação de funcionários'!T73</f>
        <v>53875.919999999991</v>
      </c>
      <c r="AL60" s="265">
        <f>$B60*'05 - Relação de funcionários'!U73</f>
        <v>53875.919999999991</v>
      </c>
      <c r="AM60" s="265">
        <f>$B60*'05 - Relação de funcionários'!V73</f>
        <v>53875.919999999991</v>
      </c>
      <c r="AN60" s="265">
        <f>$B60*'05 - Relação de funcionários'!W73</f>
        <v>53875.919999999991</v>
      </c>
      <c r="AO60" s="265">
        <f>$B60*'05 - Relação de funcionários'!X73</f>
        <v>53875.919999999991</v>
      </c>
      <c r="AP60" s="265">
        <f>$B60*'05 - Relação de funcionários'!Y73</f>
        <v>53875.919999999991</v>
      </c>
      <c r="AQ60" s="265">
        <f>$B60*'05 - Relação de funcionários'!Z73</f>
        <v>53875.919999999991</v>
      </c>
      <c r="AR60" s="265">
        <f>$B60*'05 - Relação de funcionários'!AA73</f>
        <v>53875.919999999991</v>
      </c>
      <c r="AS60" s="265">
        <f>$B60*'05 - Relação de funcionários'!AB73</f>
        <v>53875.919999999991</v>
      </c>
      <c r="AT60" s="265">
        <f>$B60*'05 - Relação de funcionários'!AC73</f>
        <v>53875.919999999991</v>
      </c>
      <c r="AU60" s="265">
        <f>$B60*'05 - Relação de funcionários'!AD73</f>
        <v>53875.919999999991</v>
      </c>
      <c r="AV60" s="265">
        <f>$B60*'05 - Relação de funcionários'!AE73</f>
        <v>53875.919999999991</v>
      </c>
      <c r="AW60" s="265">
        <f>$B60*'05 - Relação de funcionários'!AF73</f>
        <v>53875.919999999991</v>
      </c>
      <c r="AX60" s="265">
        <f>$B60*'05 - Relação de funcionários'!AG73</f>
        <v>53875.919999999991</v>
      </c>
      <c r="AY60" s="265">
        <f>$B60*'05 - Relação de funcionários'!AH73</f>
        <v>53875.919999999991</v>
      </c>
      <c r="AZ60" s="265">
        <f>$B60*'05 - Relação de funcionários'!AI73</f>
        <v>53875.919999999991</v>
      </c>
      <c r="BA60" s="265">
        <f>$B60*'05 - Relação de funcionários'!AJ73</f>
        <v>53875.919999999991</v>
      </c>
    </row>
    <row r="61" spans="1:53" s="258" customFormat="1" ht="13.15" customHeight="1" x14ac:dyDescent="0.2">
      <c r="A61" s="261" t="s">
        <v>867</v>
      </c>
      <c r="B61" s="504">
        <f>C61*'01 - Dados de Entrada'!$C$86+D61*'01 - Dados de Entrada'!$C$87+E61*'01 - Dados de Entrada'!$C$88+F61*'01 - Dados de Entrada'!$C$89+G61*'01 - Dados de Entrada'!$C$90+H61*'01 - Dados de Entrada'!$C$91+I61*'01 - Dados de Entrada'!$C$92+J61*'01 - Dados de Entrada'!$C$93+K61*'01 - Dados de Entrada'!$C$94+L61*'01 - Dados de Entrada'!$C$95+M61*'01 - Dados de Entrada'!$C$96+'08 - Custos com EPI e uniformes'!N61*'01 - Dados de Entrada'!$C$97+O61*'01 - Dados de Entrada'!$C$98+P61*'01 - Dados de Entrada'!$C$99+Q61*'01 - Dados de Entrada'!$C$100</f>
        <v>2172.0099999999998</v>
      </c>
      <c r="C61" s="46">
        <v>0</v>
      </c>
      <c r="D61" s="46">
        <v>0</v>
      </c>
      <c r="E61" s="46">
        <v>0</v>
      </c>
      <c r="F61" s="46">
        <v>8</v>
      </c>
      <c r="G61" s="46">
        <v>8</v>
      </c>
      <c r="H61" s="46">
        <v>3</v>
      </c>
      <c r="I61" s="46">
        <v>4</v>
      </c>
      <c r="J61" s="46">
        <v>3</v>
      </c>
      <c r="K61" s="46">
        <v>4</v>
      </c>
      <c r="L61" s="264">
        <v>12</v>
      </c>
      <c r="M61" s="264">
        <v>12</v>
      </c>
      <c r="N61" s="264">
        <v>6</v>
      </c>
      <c r="O61" s="264"/>
      <c r="P61" s="264"/>
      <c r="Q61" s="264"/>
      <c r="R61" s="264">
        <f t="shared" si="2"/>
        <v>76020.349999999991</v>
      </c>
      <c r="S61" s="265">
        <f>$B61*'05 - Relação de funcionários'!B74</f>
        <v>2172.0099999999998</v>
      </c>
      <c r="T61" s="265">
        <f>$B61*'05 - Relação de funcionários'!C74</f>
        <v>2172.0099999999998</v>
      </c>
      <c r="U61" s="265">
        <f>$B61*'05 - Relação de funcionários'!D74</f>
        <v>2172.0099999999998</v>
      </c>
      <c r="V61" s="265">
        <f>$B61*'05 - Relação de funcionários'!E74</f>
        <v>2172.0099999999998</v>
      </c>
      <c r="W61" s="265">
        <f>$B61*'05 - Relação de funcionários'!F74</f>
        <v>2172.0099999999998</v>
      </c>
      <c r="X61" s="265">
        <f>$B61*'05 - Relação de funcionários'!G74</f>
        <v>2172.0099999999998</v>
      </c>
      <c r="Y61" s="265">
        <f>$B61*'05 - Relação de funcionários'!H74</f>
        <v>2172.0099999999998</v>
      </c>
      <c r="Z61" s="265">
        <f>$B61*'05 - Relação de funcionários'!I74</f>
        <v>2172.0099999999998</v>
      </c>
      <c r="AA61" s="265">
        <f>$B61*'05 - Relação de funcionários'!J74</f>
        <v>2172.0099999999998</v>
      </c>
      <c r="AB61" s="265">
        <f>$B61*'05 - Relação de funcionários'!K74</f>
        <v>2172.0099999999998</v>
      </c>
      <c r="AC61" s="265">
        <f>$B61*'05 - Relação de funcionários'!L74</f>
        <v>2172.0099999999998</v>
      </c>
      <c r="AD61" s="265">
        <f>$B61*'05 - Relação de funcionários'!M74</f>
        <v>2172.0099999999998</v>
      </c>
      <c r="AE61" s="265">
        <f>$B61*'05 - Relação de funcionários'!N74</f>
        <v>2172.0099999999998</v>
      </c>
      <c r="AF61" s="265">
        <f>$B61*'05 - Relação de funcionários'!O74</f>
        <v>2172.0099999999998</v>
      </c>
      <c r="AG61" s="265">
        <f>$B61*'05 - Relação de funcionários'!P74</f>
        <v>2172.0099999999998</v>
      </c>
      <c r="AH61" s="265">
        <f>$B61*'05 - Relação de funcionários'!Q74</f>
        <v>2172.0099999999998</v>
      </c>
      <c r="AI61" s="265">
        <f>$B61*'05 - Relação de funcionários'!R74</f>
        <v>2172.0099999999998</v>
      </c>
      <c r="AJ61" s="265">
        <f>$B61*'05 - Relação de funcionários'!S74</f>
        <v>2172.0099999999998</v>
      </c>
      <c r="AK61" s="265">
        <f>$B61*'05 - Relação de funcionários'!T74</f>
        <v>2172.0099999999998</v>
      </c>
      <c r="AL61" s="265">
        <f>$B61*'05 - Relação de funcionários'!U74</f>
        <v>2172.0099999999998</v>
      </c>
      <c r="AM61" s="265">
        <f>$B61*'05 - Relação de funcionários'!V74</f>
        <v>2172.0099999999998</v>
      </c>
      <c r="AN61" s="265">
        <f>$B61*'05 - Relação de funcionários'!W74</f>
        <v>2172.0099999999998</v>
      </c>
      <c r="AO61" s="265">
        <f>$B61*'05 - Relação de funcionários'!X74</f>
        <v>2172.0099999999998</v>
      </c>
      <c r="AP61" s="265">
        <f>$B61*'05 - Relação de funcionários'!Y74</f>
        <v>2172.0099999999998</v>
      </c>
      <c r="AQ61" s="265">
        <f>$B61*'05 - Relação de funcionários'!Z74</f>
        <v>2172.0099999999998</v>
      </c>
      <c r="AR61" s="265">
        <f>$B61*'05 - Relação de funcionários'!AA74</f>
        <v>2172.0099999999998</v>
      </c>
      <c r="AS61" s="265">
        <f>$B61*'05 - Relação de funcionários'!AB74</f>
        <v>2172.0099999999998</v>
      </c>
      <c r="AT61" s="265">
        <f>$B61*'05 - Relação de funcionários'!AC74</f>
        <v>2172.0099999999998</v>
      </c>
      <c r="AU61" s="265">
        <f>$B61*'05 - Relação de funcionários'!AD74</f>
        <v>2172.0099999999998</v>
      </c>
      <c r="AV61" s="265">
        <f>$B61*'05 - Relação de funcionários'!AE74</f>
        <v>2172.0099999999998</v>
      </c>
      <c r="AW61" s="265">
        <f>$B61*'05 - Relação de funcionários'!AF74</f>
        <v>2172.0099999999998</v>
      </c>
      <c r="AX61" s="265">
        <f>$B61*'05 - Relação de funcionários'!AG74</f>
        <v>2172.0099999999998</v>
      </c>
      <c r="AY61" s="265">
        <f>$B61*'05 - Relação de funcionários'!AH74</f>
        <v>2172.0099999999998</v>
      </c>
      <c r="AZ61" s="265">
        <f>$B61*'05 - Relação de funcionários'!AI74</f>
        <v>2172.0099999999998</v>
      </c>
      <c r="BA61" s="265">
        <f>$B61*'05 - Relação de funcionários'!AJ74</f>
        <v>2172.0099999999998</v>
      </c>
    </row>
    <row r="62" spans="1:53" s="258" customFormat="1" ht="13.15" customHeight="1" x14ac:dyDescent="0.2">
      <c r="A62" s="257" t="s">
        <v>884</v>
      </c>
      <c r="B62" s="504">
        <f>C62*'01 - Dados de Entrada'!$C$86+D62*'01 - Dados de Entrada'!$C$87+E62*'01 - Dados de Entrada'!$C$88+F62*'01 - Dados de Entrada'!$C$89+G62*'01 - Dados de Entrada'!$C$90+H62*'01 - Dados de Entrada'!$C$91+I62*'01 - Dados de Entrada'!$C$92+J62*'01 - Dados de Entrada'!$C$93+K62*'01 - Dados de Entrada'!$C$94+L62*'01 - Dados de Entrada'!$C$95+M62*'01 - Dados de Entrada'!$C$96+'08 - Custos com EPI e uniformes'!N62*'01 - Dados de Entrada'!$C$97+O62*'01 - Dados de Entrada'!$C$98+P62*'01 - Dados de Entrada'!$C$99+Q62*'01 - Dados de Entrada'!$C$100</f>
        <v>0</v>
      </c>
      <c r="C62" s="267"/>
      <c r="D62" s="267"/>
      <c r="E62" s="267"/>
      <c r="F62" s="267"/>
      <c r="G62" s="267"/>
      <c r="H62" s="267"/>
      <c r="I62" s="267"/>
      <c r="J62" s="267"/>
      <c r="K62" s="267"/>
      <c r="R62" s="264">
        <f t="shared" si="2"/>
        <v>0</v>
      </c>
      <c r="S62" s="265">
        <f>$B62*'05 - Relação de funcionários'!B75</f>
        <v>0</v>
      </c>
    </row>
    <row r="63" spans="1:53" s="258" customFormat="1" ht="13.15" customHeight="1" x14ac:dyDescent="0.2">
      <c r="A63" s="261" t="s">
        <v>883</v>
      </c>
      <c r="B63" s="504">
        <f>C63*'01 - Dados de Entrada'!$C$86+D63*'01 - Dados de Entrada'!$C$87+E63*'01 - Dados de Entrada'!$C$88+F63*'01 - Dados de Entrada'!$C$89+G63*'01 - Dados de Entrada'!$C$90+H63*'01 - Dados de Entrada'!$C$91+I63*'01 - Dados de Entrada'!$C$92+J63*'01 - Dados de Entrada'!$C$93+K63*'01 - Dados de Entrada'!$C$94+L63*'01 - Dados de Entrada'!$C$95+M63*'01 - Dados de Entrada'!$C$96+'08 - Custos com EPI e uniformes'!N63*'01 - Dados de Entrada'!$C$97+O63*'01 - Dados de Entrada'!$C$98+P63*'01 - Dados de Entrada'!$C$99+Q63*'01 - Dados de Entrada'!$C$100</f>
        <v>2172.0099999999998</v>
      </c>
      <c r="C63" s="46">
        <v>0</v>
      </c>
      <c r="D63" s="46">
        <v>0</v>
      </c>
      <c r="E63" s="46">
        <v>0</v>
      </c>
      <c r="F63" s="46">
        <v>8</v>
      </c>
      <c r="G63" s="46">
        <v>8</v>
      </c>
      <c r="H63" s="46">
        <v>3</v>
      </c>
      <c r="I63" s="46">
        <v>4</v>
      </c>
      <c r="J63" s="46">
        <v>3</v>
      </c>
      <c r="K63" s="46">
        <v>4</v>
      </c>
      <c r="L63" s="264">
        <v>12</v>
      </c>
      <c r="M63" s="264">
        <v>12</v>
      </c>
      <c r="N63" s="264">
        <v>6</v>
      </c>
      <c r="O63" s="264"/>
      <c r="P63" s="264"/>
      <c r="Q63" s="264"/>
      <c r="R63" s="264">
        <f t="shared" si="2"/>
        <v>76020.349999999991</v>
      </c>
      <c r="S63" s="265">
        <f>$B$63*'05 - Relação de funcionários'!B77</f>
        <v>2172.0099999999998</v>
      </c>
      <c r="T63" s="265">
        <f>$B$63*'05 - Relação de funcionários'!C77</f>
        <v>2172.0099999999998</v>
      </c>
      <c r="U63" s="265">
        <f>$B$63*'05 - Relação de funcionários'!D77</f>
        <v>2172.0099999999998</v>
      </c>
      <c r="V63" s="265">
        <f>$B$63*'05 - Relação de funcionários'!E77</f>
        <v>2172.0099999999998</v>
      </c>
      <c r="W63" s="265">
        <f>$B$63*'05 - Relação de funcionários'!F77</f>
        <v>2172.0099999999998</v>
      </c>
      <c r="X63" s="265">
        <f>$B$63*'05 - Relação de funcionários'!G77</f>
        <v>2172.0099999999998</v>
      </c>
      <c r="Y63" s="265">
        <f>$B$63*'05 - Relação de funcionários'!H77</f>
        <v>2172.0099999999998</v>
      </c>
      <c r="Z63" s="265">
        <f>$B$63*'05 - Relação de funcionários'!I77</f>
        <v>2172.0099999999998</v>
      </c>
      <c r="AA63" s="265">
        <f>$B$63*'05 - Relação de funcionários'!J77</f>
        <v>2172.0099999999998</v>
      </c>
      <c r="AB63" s="265">
        <f>$B$63*'05 - Relação de funcionários'!K77</f>
        <v>2172.0099999999998</v>
      </c>
      <c r="AC63" s="265">
        <f>$B$63*'05 - Relação de funcionários'!L77</f>
        <v>2172.0099999999998</v>
      </c>
      <c r="AD63" s="265">
        <f>$B$63*'05 - Relação de funcionários'!M77</f>
        <v>2172.0099999999998</v>
      </c>
      <c r="AE63" s="265">
        <f>$B$63*'05 - Relação de funcionários'!N77</f>
        <v>2172.0099999999998</v>
      </c>
      <c r="AF63" s="265">
        <f>$B$63*'05 - Relação de funcionários'!O77</f>
        <v>2172.0099999999998</v>
      </c>
      <c r="AG63" s="265">
        <f>$B$63*'05 - Relação de funcionários'!P77</f>
        <v>2172.0099999999998</v>
      </c>
      <c r="AH63" s="265">
        <f>$B$63*'05 - Relação de funcionários'!Q77</f>
        <v>2172.0099999999998</v>
      </c>
      <c r="AI63" s="265">
        <f>$B$63*'05 - Relação de funcionários'!R77</f>
        <v>2172.0099999999998</v>
      </c>
      <c r="AJ63" s="265">
        <f>$B$63*'05 - Relação de funcionários'!S77</f>
        <v>2172.0099999999998</v>
      </c>
      <c r="AK63" s="265">
        <f>$B$63*'05 - Relação de funcionários'!T77</f>
        <v>2172.0099999999998</v>
      </c>
      <c r="AL63" s="265">
        <f>$B$63*'05 - Relação de funcionários'!U77</f>
        <v>2172.0099999999998</v>
      </c>
      <c r="AM63" s="265">
        <f>$B$63*'05 - Relação de funcionários'!V77</f>
        <v>2172.0099999999998</v>
      </c>
      <c r="AN63" s="265">
        <f>$B$63*'05 - Relação de funcionários'!W77</f>
        <v>2172.0099999999998</v>
      </c>
      <c r="AO63" s="265">
        <f>$B$63*'05 - Relação de funcionários'!X77</f>
        <v>2172.0099999999998</v>
      </c>
      <c r="AP63" s="265">
        <f>$B$63*'05 - Relação de funcionários'!Y77</f>
        <v>2172.0099999999998</v>
      </c>
      <c r="AQ63" s="265">
        <f>$B$63*'05 - Relação de funcionários'!Z77</f>
        <v>2172.0099999999998</v>
      </c>
      <c r="AR63" s="265">
        <f>$B$63*'05 - Relação de funcionários'!AA77</f>
        <v>2172.0099999999998</v>
      </c>
      <c r="AS63" s="265">
        <f>$B$63*'05 - Relação de funcionários'!AB77</f>
        <v>2172.0099999999998</v>
      </c>
      <c r="AT63" s="265">
        <f>$B$63*'05 - Relação de funcionários'!AC77</f>
        <v>2172.0099999999998</v>
      </c>
      <c r="AU63" s="265">
        <f>$B$63*'05 - Relação de funcionários'!AD77</f>
        <v>2172.0099999999998</v>
      </c>
      <c r="AV63" s="265">
        <f>$B$63*'05 - Relação de funcionários'!AE77</f>
        <v>2172.0099999999998</v>
      </c>
      <c r="AW63" s="265">
        <f>$B$63*'05 - Relação de funcionários'!AF77</f>
        <v>2172.0099999999998</v>
      </c>
      <c r="AX63" s="265">
        <f>$B$63*'05 - Relação de funcionários'!AG77</f>
        <v>2172.0099999999998</v>
      </c>
      <c r="AY63" s="265">
        <f>$B$63*'05 - Relação de funcionários'!AH77</f>
        <v>2172.0099999999998</v>
      </c>
      <c r="AZ63" s="265">
        <f>$B$63*'05 - Relação de funcionários'!AI77</f>
        <v>2172.0099999999998</v>
      </c>
      <c r="BA63" s="265">
        <f>$B$63*'05 - Relação de funcionários'!AJ77</f>
        <v>2172.0099999999998</v>
      </c>
    </row>
    <row r="64" spans="1:53" s="258" customFormat="1" ht="13.15" customHeight="1" x14ac:dyDescent="0.2">
      <c r="A64" s="261" t="s">
        <v>906</v>
      </c>
      <c r="B64" s="504">
        <f>C64*'01 - Dados de Entrada'!$C$86+D64*'01 - Dados de Entrada'!$C$87+E64*'01 - Dados de Entrada'!$C$88+F64*'01 - Dados de Entrada'!$C$89+G64*'01 - Dados de Entrada'!$C$90+H64*'01 - Dados de Entrada'!$C$91+I64*'01 - Dados de Entrada'!$C$92+J64*'01 - Dados de Entrada'!$C$93+K64*'01 - Dados de Entrada'!$C$94+L64*'01 - Dados de Entrada'!$C$95+M64*'01 - Dados de Entrada'!$C$96+'08 - Custos com EPI e uniformes'!N64*'01 - Dados de Entrada'!$C$97+O64*'01 - Dados de Entrada'!$C$98+P64*'01 - Dados de Entrada'!$C$99+Q64*'01 - Dados de Entrada'!$C$100</f>
        <v>2565.5199999999995</v>
      </c>
      <c r="C64" s="46">
        <v>0</v>
      </c>
      <c r="D64" s="46">
        <v>0</v>
      </c>
      <c r="E64" s="46">
        <v>0</v>
      </c>
      <c r="F64" s="46">
        <v>8</v>
      </c>
      <c r="G64" s="46">
        <v>8</v>
      </c>
      <c r="H64" s="46">
        <v>3</v>
      </c>
      <c r="I64" s="46">
        <v>4</v>
      </c>
      <c r="J64" s="46">
        <v>3</v>
      </c>
      <c r="K64" s="46">
        <v>4</v>
      </c>
      <c r="L64" s="264">
        <v>24</v>
      </c>
      <c r="M64" s="264">
        <v>12</v>
      </c>
      <c r="N64" s="264">
        <v>6</v>
      </c>
      <c r="O64" s="331">
        <v>3</v>
      </c>
      <c r="P64" s="331">
        <v>3</v>
      </c>
      <c r="Q64" s="264">
        <v>24</v>
      </c>
      <c r="R64" s="264">
        <f t="shared" si="2"/>
        <v>897931.99999999942</v>
      </c>
      <c r="S64" s="265">
        <f>$B64*'05 - Relação de funcionários'!B78</f>
        <v>25655.199999999997</v>
      </c>
      <c r="T64" s="265">
        <f>$B64*'05 - Relação de funcionários'!C78</f>
        <v>25655.199999999997</v>
      </c>
      <c r="U64" s="265">
        <f>$B64*'05 - Relação de funcionários'!D78</f>
        <v>25655.199999999997</v>
      </c>
      <c r="V64" s="265">
        <f>$B64*'05 - Relação de funcionários'!E78</f>
        <v>25655.199999999997</v>
      </c>
      <c r="W64" s="265">
        <f>$B64*'05 - Relação de funcionários'!F78</f>
        <v>25655.199999999997</v>
      </c>
      <c r="X64" s="265">
        <f>$B64*'05 - Relação de funcionários'!G78</f>
        <v>25655.199999999997</v>
      </c>
      <c r="Y64" s="265">
        <f>$B64*'05 - Relação de funcionários'!H78</f>
        <v>25655.199999999997</v>
      </c>
      <c r="Z64" s="265">
        <f>$B64*'05 - Relação de funcionários'!I78</f>
        <v>25655.199999999997</v>
      </c>
      <c r="AA64" s="265">
        <f>$B64*'05 - Relação de funcionários'!J78</f>
        <v>25655.199999999997</v>
      </c>
      <c r="AB64" s="265">
        <f>$B64*'05 - Relação de funcionários'!K78</f>
        <v>25655.199999999997</v>
      </c>
      <c r="AC64" s="265">
        <f>$B64*'05 - Relação de funcionários'!L78</f>
        <v>25655.199999999997</v>
      </c>
      <c r="AD64" s="265">
        <f>$B64*'05 - Relação de funcionários'!M78</f>
        <v>25655.199999999997</v>
      </c>
      <c r="AE64" s="265">
        <f>$B64*'05 - Relação de funcionários'!N78</f>
        <v>25655.199999999997</v>
      </c>
      <c r="AF64" s="265">
        <f>$B64*'05 - Relação de funcionários'!O78</f>
        <v>25655.199999999997</v>
      </c>
      <c r="AG64" s="265">
        <f>$B64*'05 - Relação de funcionários'!P78</f>
        <v>25655.199999999997</v>
      </c>
      <c r="AH64" s="265">
        <f>$B64*'05 - Relação de funcionários'!Q78</f>
        <v>25655.199999999997</v>
      </c>
      <c r="AI64" s="265">
        <f>$B64*'05 - Relação de funcionários'!R78</f>
        <v>25655.199999999997</v>
      </c>
      <c r="AJ64" s="265">
        <f>$B64*'05 - Relação de funcionários'!S78</f>
        <v>25655.199999999997</v>
      </c>
      <c r="AK64" s="265">
        <f>$B64*'05 - Relação de funcionários'!T78</f>
        <v>25655.199999999997</v>
      </c>
      <c r="AL64" s="265">
        <f>$B64*'05 - Relação de funcionários'!U78</f>
        <v>25655.199999999997</v>
      </c>
      <c r="AM64" s="265">
        <f>$B64*'05 - Relação de funcionários'!V78</f>
        <v>25655.199999999997</v>
      </c>
      <c r="AN64" s="265">
        <f>$B64*'05 - Relação de funcionários'!W78</f>
        <v>25655.199999999997</v>
      </c>
      <c r="AO64" s="265">
        <f>$B64*'05 - Relação de funcionários'!X78</f>
        <v>25655.199999999997</v>
      </c>
      <c r="AP64" s="265">
        <f>$B64*'05 - Relação de funcionários'!Y78</f>
        <v>25655.199999999997</v>
      </c>
      <c r="AQ64" s="265">
        <f>$B64*'05 - Relação de funcionários'!Z78</f>
        <v>25655.199999999997</v>
      </c>
      <c r="AR64" s="265">
        <f>$B64*'05 - Relação de funcionários'!AA78</f>
        <v>25655.199999999997</v>
      </c>
      <c r="AS64" s="265">
        <f>$B64*'05 - Relação de funcionários'!AB78</f>
        <v>25655.199999999997</v>
      </c>
      <c r="AT64" s="265">
        <f>$B64*'05 - Relação de funcionários'!AC78</f>
        <v>25655.199999999997</v>
      </c>
      <c r="AU64" s="265">
        <f>$B64*'05 - Relação de funcionários'!AD78</f>
        <v>25655.199999999997</v>
      </c>
      <c r="AV64" s="265">
        <f>$B64*'05 - Relação de funcionários'!AE78</f>
        <v>25655.199999999997</v>
      </c>
      <c r="AW64" s="265">
        <f>$B64*'05 - Relação de funcionários'!AF78</f>
        <v>25655.199999999997</v>
      </c>
      <c r="AX64" s="265">
        <f>$B64*'05 - Relação de funcionários'!AG78</f>
        <v>25655.199999999997</v>
      </c>
      <c r="AY64" s="265">
        <f>$B64*'05 - Relação de funcionários'!AH78</f>
        <v>25655.199999999997</v>
      </c>
      <c r="AZ64" s="265">
        <f>$B64*'05 - Relação de funcionários'!AI78</f>
        <v>25655.199999999997</v>
      </c>
      <c r="BA64" s="265">
        <f>$B64*'05 - Relação de funcionários'!AJ78</f>
        <v>25655.199999999997</v>
      </c>
    </row>
    <row r="65" spans="1:53" s="258" customFormat="1" ht="13.15" customHeight="1" x14ac:dyDescent="0.2">
      <c r="A65" s="261" t="s">
        <v>867</v>
      </c>
      <c r="B65" s="504">
        <f>C65*'01 - Dados de Entrada'!$C$86+D65*'01 - Dados de Entrada'!$C$87+E65*'01 - Dados de Entrada'!$C$88+F65*'01 - Dados de Entrada'!$C$89+G65*'01 - Dados de Entrada'!$C$90+H65*'01 - Dados de Entrada'!$C$91+I65*'01 - Dados de Entrada'!$C$92+J65*'01 - Dados de Entrada'!$C$93+K65*'01 - Dados de Entrada'!$C$94+L65*'01 - Dados de Entrada'!$C$95+M65*'01 - Dados de Entrada'!$C$96+'08 - Custos com EPI e uniformes'!N65*'01 - Dados de Entrada'!$C$97+O65*'01 - Dados de Entrada'!$C$98+P65*'01 - Dados de Entrada'!$C$99+Q65*'01 - Dados de Entrada'!$C$100</f>
        <v>2172.0099999999998</v>
      </c>
      <c r="C65" s="46">
        <v>0</v>
      </c>
      <c r="D65" s="46">
        <v>0</v>
      </c>
      <c r="E65" s="46">
        <v>0</v>
      </c>
      <c r="F65" s="46">
        <v>8</v>
      </c>
      <c r="G65" s="46">
        <v>8</v>
      </c>
      <c r="H65" s="46">
        <v>3</v>
      </c>
      <c r="I65" s="46">
        <v>4</v>
      </c>
      <c r="J65" s="46">
        <v>3</v>
      </c>
      <c r="K65" s="46">
        <v>4</v>
      </c>
      <c r="L65" s="264">
        <v>12</v>
      </c>
      <c r="M65" s="264">
        <v>12</v>
      </c>
      <c r="N65" s="264">
        <v>6</v>
      </c>
      <c r="O65" s="264"/>
      <c r="P65" s="264"/>
      <c r="Q65" s="264"/>
      <c r="R65" s="264">
        <f t="shared" si="2"/>
        <v>76020.349999999991</v>
      </c>
      <c r="S65" s="265">
        <f>$B65*'05 - Relação de funcionários'!B79</f>
        <v>2172.0099999999998</v>
      </c>
      <c r="T65" s="265">
        <f>$B65*'05 - Relação de funcionários'!C79</f>
        <v>2172.0099999999998</v>
      </c>
      <c r="U65" s="265">
        <f>$B65*'05 - Relação de funcionários'!D79</f>
        <v>2172.0099999999998</v>
      </c>
      <c r="V65" s="265">
        <f>$B65*'05 - Relação de funcionários'!E79</f>
        <v>2172.0099999999998</v>
      </c>
      <c r="W65" s="265">
        <f>$B65*'05 - Relação de funcionários'!F79</f>
        <v>2172.0099999999998</v>
      </c>
      <c r="X65" s="265">
        <f>$B65*'05 - Relação de funcionários'!G79</f>
        <v>2172.0099999999998</v>
      </c>
      <c r="Y65" s="265">
        <f>$B65*'05 - Relação de funcionários'!H79</f>
        <v>2172.0099999999998</v>
      </c>
      <c r="Z65" s="265">
        <f>$B65*'05 - Relação de funcionários'!I79</f>
        <v>2172.0099999999998</v>
      </c>
      <c r="AA65" s="265">
        <f>$B65*'05 - Relação de funcionários'!J79</f>
        <v>2172.0099999999998</v>
      </c>
      <c r="AB65" s="265">
        <f>$B65*'05 - Relação de funcionários'!K79</f>
        <v>2172.0099999999998</v>
      </c>
      <c r="AC65" s="265">
        <f>$B65*'05 - Relação de funcionários'!L79</f>
        <v>2172.0099999999998</v>
      </c>
      <c r="AD65" s="265">
        <f>$B65*'05 - Relação de funcionários'!M79</f>
        <v>2172.0099999999998</v>
      </c>
      <c r="AE65" s="265">
        <f>$B65*'05 - Relação de funcionários'!N79</f>
        <v>2172.0099999999998</v>
      </c>
      <c r="AF65" s="265">
        <f>$B65*'05 - Relação de funcionários'!O79</f>
        <v>2172.0099999999998</v>
      </c>
      <c r="AG65" s="265">
        <f>$B65*'05 - Relação de funcionários'!P79</f>
        <v>2172.0099999999998</v>
      </c>
      <c r="AH65" s="265">
        <f>$B65*'05 - Relação de funcionários'!Q79</f>
        <v>2172.0099999999998</v>
      </c>
      <c r="AI65" s="265">
        <f>$B65*'05 - Relação de funcionários'!R79</f>
        <v>2172.0099999999998</v>
      </c>
      <c r="AJ65" s="265">
        <f>$B65*'05 - Relação de funcionários'!S79</f>
        <v>2172.0099999999998</v>
      </c>
      <c r="AK65" s="265">
        <f>$B65*'05 - Relação de funcionários'!T79</f>
        <v>2172.0099999999998</v>
      </c>
      <c r="AL65" s="265">
        <f>$B65*'05 - Relação de funcionários'!U79</f>
        <v>2172.0099999999998</v>
      </c>
      <c r="AM65" s="265">
        <f>$B65*'05 - Relação de funcionários'!V79</f>
        <v>2172.0099999999998</v>
      </c>
      <c r="AN65" s="265">
        <f>$B65*'05 - Relação de funcionários'!W79</f>
        <v>2172.0099999999998</v>
      </c>
      <c r="AO65" s="265">
        <f>$B65*'05 - Relação de funcionários'!X79</f>
        <v>2172.0099999999998</v>
      </c>
      <c r="AP65" s="265">
        <f>$B65*'05 - Relação de funcionários'!Y79</f>
        <v>2172.0099999999998</v>
      </c>
      <c r="AQ65" s="265">
        <f>$B65*'05 - Relação de funcionários'!Z79</f>
        <v>2172.0099999999998</v>
      </c>
      <c r="AR65" s="265">
        <f>$B65*'05 - Relação de funcionários'!AA79</f>
        <v>2172.0099999999998</v>
      </c>
      <c r="AS65" s="265">
        <f>$B65*'05 - Relação de funcionários'!AB79</f>
        <v>2172.0099999999998</v>
      </c>
      <c r="AT65" s="265">
        <f>$B65*'05 - Relação de funcionários'!AC79</f>
        <v>2172.0099999999998</v>
      </c>
      <c r="AU65" s="265">
        <f>$B65*'05 - Relação de funcionários'!AD79</f>
        <v>2172.0099999999998</v>
      </c>
      <c r="AV65" s="265">
        <f>$B65*'05 - Relação de funcionários'!AE79</f>
        <v>2172.0099999999998</v>
      </c>
      <c r="AW65" s="265">
        <f>$B65*'05 - Relação de funcionários'!AF79</f>
        <v>2172.0099999999998</v>
      </c>
      <c r="AX65" s="265">
        <f>$B65*'05 - Relação de funcionários'!AG79</f>
        <v>2172.0099999999998</v>
      </c>
      <c r="AY65" s="265">
        <f>$B65*'05 - Relação de funcionários'!AH79</f>
        <v>2172.0099999999998</v>
      </c>
      <c r="AZ65" s="265">
        <f>$B65*'05 - Relação de funcionários'!AI79</f>
        <v>2172.0099999999998</v>
      </c>
      <c r="BA65" s="265">
        <f>$B65*'05 - Relação de funcionários'!AJ79</f>
        <v>2172.0099999999998</v>
      </c>
    </row>
    <row r="66" spans="1:53" s="258" customFormat="1" ht="13.15" customHeight="1" x14ac:dyDescent="0.2">
      <c r="A66" s="31" t="s">
        <v>885</v>
      </c>
      <c r="B66" s="504">
        <f>C66*'01 - Dados de Entrada'!$C$86+D66*'01 - Dados de Entrada'!$C$87+E66*'01 - Dados de Entrada'!$C$88+F66*'01 - Dados de Entrada'!$C$89+G66*'01 - Dados de Entrada'!$C$90+H66*'01 - Dados de Entrada'!$C$91+I66*'01 - Dados de Entrada'!$C$92+J66*'01 - Dados de Entrada'!$C$93+K66*'01 - Dados de Entrada'!$C$94+L66*'01 - Dados de Entrada'!$C$95+M66*'01 - Dados de Entrada'!$C$96+'08 - Custos com EPI e uniformes'!N66*'01 - Dados de Entrada'!$C$97+O66*'01 - Dados de Entrada'!$C$98+P66*'01 - Dados de Entrada'!$C$99+Q66*'01 - Dados de Entrada'!$C$100</f>
        <v>0</v>
      </c>
      <c r="C66" s="267"/>
      <c r="D66" s="267"/>
      <c r="E66" s="267"/>
      <c r="F66" s="267"/>
      <c r="G66" s="267"/>
      <c r="H66" s="267"/>
      <c r="I66" s="267"/>
      <c r="J66" s="267"/>
      <c r="K66" s="267"/>
      <c r="R66" s="264">
        <f t="shared" si="2"/>
        <v>0</v>
      </c>
      <c r="S66" s="265">
        <f>$B66*'05 - Relação de funcionários'!B79</f>
        <v>0</v>
      </c>
    </row>
    <row r="67" spans="1:53" s="258" customFormat="1" ht="13.15" customHeight="1" x14ac:dyDescent="0.2">
      <c r="A67" s="261" t="s">
        <v>867</v>
      </c>
      <c r="B67" s="504">
        <f>C67*'01 - Dados de Entrada'!$C$86+D67*'01 - Dados de Entrada'!$C$87+E67*'01 - Dados de Entrada'!$C$88+F67*'01 - Dados de Entrada'!$C$89+G67*'01 - Dados de Entrada'!$C$90+H67*'01 - Dados de Entrada'!$C$91+I67*'01 - Dados de Entrada'!$C$92+J67*'01 - Dados de Entrada'!$C$93+K67*'01 - Dados de Entrada'!$C$94+L67*'01 - Dados de Entrada'!$C$95+M67*'01 - Dados de Entrada'!$C$96+'08 - Custos com EPI e uniformes'!N67*'01 - Dados de Entrada'!$C$97+O67*'01 - Dados de Entrada'!$C$98+P67*'01 - Dados de Entrada'!$C$99+Q67*'01 - Dados de Entrada'!$C$100</f>
        <v>2172.0099999999998</v>
      </c>
      <c r="C67" s="46">
        <v>0</v>
      </c>
      <c r="D67" s="46">
        <v>0</v>
      </c>
      <c r="E67" s="46">
        <v>0</v>
      </c>
      <c r="F67" s="46">
        <v>8</v>
      </c>
      <c r="G67" s="46">
        <v>8</v>
      </c>
      <c r="H67" s="46">
        <v>3</v>
      </c>
      <c r="I67" s="46">
        <v>4</v>
      </c>
      <c r="J67" s="46">
        <v>3</v>
      </c>
      <c r="K67" s="46">
        <v>4</v>
      </c>
      <c r="L67" s="264">
        <v>12</v>
      </c>
      <c r="M67" s="264">
        <v>12</v>
      </c>
      <c r="N67" s="264">
        <v>6</v>
      </c>
      <c r="O67" s="264"/>
      <c r="P67" s="264"/>
      <c r="Q67" s="264"/>
      <c r="R67" s="264">
        <f t="shared" si="2"/>
        <v>76020.349999999991</v>
      </c>
      <c r="S67" s="265">
        <f>$B67*'05 - Relação de funcionários'!B82</f>
        <v>2172.0099999999998</v>
      </c>
      <c r="T67" s="265">
        <f>$B67*'05 - Relação de funcionários'!C82</f>
        <v>2172.0099999999998</v>
      </c>
      <c r="U67" s="265">
        <f>$B67*'05 - Relação de funcionários'!D82</f>
        <v>2172.0099999999998</v>
      </c>
      <c r="V67" s="265">
        <f>$B67*'05 - Relação de funcionários'!E82</f>
        <v>2172.0099999999998</v>
      </c>
      <c r="W67" s="265">
        <f>$B67*'05 - Relação de funcionários'!F82</f>
        <v>2172.0099999999998</v>
      </c>
      <c r="X67" s="265">
        <f>$B67*'05 - Relação de funcionários'!G82</f>
        <v>2172.0099999999998</v>
      </c>
      <c r="Y67" s="265">
        <f>$B67*'05 - Relação de funcionários'!H82</f>
        <v>2172.0099999999998</v>
      </c>
      <c r="Z67" s="265">
        <f>$B67*'05 - Relação de funcionários'!I82</f>
        <v>2172.0099999999998</v>
      </c>
      <c r="AA67" s="265">
        <f>$B67*'05 - Relação de funcionários'!J82</f>
        <v>2172.0099999999998</v>
      </c>
      <c r="AB67" s="265">
        <f>$B67*'05 - Relação de funcionários'!K82</f>
        <v>2172.0099999999998</v>
      </c>
      <c r="AC67" s="265">
        <f>$B67*'05 - Relação de funcionários'!L82</f>
        <v>2172.0099999999998</v>
      </c>
      <c r="AD67" s="265">
        <f>$B67*'05 - Relação de funcionários'!M82</f>
        <v>2172.0099999999998</v>
      </c>
      <c r="AE67" s="265">
        <f>$B67*'05 - Relação de funcionários'!N82</f>
        <v>2172.0099999999998</v>
      </c>
      <c r="AF67" s="265">
        <f>$B67*'05 - Relação de funcionários'!O82</f>
        <v>2172.0099999999998</v>
      </c>
      <c r="AG67" s="265">
        <f>$B67*'05 - Relação de funcionários'!P82</f>
        <v>2172.0099999999998</v>
      </c>
      <c r="AH67" s="265">
        <f>$B67*'05 - Relação de funcionários'!Q82</f>
        <v>2172.0099999999998</v>
      </c>
      <c r="AI67" s="265">
        <f>$B67*'05 - Relação de funcionários'!R82</f>
        <v>2172.0099999999998</v>
      </c>
      <c r="AJ67" s="265">
        <f>$B67*'05 - Relação de funcionários'!S82</f>
        <v>2172.0099999999998</v>
      </c>
      <c r="AK67" s="265">
        <f>$B67*'05 - Relação de funcionários'!T82</f>
        <v>2172.0099999999998</v>
      </c>
      <c r="AL67" s="265">
        <f>$B67*'05 - Relação de funcionários'!U82</f>
        <v>2172.0099999999998</v>
      </c>
      <c r="AM67" s="265">
        <f>$B67*'05 - Relação de funcionários'!V82</f>
        <v>2172.0099999999998</v>
      </c>
      <c r="AN67" s="265">
        <f>$B67*'05 - Relação de funcionários'!W82</f>
        <v>2172.0099999999998</v>
      </c>
      <c r="AO67" s="265">
        <f>$B67*'05 - Relação de funcionários'!X82</f>
        <v>2172.0099999999998</v>
      </c>
      <c r="AP67" s="265">
        <f>$B67*'05 - Relação de funcionários'!Y82</f>
        <v>2172.0099999999998</v>
      </c>
      <c r="AQ67" s="265">
        <f>$B67*'05 - Relação de funcionários'!Z82</f>
        <v>2172.0099999999998</v>
      </c>
      <c r="AR67" s="265">
        <f>$B67*'05 - Relação de funcionários'!AA82</f>
        <v>2172.0099999999998</v>
      </c>
      <c r="AS67" s="265">
        <f>$B67*'05 - Relação de funcionários'!AB82</f>
        <v>2172.0099999999998</v>
      </c>
      <c r="AT67" s="265">
        <f>$B67*'05 - Relação de funcionários'!AC82</f>
        <v>2172.0099999999998</v>
      </c>
      <c r="AU67" s="265">
        <f>$B67*'05 - Relação de funcionários'!AD82</f>
        <v>2172.0099999999998</v>
      </c>
      <c r="AV67" s="265">
        <f>$B67*'05 - Relação de funcionários'!AE82</f>
        <v>2172.0099999999998</v>
      </c>
      <c r="AW67" s="265">
        <f>$B67*'05 - Relação de funcionários'!AF82</f>
        <v>2172.0099999999998</v>
      </c>
      <c r="AX67" s="265">
        <f>$B67*'05 - Relação de funcionários'!AG82</f>
        <v>2172.0099999999998</v>
      </c>
      <c r="AY67" s="265">
        <f>$B67*'05 - Relação de funcionários'!AH82</f>
        <v>2172.0099999999998</v>
      </c>
      <c r="AZ67" s="265">
        <f>$B67*'05 - Relação de funcionários'!AI82</f>
        <v>2172.0099999999998</v>
      </c>
      <c r="BA67" s="265">
        <f>$B67*'05 - Relação de funcionários'!AJ82</f>
        <v>2172.0099999999998</v>
      </c>
    </row>
    <row r="68" spans="1:53" s="258" customFormat="1" ht="13.15" customHeight="1" x14ac:dyDescent="0.2">
      <c r="A68" s="261" t="s">
        <v>868</v>
      </c>
      <c r="B68" s="502">
        <f>C68*'01 - Dados de Entrada'!$C$86+D68*'01 - Dados de Entrada'!$C$87+E68*'01 - Dados de Entrada'!$C$88+F68*'01 - Dados de Entrada'!$C$89+G68*'01 - Dados de Entrada'!$C$90+H68*'01 - Dados de Entrada'!$C$91+I68*'01 - Dados de Entrada'!$C$92+J68*'01 - Dados de Entrada'!$C$93+K68*'01 - Dados de Entrada'!$C$94+L68*'01 - Dados de Entrada'!$C$95+M68*'01 - Dados de Entrada'!$C$96+'08 - Custos com EPI e uniformes'!N68*'01 - Dados de Entrada'!$C$97+O68*'01 - Dados de Entrada'!$C$98+P68*'01 - Dados de Entrada'!$C$99+Q68*'01 - Dados de Entrada'!$C$100</f>
        <v>2080.9049999999997</v>
      </c>
      <c r="C68" s="46">
        <v>0</v>
      </c>
      <c r="D68" s="46">
        <v>0</v>
      </c>
      <c r="E68" s="46">
        <v>0</v>
      </c>
      <c r="F68" s="46">
        <v>8</v>
      </c>
      <c r="G68" s="46">
        <v>8</v>
      </c>
      <c r="H68" s="46">
        <v>3</v>
      </c>
      <c r="I68" s="46">
        <v>4</v>
      </c>
      <c r="J68" s="46">
        <v>3</v>
      </c>
      <c r="K68" s="46">
        <v>3</v>
      </c>
      <c r="L68" s="264">
        <v>12</v>
      </c>
      <c r="M68" s="264">
        <v>12</v>
      </c>
      <c r="N68" s="264">
        <v>6</v>
      </c>
      <c r="O68" s="264"/>
      <c r="P68" s="264"/>
      <c r="Q68" s="264"/>
      <c r="R68" s="264">
        <f t="shared" si="2"/>
        <v>72831.674999999974</v>
      </c>
      <c r="S68" s="265">
        <f>$B68*'05 - Relação de funcionários'!B83</f>
        <v>2080.9049999999997</v>
      </c>
      <c r="T68" s="265">
        <f>$B68*'05 - Relação de funcionários'!C83</f>
        <v>2080.9049999999997</v>
      </c>
      <c r="U68" s="265">
        <f>$B68*'05 - Relação de funcionários'!D83</f>
        <v>2080.9049999999997</v>
      </c>
      <c r="V68" s="265">
        <f>$B68*'05 - Relação de funcionários'!E83</f>
        <v>2080.9049999999997</v>
      </c>
      <c r="W68" s="265">
        <f>$B68*'05 - Relação de funcionários'!F83</f>
        <v>2080.9049999999997</v>
      </c>
      <c r="X68" s="265">
        <f>$B68*'05 - Relação de funcionários'!G83</f>
        <v>2080.9049999999997</v>
      </c>
      <c r="Y68" s="265">
        <f>$B68*'05 - Relação de funcionários'!H83</f>
        <v>2080.9049999999997</v>
      </c>
      <c r="Z68" s="265">
        <f>$B68*'05 - Relação de funcionários'!I83</f>
        <v>2080.9049999999997</v>
      </c>
      <c r="AA68" s="265">
        <f>$B68*'05 - Relação de funcionários'!J83</f>
        <v>2080.9049999999997</v>
      </c>
      <c r="AB68" s="265">
        <f>$B68*'05 - Relação de funcionários'!K83</f>
        <v>2080.9049999999997</v>
      </c>
      <c r="AC68" s="265">
        <f>$B68*'05 - Relação de funcionários'!L83</f>
        <v>2080.9049999999997</v>
      </c>
      <c r="AD68" s="265">
        <f>$B68*'05 - Relação de funcionários'!M83</f>
        <v>2080.9049999999997</v>
      </c>
      <c r="AE68" s="265">
        <f>$B68*'05 - Relação de funcionários'!N83</f>
        <v>2080.9049999999997</v>
      </c>
      <c r="AF68" s="265">
        <f>$B68*'05 - Relação de funcionários'!O83</f>
        <v>2080.9049999999997</v>
      </c>
      <c r="AG68" s="265">
        <f>$B68*'05 - Relação de funcionários'!P83</f>
        <v>2080.9049999999997</v>
      </c>
      <c r="AH68" s="265">
        <f>$B68*'05 - Relação de funcionários'!Q83</f>
        <v>2080.9049999999997</v>
      </c>
      <c r="AI68" s="265">
        <f>$B68*'05 - Relação de funcionários'!R83</f>
        <v>2080.9049999999997</v>
      </c>
      <c r="AJ68" s="265">
        <f>$B68*'05 - Relação de funcionários'!S83</f>
        <v>2080.9049999999997</v>
      </c>
      <c r="AK68" s="265">
        <f>$B68*'05 - Relação de funcionários'!T83</f>
        <v>2080.9049999999997</v>
      </c>
      <c r="AL68" s="265">
        <f>$B68*'05 - Relação de funcionários'!U83</f>
        <v>2080.9049999999997</v>
      </c>
      <c r="AM68" s="265">
        <f>$B68*'05 - Relação de funcionários'!V83</f>
        <v>2080.9049999999997</v>
      </c>
      <c r="AN68" s="265">
        <f>$B68*'05 - Relação de funcionários'!W83</f>
        <v>2080.9049999999997</v>
      </c>
      <c r="AO68" s="265">
        <f>$B68*'05 - Relação de funcionários'!X83</f>
        <v>2080.9049999999997</v>
      </c>
      <c r="AP68" s="265">
        <f>$B68*'05 - Relação de funcionários'!Y83</f>
        <v>2080.9049999999997</v>
      </c>
      <c r="AQ68" s="265">
        <f>$B68*'05 - Relação de funcionários'!Z83</f>
        <v>2080.9049999999997</v>
      </c>
      <c r="AR68" s="265">
        <f>$B68*'05 - Relação de funcionários'!AA83</f>
        <v>2080.9049999999997</v>
      </c>
      <c r="AS68" s="265">
        <f>$B68*'05 - Relação de funcionários'!AB83</f>
        <v>2080.9049999999997</v>
      </c>
      <c r="AT68" s="265">
        <f>$B68*'05 - Relação de funcionários'!AC83</f>
        <v>2080.9049999999997</v>
      </c>
      <c r="AU68" s="265">
        <f>$B68*'05 - Relação de funcionários'!AD83</f>
        <v>2080.9049999999997</v>
      </c>
      <c r="AV68" s="265">
        <f>$B68*'05 - Relação de funcionários'!AE83</f>
        <v>2080.9049999999997</v>
      </c>
      <c r="AW68" s="265">
        <f>$B68*'05 - Relação de funcionários'!AF83</f>
        <v>2080.9049999999997</v>
      </c>
      <c r="AX68" s="265">
        <f>$B68*'05 - Relação de funcionários'!AG83</f>
        <v>2080.9049999999997</v>
      </c>
      <c r="AY68" s="265">
        <f>$B68*'05 - Relação de funcionários'!AH83</f>
        <v>2080.9049999999997</v>
      </c>
      <c r="AZ68" s="265">
        <f>$B68*'05 - Relação de funcionários'!AI83</f>
        <v>2080.9049999999997</v>
      </c>
      <c r="BA68" s="265">
        <f>$B68*'05 - Relação de funcionários'!AJ83</f>
        <v>2080.9049999999997</v>
      </c>
    </row>
    <row r="69" spans="1:53" s="258" customFormat="1" ht="13.15" customHeight="1" x14ac:dyDescent="0.2">
      <c r="A69" s="261" t="s">
        <v>886</v>
      </c>
      <c r="B69" s="502">
        <f>C69*'01 - Dados de Entrada'!$C$86+D69*'01 - Dados de Entrada'!$C$87+E69*'01 - Dados de Entrada'!$C$88+F69*'01 - Dados de Entrada'!$C$89+G69*'01 - Dados de Entrada'!$C$90+H69*'01 - Dados de Entrada'!$C$91+I69*'01 - Dados de Entrada'!$C$92+J69*'01 - Dados de Entrada'!$C$93+K69*'01 - Dados de Entrada'!$C$94+L69*'01 - Dados de Entrada'!$C$95+M69*'01 - Dados de Entrada'!$C$96+'08 - Custos com EPI e uniformes'!N69*'01 - Dados de Entrada'!$C$97+O69*'01 - Dados de Entrada'!$C$98+P69*'01 - Dados de Entrada'!$C$99+Q69*'01 - Dados de Entrada'!$C$100</f>
        <v>2419.39</v>
      </c>
      <c r="C69" s="46">
        <v>0</v>
      </c>
      <c r="D69" s="46">
        <v>0</v>
      </c>
      <c r="E69" s="46">
        <v>0</v>
      </c>
      <c r="F69" s="46">
        <v>8</v>
      </c>
      <c r="G69" s="46">
        <v>8</v>
      </c>
      <c r="H69" s="46">
        <v>3</v>
      </c>
      <c r="I69" s="46">
        <v>4</v>
      </c>
      <c r="J69" s="46">
        <v>3</v>
      </c>
      <c r="K69" s="46">
        <v>4</v>
      </c>
      <c r="L69" s="264">
        <v>24</v>
      </c>
      <c r="M69" s="264">
        <v>12</v>
      </c>
      <c r="N69" s="264">
        <v>6</v>
      </c>
      <c r="O69" s="264"/>
      <c r="P69" s="264"/>
      <c r="Q69" s="264">
        <v>24</v>
      </c>
      <c r="R69" s="264">
        <f t="shared" si="2"/>
        <v>5087977.1700000009</v>
      </c>
      <c r="S69" s="265">
        <f>$B69*('05 - Relação de funcionários'!B86)</f>
        <v>140324.62</v>
      </c>
      <c r="T69" s="265">
        <f>$B69*('05 - Relação de funcionários'!C86)</f>
        <v>140324.62</v>
      </c>
      <c r="U69" s="265">
        <f>$B69*('05 - Relação de funcionários'!D86)</f>
        <v>140324.62</v>
      </c>
      <c r="V69" s="265">
        <f>$B69*('05 - Relação de funcionários'!E86)</f>
        <v>142744.00999999998</v>
      </c>
      <c r="W69" s="265">
        <f>$B69*('05 - Relação de funcionários'!F86)</f>
        <v>142744.00999999998</v>
      </c>
      <c r="X69" s="265">
        <f>$B69*('05 - Relação de funcionários'!G86)</f>
        <v>142744.00999999998</v>
      </c>
      <c r="Y69" s="265">
        <f>$B69*('05 - Relação de funcionários'!H86)</f>
        <v>145163.4</v>
      </c>
      <c r="Z69" s="265">
        <f>$B69*('05 - Relação de funcionários'!I86)</f>
        <v>145163.4</v>
      </c>
      <c r="AA69" s="265">
        <f>$B69*('05 - Relação de funcionários'!J86)</f>
        <v>145163.4</v>
      </c>
      <c r="AB69" s="265">
        <f>$B69*('05 - Relação de funcionários'!K86)</f>
        <v>145163.4</v>
      </c>
      <c r="AC69" s="265">
        <f>$B69*('05 - Relação de funcionários'!L86)</f>
        <v>145163.4</v>
      </c>
      <c r="AD69" s="265">
        <f>$B69*('05 - Relação de funcionários'!M86)</f>
        <v>147582.78999999998</v>
      </c>
      <c r="AE69" s="265">
        <f>$B69*('05 - Relação de funcionários'!N86)</f>
        <v>147582.78999999998</v>
      </c>
      <c r="AF69" s="265">
        <f>$B69*('05 - Relação de funcionários'!O86)</f>
        <v>147582.78999999998</v>
      </c>
      <c r="AG69" s="265">
        <f>$B69*('05 - Relação de funcionários'!P86)</f>
        <v>147582.78999999998</v>
      </c>
      <c r="AH69" s="265">
        <f>$B69*('05 - Relação de funcionários'!Q86)</f>
        <v>147582.78999999998</v>
      </c>
      <c r="AI69" s="265">
        <f>$B69*('05 - Relação de funcionários'!R86)</f>
        <v>147582.78999999998</v>
      </c>
      <c r="AJ69" s="265">
        <f>$B69*('05 - Relação de funcionários'!S86)</f>
        <v>147582.78999999998</v>
      </c>
      <c r="AK69" s="265">
        <f>$B69*('05 - Relação de funcionários'!T86)</f>
        <v>147582.78999999998</v>
      </c>
      <c r="AL69" s="265">
        <f>$B69*('05 - Relação de funcionários'!U86)</f>
        <v>147582.78999999998</v>
      </c>
      <c r="AM69" s="265">
        <f>$B69*('05 - Relação de funcionários'!V86)</f>
        <v>147582.78999999998</v>
      </c>
      <c r="AN69" s="265">
        <f>$B69*('05 - Relação de funcionários'!W86)</f>
        <v>147582.78999999998</v>
      </c>
      <c r="AO69" s="265">
        <f>$B69*('05 - Relação de funcionários'!X86)</f>
        <v>147582.78999999998</v>
      </c>
      <c r="AP69" s="265">
        <f>$B69*('05 - Relação de funcionários'!Y86)</f>
        <v>147582.78999999998</v>
      </c>
      <c r="AQ69" s="265">
        <f>$B69*('05 - Relação de funcionários'!Z86)</f>
        <v>147582.78999999998</v>
      </c>
      <c r="AR69" s="265">
        <f>$B69*('05 - Relação de funcionários'!AA86)</f>
        <v>147582.78999999998</v>
      </c>
      <c r="AS69" s="265">
        <f>$B69*('05 - Relação de funcionários'!AB86)</f>
        <v>145163.4</v>
      </c>
      <c r="AT69" s="265">
        <f>$B69*('05 - Relação de funcionários'!AC86)</f>
        <v>145163.4</v>
      </c>
      <c r="AU69" s="265">
        <f>$B69*('05 - Relação de funcionários'!AD86)</f>
        <v>145163.4</v>
      </c>
      <c r="AV69" s="265">
        <f>$B69*('05 - Relação de funcionários'!AE86)</f>
        <v>145163.4</v>
      </c>
      <c r="AW69" s="265">
        <f>$B69*('05 - Relação de funcionários'!AF86)</f>
        <v>145163.4</v>
      </c>
      <c r="AX69" s="265">
        <f>$B69*('05 - Relação de funcionários'!AG86)</f>
        <v>145163.4</v>
      </c>
      <c r="AY69" s="265">
        <f>$B69*('05 - Relação de funcionários'!AH86)</f>
        <v>142744.00999999998</v>
      </c>
      <c r="AZ69" s="265">
        <f>$B69*('05 - Relação de funcionários'!AI86)</f>
        <v>142744.00999999998</v>
      </c>
      <c r="BA69" s="265">
        <f>$B69*('05 - Relação de funcionários'!AJ86)</f>
        <v>142744.00999999998</v>
      </c>
    </row>
    <row r="70" spans="1:53" s="258" customFormat="1" ht="13.15" customHeight="1" x14ac:dyDescent="0.2">
      <c r="A70" s="260"/>
      <c r="B70" s="267"/>
      <c r="C70" s="267"/>
      <c r="D70" s="267"/>
      <c r="E70" s="267"/>
      <c r="F70" s="267"/>
      <c r="G70" s="267"/>
      <c r="H70" s="267"/>
      <c r="I70" s="267"/>
      <c r="J70" s="267"/>
      <c r="K70" s="267"/>
    </row>
    <row r="71" spans="1:53" s="258" customFormat="1" ht="13.15" customHeight="1" x14ac:dyDescent="0.2">
      <c r="A71" s="260" t="s">
        <v>932</v>
      </c>
      <c r="B71" s="267"/>
      <c r="C71" s="267"/>
      <c r="D71" s="267"/>
      <c r="E71" s="267"/>
      <c r="F71" s="267"/>
      <c r="G71" s="267"/>
      <c r="H71" s="267"/>
      <c r="I71" s="267"/>
      <c r="J71" s="267"/>
      <c r="K71" s="267"/>
    </row>
    <row r="72" spans="1:53" ht="13.15" customHeight="1" x14ac:dyDescent="0.2"/>
    <row r="73" spans="1:53" ht="13.15" customHeight="1" x14ac:dyDescent="0.2"/>
    <row r="74" spans="1:53" ht="13.15" customHeight="1" x14ac:dyDescent="0.2"/>
    <row r="75" spans="1:53" ht="13.15" customHeight="1" x14ac:dyDescent="0.2"/>
    <row r="76" spans="1:53" ht="13.15" customHeight="1" x14ac:dyDescent="0.2"/>
  </sheetData>
  <mergeCells count="1">
    <mergeCell ref="C5:Q5"/>
  </mergeCells>
  <pageMargins left="0.511811024" right="0.511811024" top="0.78740157499999996" bottom="0.78740157499999996" header="0.31496062000000002" footer="0.31496062000000002"/>
  <pageSetup paperSize="9" scale="2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9"/>
  <dimension ref="A1:AK133"/>
  <sheetViews>
    <sheetView showGridLines="0"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55.28515625" style="68" customWidth="1"/>
    <col min="2" max="2" width="13.28515625" style="68" customWidth="1"/>
    <col min="3" max="4" width="11.42578125" style="68" bestFit="1" customWidth="1"/>
    <col min="5" max="6" width="10.5703125" style="68" bestFit="1" customWidth="1"/>
    <col min="7" max="32" width="10.42578125" style="68" bestFit="1" customWidth="1"/>
    <col min="33" max="37" width="10.42578125" style="68" customWidth="1"/>
    <col min="38" max="38" width="9.28515625" style="68"/>
    <col min="39" max="39" width="12.7109375" style="68" bestFit="1" customWidth="1"/>
    <col min="40" max="16384" width="9.28515625" style="68"/>
  </cols>
  <sheetData>
    <row r="1" spans="1:37" ht="13.15" customHeight="1" x14ac:dyDescent="0.2">
      <c r="A1" s="21" t="s">
        <v>0</v>
      </c>
      <c r="C1" s="67"/>
    </row>
    <row r="2" spans="1:37" ht="13.15" customHeight="1" x14ac:dyDescent="0.2">
      <c r="A2" s="21" t="s">
        <v>1</v>
      </c>
      <c r="C2" s="67"/>
      <c r="K2" s="493"/>
      <c r="L2" s="493"/>
    </row>
    <row r="3" spans="1:37" ht="13.15" customHeight="1" x14ac:dyDescent="0.2">
      <c r="A3" s="21" t="s">
        <v>933</v>
      </c>
      <c r="C3" s="67"/>
    </row>
    <row r="4" spans="1:37" ht="13.15" customHeight="1" x14ac:dyDescent="0.2">
      <c r="A4" s="21"/>
      <c r="B4" s="108"/>
      <c r="C4" s="67"/>
    </row>
    <row r="5" spans="1:37" ht="13.15" customHeight="1" x14ac:dyDescent="0.2">
      <c r="A5" s="72"/>
      <c r="B5" s="70" t="s">
        <v>71</v>
      </c>
      <c r="C5" s="70" t="s">
        <v>775</v>
      </c>
      <c r="D5" s="70" t="s">
        <v>776</v>
      </c>
      <c r="E5" s="70" t="s">
        <v>777</v>
      </c>
      <c r="F5" s="70" t="s">
        <v>778</v>
      </c>
      <c r="G5" s="70" t="s">
        <v>779</v>
      </c>
      <c r="H5" s="70" t="s">
        <v>780</v>
      </c>
      <c r="I5" s="70" t="s">
        <v>781</v>
      </c>
      <c r="J5" s="70" t="s">
        <v>782</v>
      </c>
      <c r="K5" s="70" t="s">
        <v>783</v>
      </c>
      <c r="L5" s="70" t="s">
        <v>717</v>
      </c>
      <c r="M5" s="70" t="s">
        <v>718</v>
      </c>
      <c r="N5" s="70" t="s">
        <v>719</v>
      </c>
      <c r="O5" s="70" t="s">
        <v>720</v>
      </c>
      <c r="P5" s="70" t="s">
        <v>721</v>
      </c>
      <c r="Q5" s="70" t="s">
        <v>722</v>
      </c>
      <c r="R5" s="70" t="s">
        <v>723</v>
      </c>
      <c r="S5" s="70" t="s">
        <v>724</v>
      </c>
      <c r="T5" s="70" t="s">
        <v>725</v>
      </c>
      <c r="U5" s="70" t="s">
        <v>726</v>
      </c>
      <c r="V5" s="70" t="s">
        <v>727</v>
      </c>
      <c r="W5" s="70" t="s">
        <v>728</v>
      </c>
      <c r="X5" s="70" t="s">
        <v>729</v>
      </c>
      <c r="Y5" s="70" t="s">
        <v>730</v>
      </c>
      <c r="Z5" s="70" t="s">
        <v>731</v>
      </c>
      <c r="AA5" s="70" t="s">
        <v>732</v>
      </c>
      <c r="AB5" s="70" t="s">
        <v>733</v>
      </c>
      <c r="AC5" s="70" t="s">
        <v>734</v>
      </c>
      <c r="AD5" s="70" t="s">
        <v>735</v>
      </c>
      <c r="AE5" s="70" t="s">
        <v>736</v>
      </c>
      <c r="AF5" s="70" t="s">
        <v>737</v>
      </c>
      <c r="AG5" s="70" t="s">
        <v>738</v>
      </c>
      <c r="AH5" s="70" t="s">
        <v>739</v>
      </c>
      <c r="AI5" s="70" t="s">
        <v>740</v>
      </c>
      <c r="AJ5" s="70" t="s">
        <v>741</v>
      </c>
      <c r="AK5" s="70" t="s">
        <v>742</v>
      </c>
    </row>
    <row r="6" spans="1:37" s="21" customFormat="1" ht="13.15" customHeight="1" x14ac:dyDescent="0.2">
      <c r="A6" s="73" t="s">
        <v>934</v>
      </c>
      <c r="B6" s="107">
        <f>SUM(C6:AK6)</f>
        <v>123732615.29654112</v>
      </c>
      <c r="C6" s="107">
        <f>C18+C22+C26+C30+C10+C14+C38+C58+C46+C42+C66+C114+C34+C50+C54+C62+C70+C74+C78+C94+C98+C102+C106+C110+C82+C86+C90</f>
        <v>3265089.251520637</v>
      </c>
      <c r="D6" s="107">
        <f>D18+D22+D26+D30+D10+D14+D38+D58+D46+D42+D66+D114+D34+D50+D54+D62+D70+D74+D78+D94+D98+D102+D106+D110+D82+D86+D90</f>
        <v>3265089.251520637</v>
      </c>
      <c r="E6" s="107">
        <f t="shared" ref="E6:AK6" si="0">E18+E22+E26+E30+E10+E14+E38+E58+E46+E42+E66+E114+E34+E50+E54+E62+E70+E74+E78+E94+E98+E102+E106+E110+E82+E86+E90</f>
        <v>3265089.251520637</v>
      </c>
      <c r="F6" s="107">
        <f t="shared" si="0"/>
        <v>3265089.251520637</v>
      </c>
      <c r="G6" s="107">
        <f t="shared" si="0"/>
        <v>3265089.251520637</v>
      </c>
      <c r="H6" s="107">
        <f t="shared" si="0"/>
        <v>3463240.5154846008</v>
      </c>
      <c r="I6" s="107">
        <f t="shared" si="0"/>
        <v>3463240.5154846008</v>
      </c>
      <c r="J6" s="107">
        <f t="shared" si="0"/>
        <v>3588596.0002846005</v>
      </c>
      <c r="K6" s="107">
        <f t="shared" si="0"/>
        <v>3588596.0002846005</v>
      </c>
      <c r="L6" s="107">
        <f t="shared" si="0"/>
        <v>3588596.0002846005</v>
      </c>
      <c r="M6" s="107">
        <f t="shared" si="0"/>
        <v>3588596.0002846005</v>
      </c>
      <c r="N6" s="107">
        <f t="shared" si="0"/>
        <v>3588596.0002846005</v>
      </c>
      <c r="O6" s="107">
        <f t="shared" si="0"/>
        <v>3588596.0002846005</v>
      </c>
      <c r="P6" s="107">
        <f t="shared" si="0"/>
        <v>3588596.0002846005</v>
      </c>
      <c r="Q6" s="107">
        <f t="shared" si="0"/>
        <v>3588596.0002846005</v>
      </c>
      <c r="R6" s="107">
        <f t="shared" si="0"/>
        <v>3588596.0002846005</v>
      </c>
      <c r="S6" s="107">
        <f t="shared" si="0"/>
        <v>3588596.0002846005</v>
      </c>
      <c r="T6" s="107">
        <f t="shared" si="0"/>
        <v>3588596.0002846005</v>
      </c>
      <c r="U6" s="107">
        <f t="shared" si="0"/>
        <v>3588596.0002846005</v>
      </c>
      <c r="V6" s="107">
        <f t="shared" si="0"/>
        <v>3588596.0002846005</v>
      </c>
      <c r="W6" s="107">
        <f t="shared" si="0"/>
        <v>3588596.0002846005</v>
      </c>
      <c r="X6" s="107">
        <f t="shared" si="0"/>
        <v>3588596.0002846005</v>
      </c>
      <c r="Y6" s="107">
        <f t="shared" si="0"/>
        <v>3588596.0002846005</v>
      </c>
      <c r="Z6" s="107">
        <f t="shared" si="0"/>
        <v>3588596.0002846005</v>
      </c>
      <c r="AA6" s="107">
        <f t="shared" si="0"/>
        <v>3588596.0002846005</v>
      </c>
      <c r="AB6" s="107">
        <f t="shared" si="0"/>
        <v>3588596.0002846005</v>
      </c>
      <c r="AC6" s="107">
        <f t="shared" si="0"/>
        <v>3588596.0002846005</v>
      </c>
      <c r="AD6" s="107">
        <f t="shared" si="0"/>
        <v>3588596.0002846005</v>
      </c>
      <c r="AE6" s="107">
        <f t="shared" si="0"/>
        <v>3588596.0002846005</v>
      </c>
      <c r="AF6" s="107">
        <f t="shared" si="0"/>
        <v>3588596.0002846005</v>
      </c>
      <c r="AG6" s="107">
        <f t="shared" si="0"/>
        <v>3588596.0002846005</v>
      </c>
      <c r="AH6" s="107">
        <f t="shared" si="0"/>
        <v>3588596.0002846005</v>
      </c>
      <c r="AI6" s="107">
        <f t="shared" si="0"/>
        <v>3588596.0002846005</v>
      </c>
      <c r="AJ6" s="107">
        <f t="shared" si="0"/>
        <v>3588596.0002846005</v>
      </c>
      <c r="AK6" s="107">
        <f t="shared" si="0"/>
        <v>3588596.0002846005</v>
      </c>
    </row>
    <row r="7" spans="1:37" s="152" customFormat="1" ht="13.15" customHeight="1" x14ac:dyDescent="0.2">
      <c r="A7" s="271" t="s">
        <v>935</v>
      </c>
      <c r="B7" s="272">
        <f t="shared" ref="B7:B30" si="1">SUM(C7:AK7)</f>
        <v>0</v>
      </c>
      <c r="C7" s="272"/>
      <c r="D7" s="272"/>
      <c r="E7" s="272"/>
      <c r="F7" s="272"/>
      <c r="G7" s="272"/>
      <c r="H7" s="272"/>
      <c r="I7" s="272"/>
      <c r="J7" s="272"/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272"/>
      <c r="AD7" s="272"/>
      <c r="AE7" s="272"/>
      <c r="AF7" s="272"/>
      <c r="AG7" s="272"/>
      <c r="AH7" s="272"/>
      <c r="AI7" s="272"/>
      <c r="AJ7" s="272"/>
      <c r="AK7" s="272"/>
    </row>
    <row r="8" spans="1:37" s="152" customFormat="1" ht="13.15" customHeight="1" x14ac:dyDescent="0.2">
      <c r="A8" s="147" t="s">
        <v>936</v>
      </c>
      <c r="B8" s="272">
        <f>SUM(C8:AK8)</f>
        <v>14257320</v>
      </c>
      <c r="C8" s="148">
        <f>'01 - Dados de Entrada'!$C$195*('04 - Veículos e Equipamentos'!B13-'04 - Veículos e Equipamentos'!B8-'04 - Veículos e Equipamentos'!B11)*12</f>
        <v>356433</v>
      </c>
      <c r="D8" s="148">
        <f>'01 - Dados de Entrada'!$C$195*('04 - Veículos e Equipamentos'!C13-'04 - Veículos e Equipamentos'!C8-'04 - Veículos e Equipamentos'!C11)*12</f>
        <v>356433</v>
      </c>
      <c r="E8" s="148">
        <f>'01 - Dados de Entrada'!$C$195*('04 - Veículos e Equipamentos'!D13-'04 - Veículos e Equipamentos'!D8-'04 - Veículos e Equipamentos'!D11)*12</f>
        <v>356433</v>
      </c>
      <c r="F8" s="148">
        <f>'01 - Dados de Entrada'!$C$195*('04 - Veículos e Equipamentos'!E13-'04 - Veículos e Equipamentos'!E8-'04 - Veículos e Equipamentos'!E11)*12</f>
        <v>356433</v>
      </c>
      <c r="G8" s="148">
        <f>'01 - Dados de Entrada'!$C$195*('04 - Veículos e Equipamentos'!F13-'04 - Veículos e Equipamentos'!F8-'04 - Veículos e Equipamentos'!F11)*12</f>
        <v>356433</v>
      </c>
      <c r="H8" s="148">
        <f>'01 - Dados de Entrada'!$C$195*('04 - Veículos e Equipamentos'!G13-'04 - Veículos e Equipamentos'!G8-'04 - Veículos e Equipamentos'!G11)*12</f>
        <v>415838.49999999994</v>
      </c>
      <c r="I8" s="148">
        <f>'01 - Dados de Entrada'!$C$195*('04 - Veículos e Equipamentos'!H13-'04 - Veículos e Equipamentos'!H8-'04 - Veículos e Equipamentos'!H11)*12</f>
        <v>415838.49999999994</v>
      </c>
      <c r="J8" s="148">
        <f>'01 - Dados de Entrada'!$C$195*('04 - Veículos e Equipamentos'!I13-'04 - Veículos e Equipamentos'!I8-'04 - Veículos e Equipamentos'!I11)*12</f>
        <v>415838.49999999994</v>
      </c>
      <c r="K8" s="148">
        <f>'01 - Dados de Entrada'!$C$195*('04 - Veículos e Equipamentos'!J13-'04 - Veículos e Equipamentos'!J8-'04 - Veículos e Equipamentos'!J11)*12</f>
        <v>415838.49999999994</v>
      </c>
      <c r="L8" s="148">
        <f>'01 - Dados de Entrada'!$C$195*('04 - Veículos e Equipamentos'!K13-'04 - Veículos e Equipamentos'!K8-'04 - Veículos e Equipamentos'!K11)*12</f>
        <v>415838.49999999994</v>
      </c>
      <c r="M8" s="148">
        <f>'01 - Dados de Entrada'!$C$195*('04 - Veículos e Equipamentos'!L13-'04 - Veículos e Equipamentos'!L8-'04 - Veículos e Equipamentos'!L11)*12</f>
        <v>415838.49999999994</v>
      </c>
      <c r="N8" s="148">
        <f>'01 - Dados de Entrada'!$C$195*('04 - Veículos e Equipamentos'!M13-'04 - Veículos e Equipamentos'!M8-'04 - Veículos e Equipamentos'!M11)*12</f>
        <v>415838.49999999994</v>
      </c>
      <c r="O8" s="148">
        <f>'01 - Dados de Entrada'!$C$195*('04 - Veículos e Equipamentos'!N13-'04 - Veículos e Equipamentos'!N8-'04 - Veículos e Equipamentos'!N11)*12</f>
        <v>415838.49999999994</v>
      </c>
      <c r="P8" s="148">
        <f>'01 - Dados de Entrada'!$C$195*('04 - Veículos e Equipamentos'!O13-'04 - Veículos e Equipamentos'!O8-'04 - Veículos e Equipamentos'!O11)*12</f>
        <v>415838.49999999994</v>
      </c>
      <c r="Q8" s="148">
        <f>'01 - Dados de Entrada'!$C$195*('04 - Veículos e Equipamentos'!P13-'04 - Veículos e Equipamentos'!P8-'04 - Veículos e Equipamentos'!P11)*12</f>
        <v>415838.49999999994</v>
      </c>
      <c r="R8" s="148">
        <f>'01 - Dados de Entrada'!$C$195*('04 - Veículos e Equipamentos'!Q13-'04 - Veículos e Equipamentos'!Q8-'04 - Veículos e Equipamentos'!Q11)*12</f>
        <v>415838.49999999994</v>
      </c>
      <c r="S8" s="148">
        <f>'01 - Dados de Entrada'!$C$195*('04 - Veículos e Equipamentos'!R13-'04 - Veículos e Equipamentos'!R8-'04 - Veículos e Equipamentos'!R11)*12</f>
        <v>415838.49999999994</v>
      </c>
      <c r="T8" s="148">
        <f>'01 - Dados de Entrada'!$C$195*('04 - Veículos e Equipamentos'!S13-'04 - Veículos e Equipamentos'!S8-'04 - Veículos e Equipamentos'!S11)*12</f>
        <v>415838.49999999994</v>
      </c>
      <c r="U8" s="148">
        <f>'01 - Dados de Entrada'!$C$195*('04 - Veículos e Equipamentos'!T13-'04 - Veículos e Equipamentos'!T8-'04 - Veículos e Equipamentos'!T11)*12</f>
        <v>415838.49999999994</v>
      </c>
      <c r="V8" s="148">
        <f>'01 - Dados de Entrada'!$C$195*('04 - Veículos e Equipamentos'!U13-'04 - Veículos e Equipamentos'!U8-'04 - Veículos e Equipamentos'!U11)*12</f>
        <v>415838.49999999994</v>
      </c>
      <c r="W8" s="148">
        <f>'01 - Dados de Entrada'!$C$195*('04 - Veículos e Equipamentos'!V13-'04 - Veículos e Equipamentos'!V8-'04 - Veículos e Equipamentos'!V11)*12</f>
        <v>415838.49999999994</v>
      </c>
      <c r="X8" s="148">
        <f>'01 - Dados de Entrada'!$C$195*('04 - Veículos e Equipamentos'!W13-'04 - Veículos e Equipamentos'!W8-'04 - Veículos e Equipamentos'!W11)*12</f>
        <v>415838.49999999994</v>
      </c>
      <c r="Y8" s="148">
        <f>'01 - Dados de Entrada'!$C$195*('04 - Veículos e Equipamentos'!X13-'04 - Veículos e Equipamentos'!X8-'04 - Veículos e Equipamentos'!X11)*12</f>
        <v>415838.49999999994</v>
      </c>
      <c r="Z8" s="148">
        <f>'01 - Dados de Entrada'!$C$195*('04 - Veículos e Equipamentos'!Y13-'04 - Veículos e Equipamentos'!Y8-'04 - Veículos e Equipamentos'!Y11)*12</f>
        <v>415838.49999999994</v>
      </c>
      <c r="AA8" s="148">
        <f>'01 - Dados de Entrada'!$C$195*('04 - Veículos e Equipamentos'!Z13-'04 - Veículos e Equipamentos'!Z8-'04 - Veículos e Equipamentos'!Z11)*12</f>
        <v>415838.49999999994</v>
      </c>
      <c r="AB8" s="148">
        <f>'01 - Dados de Entrada'!$C$195*('04 - Veículos e Equipamentos'!AA13-'04 - Veículos e Equipamentos'!AA8-'04 - Veículos e Equipamentos'!AA11)*12</f>
        <v>415838.49999999994</v>
      </c>
      <c r="AC8" s="148">
        <f>'01 - Dados de Entrada'!$C$195*('04 - Veículos e Equipamentos'!AB13-'04 - Veículos e Equipamentos'!AB8-'04 - Veículos e Equipamentos'!AB11)*12</f>
        <v>415838.49999999994</v>
      </c>
      <c r="AD8" s="148">
        <f>'01 - Dados de Entrada'!$C$195*('04 - Veículos e Equipamentos'!AC13-'04 - Veículos e Equipamentos'!AC8-'04 - Veículos e Equipamentos'!AC11)*12</f>
        <v>415838.49999999994</v>
      </c>
      <c r="AE8" s="148">
        <f>'01 - Dados de Entrada'!$C$195*('04 - Veículos e Equipamentos'!AD13-'04 - Veículos e Equipamentos'!AD8-'04 - Veículos e Equipamentos'!AD11)*12</f>
        <v>415838.49999999994</v>
      </c>
      <c r="AF8" s="148">
        <f>'01 - Dados de Entrada'!$C$195*('04 - Veículos e Equipamentos'!AE13-'04 - Veículos e Equipamentos'!AE8-'04 - Veículos e Equipamentos'!AE11)*12</f>
        <v>415838.49999999994</v>
      </c>
      <c r="AG8" s="148">
        <f>'01 - Dados de Entrada'!$C$195*('04 - Veículos e Equipamentos'!AF13-'04 - Veículos e Equipamentos'!AF8-'04 - Veículos e Equipamentos'!AF11)*12</f>
        <v>415838.49999999994</v>
      </c>
      <c r="AH8" s="148">
        <f>'01 - Dados de Entrada'!$C$195*('04 - Veículos e Equipamentos'!AG13-'04 - Veículos e Equipamentos'!AG8-'04 - Veículos e Equipamentos'!AG11)*12</f>
        <v>415838.49999999994</v>
      </c>
      <c r="AI8" s="148">
        <f>'01 - Dados de Entrada'!$C$195*('04 - Veículos e Equipamentos'!AH13-'04 - Veículos e Equipamentos'!AH8-'04 - Veículos e Equipamentos'!AH11)*12</f>
        <v>415838.49999999994</v>
      </c>
      <c r="AJ8" s="148">
        <f>'01 - Dados de Entrada'!$C$195*('04 - Veículos e Equipamentos'!AI13-'04 - Veículos e Equipamentos'!AI8-'04 - Veículos e Equipamentos'!AI11)*12</f>
        <v>415838.49999999994</v>
      </c>
      <c r="AK8" s="148">
        <f>'01 - Dados de Entrada'!$C$195*('04 - Veículos e Equipamentos'!AJ13-'04 - Veículos e Equipamentos'!AJ8-'04 - Veículos e Equipamentos'!AJ11)*12</f>
        <v>415838.49999999994</v>
      </c>
    </row>
    <row r="9" spans="1:37" s="152" customFormat="1" ht="13.15" customHeight="1" x14ac:dyDescent="0.2">
      <c r="A9" s="147" t="s">
        <v>937</v>
      </c>
      <c r="B9" s="272">
        <f t="shared" si="1"/>
        <v>7920733.3333333349</v>
      </c>
      <c r="C9" s="148">
        <f>C8/'01 - Dados de Entrada'!$C$225</f>
        <v>198018.33333333331</v>
      </c>
      <c r="D9" s="148">
        <f>D8/'01 - Dados de Entrada'!$C$225</f>
        <v>198018.33333333331</v>
      </c>
      <c r="E9" s="148">
        <f>E8/'01 - Dados de Entrada'!$C$225</f>
        <v>198018.33333333331</v>
      </c>
      <c r="F9" s="148">
        <f>F8/'01 - Dados de Entrada'!$C$225</f>
        <v>198018.33333333331</v>
      </c>
      <c r="G9" s="148">
        <f>G8/'01 - Dados de Entrada'!$C$225</f>
        <v>198018.33333333331</v>
      </c>
      <c r="H9" s="148">
        <f>H8/'01 - Dados de Entrada'!$C$225</f>
        <v>231021.38888888885</v>
      </c>
      <c r="I9" s="148">
        <f>I8/'01 - Dados de Entrada'!$C$225</f>
        <v>231021.38888888885</v>
      </c>
      <c r="J9" s="148">
        <f>J8/'01 - Dados de Entrada'!$C$225</f>
        <v>231021.38888888885</v>
      </c>
      <c r="K9" s="148">
        <f>K8/'01 - Dados de Entrada'!$C$225</f>
        <v>231021.38888888885</v>
      </c>
      <c r="L9" s="148">
        <f>L8/'01 - Dados de Entrada'!$C$225</f>
        <v>231021.38888888885</v>
      </c>
      <c r="M9" s="148">
        <f>M8/'01 - Dados de Entrada'!$C$225</f>
        <v>231021.38888888885</v>
      </c>
      <c r="N9" s="148">
        <f>N8/'01 - Dados de Entrada'!$C$225</f>
        <v>231021.38888888885</v>
      </c>
      <c r="O9" s="148">
        <f>O8/'01 - Dados de Entrada'!$C$225</f>
        <v>231021.38888888885</v>
      </c>
      <c r="P9" s="148">
        <f>P8/'01 - Dados de Entrada'!$C$225</f>
        <v>231021.38888888885</v>
      </c>
      <c r="Q9" s="148">
        <f>Q8/'01 - Dados de Entrada'!$C$225</f>
        <v>231021.38888888885</v>
      </c>
      <c r="R9" s="148">
        <f>R8/'01 - Dados de Entrada'!$C$225</f>
        <v>231021.38888888885</v>
      </c>
      <c r="S9" s="148">
        <f>S8/'01 - Dados de Entrada'!$C$225</f>
        <v>231021.38888888885</v>
      </c>
      <c r="T9" s="148">
        <f>T8/'01 - Dados de Entrada'!$C$225</f>
        <v>231021.38888888885</v>
      </c>
      <c r="U9" s="148">
        <f>U8/'01 - Dados de Entrada'!$C$225</f>
        <v>231021.38888888885</v>
      </c>
      <c r="V9" s="148">
        <f>V8/'01 - Dados de Entrada'!$C$225</f>
        <v>231021.38888888885</v>
      </c>
      <c r="W9" s="148">
        <f>W8/'01 - Dados de Entrada'!$C$225</f>
        <v>231021.38888888885</v>
      </c>
      <c r="X9" s="148">
        <f>X8/'01 - Dados de Entrada'!$C$225</f>
        <v>231021.38888888885</v>
      </c>
      <c r="Y9" s="148">
        <f>Y8/'01 - Dados de Entrada'!$C$225</f>
        <v>231021.38888888885</v>
      </c>
      <c r="Z9" s="148">
        <f>Z8/'01 - Dados de Entrada'!$C$225</f>
        <v>231021.38888888885</v>
      </c>
      <c r="AA9" s="148">
        <f>AA8/'01 - Dados de Entrada'!$C$225</f>
        <v>231021.38888888885</v>
      </c>
      <c r="AB9" s="148">
        <f>AB8/'01 - Dados de Entrada'!$C$225</f>
        <v>231021.38888888885</v>
      </c>
      <c r="AC9" s="148">
        <f>AC8/'01 - Dados de Entrada'!$C$225</f>
        <v>231021.38888888885</v>
      </c>
      <c r="AD9" s="148">
        <f>AD8/'01 - Dados de Entrada'!$C$225</f>
        <v>231021.38888888885</v>
      </c>
      <c r="AE9" s="148">
        <f>AE8/'01 - Dados de Entrada'!$C$225</f>
        <v>231021.38888888885</v>
      </c>
      <c r="AF9" s="148">
        <f>AF8/'01 - Dados de Entrada'!$C$225</f>
        <v>231021.38888888885</v>
      </c>
      <c r="AG9" s="148">
        <f>AG8/'01 - Dados de Entrada'!$C$225</f>
        <v>231021.38888888885</v>
      </c>
      <c r="AH9" s="148">
        <f>AH8/'01 - Dados de Entrada'!$C$225</f>
        <v>231021.38888888885</v>
      </c>
      <c r="AI9" s="148">
        <f>AI8/'01 - Dados de Entrada'!$C$225</f>
        <v>231021.38888888885</v>
      </c>
      <c r="AJ9" s="148">
        <f>AJ8/'01 - Dados de Entrada'!$C$225</f>
        <v>231021.38888888885</v>
      </c>
      <c r="AK9" s="148">
        <f>AK8/'01 - Dados de Entrada'!$C$225</f>
        <v>231021.38888888885</v>
      </c>
    </row>
    <row r="10" spans="1:37" s="152" customFormat="1" ht="13.15" customHeight="1" x14ac:dyDescent="0.2">
      <c r="A10" s="147" t="s">
        <v>938</v>
      </c>
      <c r="B10" s="272">
        <f t="shared" si="1"/>
        <v>46573911.99999997</v>
      </c>
      <c r="C10" s="148">
        <f>C9*'01 - Dados de Entrada'!$C$116</f>
        <v>1164347.7999999998</v>
      </c>
      <c r="D10" s="148">
        <f>D9*'01 - Dados de Entrada'!$C$116</f>
        <v>1164347.7999999998</v>
      </c>
      <c r="E10" s="148">
        <f>E9*'01 - Dados de Entrada'!$C$116</f>
        <v>1164347.7999999998</v>
      </c>
      <c r="F10" s="148">
        <f>F9*'01 - Dados de Entrada'!$C$116</f>
        <v>1164347.7999999998</v>
      </c>
      <c r="G10" s="148">
        <f>G9*'01 - Dados de Entrada'!$C$116</f>
        <v>1164347.7999999998</v>
      </c>
      <c r="H10" s="148">
        <f>H9*'01 - Dados de Entrada'!$C$116</f>
        <v>1358405.7666666664</v>
      </c>
      <c r="I10" s="148">
        <f>I9*'01 - Dados de Entrada'!$C$116</f>
        <v>1358405.7666666664</v>
      </c>
      <c r="J10" s="148">
        <f>J9*'01 - Dados de Entrada'!$C$116</f>
        <v>1358405.7666666664</v>
      </c>
      <c r="K10" s="148">
        <f>K9*'01 - Dados de Entrada'!$C$116</f>
        <v>1358405.7666666664</v>
      </c>
      <c r="L10" s="148">
        <f>L9*'01 - Dados de Entrada'!$C$116</f>
        <v>1358405.7666666664</v>
      </c>
      <c r="M10" s="148">
        <f>M9*'01 - Dados de Entrada'!$C$116</f>
        <v>1358405.7666666664</v>
      </c>
      <c r="N10" s="148">
        <f>N9*'01 - Dados de Entrada'!$C$116</f>
        <v>1358405.7666666664</v>
      </c>
      <c r="O10" s="148">
        <f>O9*'01 - Dados de Entrada'!$C$116</f>
        <v>1358405.7666666664</v>
      </c>
      <c r="P10" s="148">
        <f>P9*'01 - Dados de Entrada'!$C$116</f>
        <v>1358405.7666666664</v>
      </c>
      <c r="Q10" s="148">
        <f>Q9*'01 - Dados de Entrada'!$C$116</f>
        <v>1358405.7666666664</v>
      </c>
      <c r="R10" s="148">
        <f>R9*'01 - Dados de Entrada'!$C$116</f>
        <v>1358405.7666666664</v>
      </c>
      <c r="S10" s="148">
        <f>S9*'01 - Dados de Entrada'!$C$116</f>
        <v>1358405.7666666664</v>
      </c>
      <c r="T10" s="148">
        <f>T9*'01 - Dados de Entrada'!$C$116</f>
        <v>1358405.7666666664</v>
      </c>
      <c r="U10" s="148">
        <f>U9*'01 - Dados de Entrada'!$C$116</f>
        <v>1358405.7666666664</v>
      </c>
      <c r="V10" s="148">
        <f>V9*'01 - Dados de Entrada'!$C$116</f>
        <v>1358405.7666666664</v>
      </c>
      <c r="W10" s="148">
        <f>W9*'01 - Dados de Entrada'!$C$116</f>
        <v>1358405.7666666664</v>
      </c>
      <c r="X10" s="148">
        <f>X9*'01 - Dados de Entrada'!$C$116</f>
        <v>1358405.7666666664</v>
      </c>
      <c r="Y10" s="148">
        <f>Y9*'01 - Dados de Entrada'!$C$116</f>
        <v>1358405.7666666664</v>
      </c>
      <c r="Z10" s="148">
        <f>Z9*'01 - Dados de Entrada'!$C$116</f>
        <v>1358405.7666666664</v>
      </c>
      <c r="AA10" s="148">
        <f>AA9*'01 - Dados de Entrada'!$C$116</f>
        <v>1358405.7666666664</v>
      </c>
      <c r="AB10" s="148">
        <f>AB9*'01 - Dados de Entrada'!$C$116</f>
        <v>1358405.7666666664</v>
      </c>
      <c r="AC10" s="148">
        <f>AC9*'01 - Dados de Entrada'!$C$116</f>
        <v>1358405.7666666664</v>
      </c>
      <c r="AD10" s="148">
        <f>AD9*'01 - Dados de Entrada'!$C$116</f>
        <v>1358405.7666666664</v>
      </c>
      <c r="AE10" s="148">
        <f>AE9*'01 - Dados de Entrada'!$C$116</f>
        <v>1358405.7666666664</v>
      </c>
      <c r="AF10" s="148">
        <f>AF9*'01 - Dados de Entrada'!$C$116</f>
        <v>1358405.7666666664</v>
      </c>
      <c r="AG10" s="148">
        <f>AG9*'01 - Dados de Entrada'!$C$116</f>
        <v>1358405.7666666664</v>
      </c>
      <c r="AH10" s="148">
        <f>AH9*'01 - Dados de Entrada'!$C$116</f>
        <v>1358405.7666666664</v>
      </c>
      <c r="AI10" s="148">
        <f>AI9*'01 - Dados de Entrada'!$C$116</f>
        <v>1358405.7666666664</v>
      </c>
      <c r="AJ10" s="148">
        <f>AJ9*'01 - Dados de Entrada'!$C$116</f>
        <v>1358405.7666666664</v>
      </c>
      <c r="AK10" s="148">
        <f>AK9*'01 - Dados de Entrada'!$C$116</f>
        <v>1358405.7666666664</v>
      </c>
    </row>
    <row r="11" spans="1:37" s="152" customFormat="1" ht="13.15" customHeight="1" x14ac:dyDescent="0.2">
      <c r="A11" s="271" t="s">
        <v>939</v>
      </c>
      <c r="B11" s="272">
        <f t="shared" si="1"/>
        <v>0</v>
      </c>
      <c r="C11" s="272"/>
      <c r="D11" s="272"/>
      <c r="E11" s="272"/>
      <c r="F11" s="272"/>
      <c r="G11" s="272"/>
      <c r="H11" s="272"/>
      <c r="I11" s="272"/>
      <c r="J11" s="272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2"/>
      <c r="Y11" s="272"/>
      <c r="Z11" s="272"/>
      <c r="AA11" s="272"/>
      <c r="AB11" s="272"/>
      <c r="AC11" s="272"/>
      <c r="AD11" s="272"/>
      <c r="AE11" s="272"/>
      <c r="AF11" s="272"/>
      <c r="AG11" s="272"/>
      <c r="AH11" s="272"/>
      <c r="AI11" s="272"/>
      <c r="AJ11" s="272"/>
      <c r="AK11" s="272"/>
    </row>
    <row r="12" spans="1:37" s="152" customFormat="1" ht="13.15" customHeight="1" x14ac:dyDescent="0.2">
      <c r="A12" s="147" t="s">
        <v>936</v>
      </c>
      <c r="B12" s="272">
        <f>SUM(C12:AK12)</f>
        <v>349801.20000000019</v>
      </c>
      <c r="C12" s="148">
        <f>'01 - Dados de Entrada'!$C$197*'04 - Veículos e Equipamentos'!B14*12</f>
        <v>9994.32</v>
      </c>
      <c r="D12" s="148">
        <f>'01 - Dados de Entrada'!$C$197*'04 - Veículos e Equipamentos'!C14*12</f>
        <v>9994.32</v>
      </c>
      <c r="E12" s="148">
        <f>'01 - Dados de Entrada'!$C$197*'04 - Veículos e Equipamentos'!D14*12</f>
        <v>9994.32</v>
      </c>
      <c r="F12" s="148">
        <f>'01 - Dados de Entrada'!$C$197*'04 - Veículos e Equipamentos'!E14*12</f>
        <v>9994.32</v>
      </c>
      <c r="G12" s="148">
        <f>'01 - Dados de Entrada'!$C$197*'04 - Veículos e Equipamentos'!F14*12</f>
        <v>9994.32</v>
      </c>
      <c r="H12" s="148">
        <f>'01 - Dados de Entrada'!$C$197*'04 - Veículos e Equipamentos'!G14*12</f>
        <v>9994.32</v>
      </c>
      <c r="I12" s="148">
        <f>'01 - Dados de Entrada'!$C$197*'04 - Veículos e Equipamentos'!H14*12</f>
        <v>9994.32</v>
      </c>
      <c r="J12" s="148">
        <f>'01 - Dados de Entrada'!$C$197*'04 - Veículos e Equipamentos'!I14*12</f>
        <v>9994.32</v>
      </c>
      <c r="K12" s="148">
        <f>'01 - Dados de Entrada'!$C$197*'04 - Veículos e Equipamentos'!J14*12</f>
        <v>9994.32</v>
      </c>
      <c r="L12" s="148">
        <f>'01 - Dados de Entrada'!$C$197*'04 - Veículos e Equipamentos'!K14*12</f>
        <v>9994.32</v>
      </c>
      <c r="M12" s="148">
        <f>'01 - Dados de Entrada'!$C$197*'04 - Veículos e Equipamentos'!L14*12</f>
        <v>9994.32</v>
      </c>
      <c r="N12" s="148">
        <f>'01 - Dados de Entrada'!$C$197*'04 - Veículos e Equipamentos'!M14*12</f>
        <v>9994.32</v>
      </c>
      <c r="O12" s="148">
        <f>'01 - Dados de Entrada'!$C$197*'04 - Veículos e Equipamentos'!N14*12</f>
        <v>9994.32</v>
      </c>
      <c r="P12" s="148">
        <f>'01 - Dados de Entrada'!$C$197*'04 - Veículos e Equipamentos'!O14*12</f>
        <v>9994.32</v>
      </c>
      <c r="Q12" s="148">
        <f>'01 - Dados de Entrada'!$C$197*'04 - Veículos e Equipamentos'!P14*12</f>
        <v>9994.32</v>
      </c>
      <c r="R12" s="148">
        <f>'01 - Dados de Entrada'!$C$197*'04 - Veículos e Equipamentos'!Q14*12</f>
        <v>9994.32</v>
      </c>
      <c r="S12" s="148">
        <f>'01 - Dados de Entrada'!$C$197*'04 - Veículos e Equipamentos'!R14*12</f>
        <v>9994.32</v>
      </c>
      <c r="T12" s="148">
        <f>'01 - Dados de Entrada'!$C$197*'04 - Veículos e Equipamentos'!S14*12</f>
        <v>9994.32</v>
      </c>
      <c r="U12" s="148">
        <f>'01 - Dados de Entrada'!$C$197*'04 - Veículos e Equipamentos'!T14*12</f>
        <v>9994.32</v>
      </c>
      <c r="V12" s="148">
        <f>'01 - Dados de Entrada'!$C$197*'04 - Veículos e Equipamentos'!U14*12</f>
        <v>9994.32</v>
      </c>
      <c r="W12" s="148">
        <f>'01 - Dados de Entrada'!$C$197*'04 - Veículos e Equipamentos'!V14*12</f>
        <v>9994.32</v>
      </c>
      <c r="X12" s="148">
        <f>'01 - Dados de Entrada'!$C$197*'04 - Veículos e Equipamentos'!W14*12</f>
        <v>9994.32</v>
      </c>
      <c r="Y12" s="148">
        <f>'01 - Dados de Entrada'!$C$197*'04 - Veículos e Equipamentos'!X14*12</f>
        <v>9994.32</v>
      </c>
      <c r="Z12" s="148">
        <f>'01 - Dados de Entrada'!$C$197*'04 - Veículos e Equipamentos'!Y14*12</f>
        <v>9994.32</v>
      </c>
      <c r="AA12" s="148">
        <f>'01 - Dados de Entrada'!$C$197*'04 - Veículos e Equipamentos'!Z14*12</f>
        <v>9994.32</v>
      </c>
      <c r="AB12" s="148">
        <f>'01 - Dados de Entrada'!$C$197*'04 - Veículos e Equipamentos'!AA14*12</f>
        <v>9994.32</v>
      </c>
      <c r="AC12" s="148">
        <f>'01 - Dados de Entrada'!$C$197*'04 - Veículos e Equipamentos'!AB14*12</f>
        <v>9994.32</v>
      </c>
      <c r="AD12" s="148">
        <f>'01 - Dados de Entrada'!$C$197*'04 - Veículos e Equipamentos'!AC14*12</f>
        <v>9994.32</v>
      </c>
      <c r="AE12" s="148">
        <f>'01 - Dados de Entrada'!$C$197*'04 - Veículos e Equipamentos'!AD14*12</f>
        <v>9994.32</v>
      </c>
      <c r="AF12" s="148">
        <f>'01 - Dados de Entrada'!$C$197*'04 - Veículos e Equipamentos'!AE14*12</f>
        <v>9994.32</v>
      </c>
      <c r="AG12" s="148">
        <f>'01 - Dados de Entrada'!$C$197*'04 - Veículos e Equipamentos'!AF14*12</f>
        <v>9994.32</v>
      </c>
      <c r="AH12" s="148">
        <f>'01 - Dados de Entrada'!$C$197*'04 - Veículos e Equipamentos'!AG14*12</f>
        <v>9994.32</v>
      </c>
      <c r="AI12" s="148">
        <f>'01 - Dados de Entrada'!$C$197*'04 - Veículos e Equipamentos'!AH14*12</f>
        <v>9994.32</v>
      </c>
      <c r="AJ12" s="148">
        <f>'01 - Dados de Entrada'!$C$197*'04 - Veículos e Equipamentos'!AI14*12</f>
        <v>9994.32</v>
      </c>
      <c r="AK12" s="148">
        <f>'01 - Dados de Entrada'!$C$197*'04 - Veículos e Equipamentos'!AJ14*12</f>
        <v>9994.32</v>
      </c>
    </row>
    <row r="13" spans="1:37" s="152" customFormat="1" ht="13.15" customHeight="1" x14ac:dyDescent="0.2">
      <c r="A13" s="147" t="s">
        <v>937</v>
      </c>
      <c r="B13" s="272">
        <f t="shared" si="1"/>
        <v>194333.99999999988</v>
      </c>
      <c r="C13" s="148">
        <f>C12/'01 - Dados de Entrada'!$C$225</f>
        <v>5552.4</v>
      </c>
      <c r="D13" s="148">
        <f>D12/'01 - Dados de Entrada'!$C$225</f>
        <v>5552.4</v>
      </c>
      <c r="E13" s="148">
        <f>E12/'01 - Dados de Entrada'!$C$225</f>
        <v>5552.4</v>
      </c>
      <c r="F13" s="148">
        <f>F12/'01 - Dados de Entrada'!$C$225</f>
        <v>5552.4</v>
      </c>
      <c r="G13" s="148">
        <f>G12/'01 - Dados de Entrada'!$C$225</f>
        <v>5552.4</v>
      </c>
      <c r="H13" s="148">
        <f>H12/'01 - Dados de Entrada'!$C$225</f>
        <v>5552.4</v>
      </c>
      <c r="I13" s="148">
        <f>I12/'01 - Dados de Entrada'!$C$225</f>
        <v>5552.4</v>
      </c>
      <c r="J13" s="148">
        <f>J12/'01 - Dados de Entrada'!$C$225</f>
        <v>5552.4</v>
      </c>
      <c r="K13" s="148">
        <f>K12/'01 - Dados de Entrada'!$C$225</f>
        <v>5552.4</v>
      </c>
      <c r="L13" s="148">
        <f>L12/'01 - Dados de Entrada'!$C$225</f>
        <v>5552.4</v>
      </c>
      <c r="M13" s="148">
        <f>M12/'01 - Dados de Entrada'!$C$225</f>
        <v>5552.4</v>
      </c>
      <c r="N13" s="148">
        <f>N12/'01 - Dados de Entrada'!$C$225</f>
        <v>5552.4</v>
      </c>
      <c r="O13" s="148">
        <f>O12/'01 - Dados de Entrada'!$C$225</f>
        <v>5552.4</v>
      </c>
      <c r="P13" s="148">
        <f>P12/'01 - Dados de Entrada'!$C$225</f>
        <v>5552.4</v>
      </c>
      <c r="Q13" s="148">
        <f>Q12/'01 - Dados de Entrada'!$C$225</f>
        <v>5552.4</v>
      </c>
      <c r="R13" s="148">
        <f>R12/'01 - Dados de Entrada'!$C$225</f>
        <v>5552.4</v>
      </c>
      <c r="S13" s="148">
        <f>S12/'01 - Dados de Entrada'!$C$225</f>
        <v>5552.4</v>
      </c>
      <c r="T13" s="148">
        <f>T12/'01 - Dados de Entrada'!$C$225</f>
        <v>5552.4</v>
      </c>
      <c r="U13" s="148">
        <f>U12/'01 - Dados de Entrada'!$C$225</f>
        <v>5552.4</v>
      </c>
      <c r="V13" s="148">
        <f>V12/'01 - Dados de Entrada'!$C$225</f>
        <v>5552.4</v>
      </c>
      <c r="W13" s="148">
        <f>W12/'01 - Dados de Entrada'!$C$225</f>
        <v>5552.4</v>
      </c>
      <c r="X13" s="148">
        <f>X12/'01 - Dados de Entrada'!$C$225</f>
        <v>5552.4</v>
      </c>
      <c r="Y13" s="148">
        <f>Y12/'01 - Dados de Entrada'!$C$225</f>
        <v>5552.4</v>
      </c>
      <c r="Z13" s="148">
        <f>Z12/'01 - Dados de Entrada'!$C$225</f>
        <v>5552.4</v>
      </c>
      <c r="AA13" s="148">
        <f>AA12/'01 - Dados de Entrada'!$C$225</f>
        <v>5552.4</v>
      </c>
      <c r="AB13" s="148">
        <f>AB12/'01 - Dados de Entrada'!$C$225</f>
        <v>5552.4</v>
      </c>
      <c r="AC13" s="148">
        <f>AC12/'01 - Dados de Entrada'!$C$225</f>
        <v>5552.4</v>
      </c>
      <c r="AD13" s="148">
        <f>AD12/'01 - Dados de Entrada'!$C$225</f>
        <v>5552.4</v>
      </c>
      <c r="AE13" s="148">
        <f>AE12/'01 - Dados de Entrada'!$C$225</f>
        <v>5552.4</v>
      </c>
      <c r="AF13" s="148">
        <f>AF12/'01 - Dados de Entrada'!$C$225</f>
        <v>5552.4</v>
      </c>
      <c r="AG13" s="148">
        <f>AG12/'01 - Dados de Entrada'!$C$225</f>
        <v>5552.4</v>
      </c>
      <c r="AH13" s="148">
        <f>AH12/'01 - Dados de Entrada'!$C$225</f>
        <v>5552.4</v>
      </c>
      <c r="AI13" s="148">
        <f>AI12/'01 - Dados de Entrada'!$C$225</f>
        <v>5552.4</v>
      </c>
      <c r="AJ13" s="148">
        <f>AJ12/'01 - Dados de Entrada'!$C$225</f>
        <v>5552.4</v>
      </c>
      <c r="AK13" s="148">
        <f>AK12/'01 - Dados de Entrada'!$C$225</f>
        <v>5552.4</v>
      </c>
    </row>
    <row r="14" spans="1:37" s="152" customFormat="1" ht="13.15" customHeight="1" x14ac:dyDescent="0.2">
      <c r="A14" s="147" t="s">
        <v>938</v>
      </c>
      <c r="B14" s="272">
        <f t="shared" si="1"/>
        <v>1142683.9199999995</v>
      </c>
      <c r="C14" s="148">
        <f>C13*'01 - Dados de Entrada'!$C$116</f>
        <v>32648.111999999997</v>
      </c>
      <c r="D14" s="148">
        <f>D13*'01 - Dados de Entrada'!$C$116</f>
        <v>32648.111999999997</v>
      </c>
      <c r="E14" s="148">
        <f>E13*'01 - Dados de Entrada'!$C$116</f>
        <v>32648.111999999997</v>
      </c>
      <c r="F14" s="148">
        <f>F13*'01 - Dados de Entrada'!$C$116</f>
        <v>32648.111999999997</v>
      </c>
      <c r="G14" s="148">
        <f>G13*'01 - Dados de Entrada'!$C$116</f>
        <v>32648.111999999997</v>
      </c>
      <c r="H14" s="148">
        <f>H13*'01 - Dados de Entrada'!$C$116</f>
        <v>32648.111999999997</v>
      </c>
      <c r="I14" s="148">
        <f>I13*'01 - Dados de Entrada'!$C$116</f>
        <v>32648.111999999997</v>
      </c>
      <c r="J14" s="148">
        <f>J13*'01 - Dados de Entrada'!$C$116</f>
        <v>32648.111999999997</v>
      </c>
      <c r="K14" s="148">
        <f>K13*'01 - Dados de Entrada'!$C$116</f>
        <v>32648.111999999997</v>
      </c>
      <c r="L14" s="148">
        <f>L13*'01 - Dados de Entrada'!$C$116</f>
        <v>32648.111999999997</v>
      </c>
      <c r="M14" s="148">
        <f>M13*'01 - Dados de Entrada'!$C$116</f>
        <v>32648.111999999997</v>
      </c>
      <c r="N14" s="148">
        <f>N13*'01 - Dados de Entrada'!$C$116</f>
        <v>32648.111999999997</v>
      </c>
      <c r="O14" s="148">
        <f>O13*'01 - Dados de Entrada'!$C$116</f>
        <v>32648.111999999997</v>
      </c>
      <c r="P14" s="148">
        <f>P13*'01 - Dados de Entrada'!$C$116</f>
        <v>32648.111999999997</v>
      </c>
      <c r="Q14" s="148">
        <f>Q13*'01 - Dados de Entrada'!$C$116</f>
        <v>32648.111999999997</v>
      </c>
      <c r="R14" s="148">
        <f>R13*'01 - Dados de Entrada'!$C$116</f>
        <v>32648.111999999997</v>
      </c>
      <c r="S14" s="148">
        <f>S13*'01 - Dados de Entrada'!$C$116</f>
        <v>32648.111999999997</v>
      </c>
      <c r="T14" s="148">
        <f>T13*'01 - Dados de Entrada'!$C$116</f>
        <v>32648.111999999997</v>
      </c>
      <c r="U14" s="148">
        <f>U13*'01 - Dados de Entrada'!$C$116</f>
        <v>32648.111999999997</v>
      </c>
      <c r="V14" s="148">
        <f>V13*'01 - Dados de Entrada'!$C$116</f>
        <v>32648.111999999997</v>
      </c>
      <c r="W14" s="148">
        <f>W13*'01 - Dados de Entrada'!$C$116</f>
        <v>32648.111999999997</v>
      </c>
      <c r="X14" s="148">
        <f>X13*'01 - Dados de Entrada'!$C$116</f>
        <v>32648.111999999997</v>
      </c>
      <c r="Y14" s="148">
        <f>Y13*'01 - Dados de Entrada'!$C$116</f>
        <v>32648.111999999997</v>
      </c>
      <c r="Z14" s="148">
        <f>Z13*'01 - Dados de Entrada'!$C$116</f>
        <v>32648.111999999997</v>
      </c>
      <c r="AA14" s="148">
        <f>AA13*'01 - Dados de Entrada'!$C$116</f>
        <v>32648.111999999997</v>
      </c>
      <c r="AB14" s="148">
        <f>AB13*'01 - Dados de Entrada'!$C$116</f>
        <v>32648.111999999997</v>
      </c>
      <c r="AC14" s="148">
        <f>AC13*'01 - Dados de Entrada'!$C$116</f>
        <v>32648.111999999997</v>
      </c>
      <c r="AD14" s="148">
        <f>AD13*'01 - Dados de Entrada'!$C$116</f>
        <v>32648.111999999997</v>
      </c>
      <c r="AE14" s="148">
        <f>AE13*'01 - Dados de Entrada'!$C$116</f>
        <v>32648.111999999997</v>
      </c>
      <c r="AF14" s="148">
        <f>AF13*'01 - Dados de Entrada'!$C$116</f>
        <v>32648.111999999997</v>
      </c>
      <c r="AG14" s="148">
        <f>AG13*'01 - Dados de Entrada'!$C$116</f>
        <v>32648.111999999997</v>
      </c>
      <c r="AH14" s="148">
        <f>AH13*'01 - Dados de Entrada'!$C$116</f>
        <v>32648.111999999997</v>
      </c>
      <c r="AI14" s="148">
        <f>AI13*'01 - Dados de Entrada'!$C$116</f>
        <v>32648.111999999997</v>
      </c>
      <c r="AJ14" s="148">
        <f>AJ13*'01 - Dados de Entrada'!$C$116</f>
        <v>32648.111999999997</v>
      </c>
      <c r="AK14" s="148">
        <f>AK13*'01 - Dados de Entrada'!$C$116</f>
        <v>32648.111999999997</v>
      </c>
    </row>
    <row r="15" spans="1:37" s="152" customFormat="1" ht="13.15" customHeight="1" x14ac:dyDescent="0.2">
      <c r="A15" s="271" t="s">
        <v>940</v>
      </c>
      <c r="B15" s="272">
        <f t="shared" si="1"/>
        <v>0</v>
      </c>
      <c r="C15" s="274"/>
      <c r="D15" s="274"/>
      <c r="E15" s="274"/>
      <c r="F15" s="274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274"/>
      <c r="AB15" s="274"/>
      <c r="AC15" s="274"/>
      <c r="AD15" s="274"/>
      <c r="AE15" s="274"/>
      <c r="AF15" s="274"/>
      <c r="AG15" s="274"/>
      <c r="AH15" s="274"/>
      <c r="AI15" s="274"/>
      <c r="AJ15" s="274"/>
      <c r="AK15" s="274"/>
    </row>
    <row r="16" spans="1:37" s="152" customFormat="1" ht="13.15" customHeight="1" x14ac:dyDescent="0.2">
      <c r="A16" s="147" t="s">
        <v>936</v>
      </c>
      <c r="B16" s="272">
        <f>SUM(C16:AK16)</f>
        <v>11640152.159999998</v>
      </c>
      <c r="C16" s="148">
        <f>'01 - Dados de Entrada'!$C$196*('04 - Veículos e Equipamentos'!B18+'04 - Veículos e Equipamentos'!B20)*12</f>
        <v>298465.44</v>
      </c>
      <c r="D16" s="148">
        <f>'01 - Dados de Entrada'!$C$196*('04 - Veículos e Equipamentos'!C18+'04 - Veículos e Equipamentos'!C20)*12</f>
        <v>298465.44</v>
      </c>
      <c r="E16" s="148">
        <f>'01 - Dados de Entrada'!$C$196*('04 - Veículos e Equipamentos'!D18+'04 - Veículos e Equipamentos'!D20)*12</f>
        <v>298465.44</v>
      </c>
      <c r="F16" s="148">
        <f>'01 - Dados de Entrada'!$C$196*('04 - Veículos e Equipamentos'!E18+'04 - Veículos e Equipamentos'!E20)*12</f>
        <v>298465.44</v>
      </c>
      <c r="G16" s="148">
        <f>'01 - Dados de Entrada'!$C$196*('04 - Veículos e Equipamentos'!F18+'04 - Veículos e Equipamentos'!F20)*12</f>
        <v>298465.44</v>
      </c>
      <c r="H16" s="148">
        <f>'01 - Dados de Entrada'!$C$196*('04 - Veículos e Equipamentos'!G18+'04 - Veículos e Equipamentos'!G20)*12</f>
        <v>298465.44</v>
      </c>
      <c r="I16" s="148">
        <f>'01 - Dados de Entrada'!$C$196*('04 - Veículos e Equipamentos'!H18+'04 - Veículos e Equipamentos'!H20)*12</f>
        <v>298465.44</v>
      </c>
      <c r="J16" s="148">
        <f>'01 - Dados de Entrada'!$C$196*('04 - Veículos e Equipamentos'!I18+'04 - Veículos e Equipamentos'!I20)*12</f>
        <v>341103.35999999999</v>
      </c>
      <c r="K16" s="148">
        <f>'01 - Dados de Entrada'!$C$196*('04 - Veículos e Equipamentos'!J18+'04 - Veículos e Equipamentos'!J20)*12</f>
        <v>341103.35999999999</v>
      </c>
      <c r="L16" s="148">
        <f>'01 - Dados de Entrada'!$C$196*('04 - Veículos e Equipamentos'!K18+'04 - Veículos e Equipamentos'!K20)*12</f>
        <v>341103.35999999999</v>
      </c>
      <c r="M16" s="148">
        <f>'01 - Dados de Entrada'!$C$196*('04 - Veículos e Equipamentos'!L18+'04 - Veículos e Equipamentos'!L20)*12</f>
        <v>341103.35999999999</v>
      </c>
      <c r="N16" s="148">
        <f>'01 - Dados de Entrada'!$C$196*('04 - Veículos e Equipamentos'!M18+'04 - Veículos e Equipamentos'!M20)*12</f>
        <v>341103.35999999999</v>
      </c>
      <c r="O16" s="148">
        <f>'01 - Dados de Entrada'!$C$196*('04 - Veículos e Equipamentos'!N18+'04 - Veículos e Equipamentos'!N20)*12</f>
        <v>341103.35999999999</v>
      </c>
      <c r="P16" s="148">
        <f>'01 - Dados de Entrada'!$C$196*('04 - Veículos e Equipamentos'!O18+'04 - Veículos e Equipamentos'!O20)*12</f>
        <v>341103.35999999999</v>
      </c>
      <c r="Q16" s="148">
        <f>'01 - Dados de Entrada'!$C$196*('04 - Veículos e Equipamentos'!P18+'04 - Veículos e Equipamentos'!P20)*12</f>
        <v>341103.35999999999</v>
      </c>
      <c r="R16" s="148">
        <f>'01 - Dados de Entrada'!$C$196*('04 - Veículos e Equipamentos'!Q18+'04 - Veículos e Equipamentos'!Q20)*12</f>
        <v>341103.35999999999</v>
      </c>
      <c r="S16" s="148">
        <f>'01 - Dados de Entrada'!$C$196*('04 - Veículos e Equipamentos'!R18+'04 - Veículos e Equipamentos'!R20)*12</f>
        <v>341103.35999999999</v>
      </c>
      <c r="T16" s="148">
        <f>'01 - Dados de Entrada'!$C$196*('04 - Veículos e Equipamentos'!S18+'04 - Veículos e Equipamentos'!S20)*12</f>
        <v>341103.35999999999</v>
      </c>
      <c r="U16" s="148">
        <f>'01 - Dados de Entrada'!$C$196*('04 - Veículos e Equipamentos'!T18+'04 - Veículos e Equipamentos'!T20)*12</f>
        <v>341103.35999999999</v>
      </c>
      <c r="V16" s="148">
        <f>'01 - Dados de Entrada'!$C$196*('04 - Veículos e Equipamentos'!U18+'04 - Veículos e Equipamentos'!U20)*12</f>
        <v>341103.35999999999</v>
      </c>
      <c r="W16" s="148">
        <f>'01 - Dados de Entrada'!$C$196*('04 - Veículos e Equipamentos'!V18+'04 - Veículos e Equipamentos'!V20)*12</f>
        <v>341103.35999999999</v>
      </c>
      <c r="X16" s="148">
        <f>'01 - Dados de Entrada'!$C$196*('04 - Veículos e Equipamentos'!W18+'04 - Veículos e Equipamentos'!W20)*12</f>
        <v>341103.35999999999</v>
      </c>
      <c r="Y16" s="148">
        <f>'01 - Dados de Entrada'!$C$196*('04 - Veículos e Equipamentos'!X18+'04 - Veículos e Equipamentos'!X20)*12</f>
        <v>341103.35999999999</v>
      </c>
      <c r="Z16" s="148">
        <f>'01 - Dados de Entrada'!$C$196*('04 - Veículos e Equipamentos'!Y18+'04 - Veículos e Equipamentos'!Y20)*12</f>
        <v>341103.35999999999</v>
      </c>
      <c r="AA16" s="148">
        <f>'01 - Dados de Entrada'!$C$196*('04 - Veículos e Equipamentos'!Z18+'04 - Veículos e Equipamentos'!Z20)*12</f>
        <v>341103.35999999999</v>
      </c>
      <c r="AB16" s="148">
        <f>'01 - Dados de Entrada'!$C$196*('04 - Veículos e Equipamentos'!AA18+'04 - Veículos e Equipamentos'!AA20)*12</f>
        <v>341103.35999999999</v>
      </c>
      <c r="AC16" s="148">
        <f>'01 - Dados de Entrada'!$C$196*('04 - Veículos e Equipamentos'!AB18+'04 - Veículos e Equipamentos'!AB20)*12</f>
        <v>341103.35999999999</v>
      </c>
      <c r="AD16" s="148">
        <f>'01 - Dados de Entrada'!$C$196*('04 - Veículos e Equipamentos'!AC18+'04 - Veículos e Equipamentos'!AC20)*12</f>
        <v>341103.35999999999</v>
      </c>
      <c r="AE16" s="148">
        <f>'01 - Dados de Entrada'!$C$196*('04 - Veículos e Equipamentos'!AD18+'04 - Veículos e Equipamentos'!AD20)*12</f>
        <v>341103.35999999999</v>
      </c>
      <c r="AF16" s="148">
        <f>'01 - Dados de Entrada'!$C$196*('04 - Veículos e Equipamentos'!AE18+'04 - Veículos e Equipamentos'!AE20)*12</f>
        <v>341103.35999999999</v>
      </c>
      <c r="AG16" s="148">
        <f>'01 - Dados de Entrada'!$C$196*('04 - Veículos e Equipamentos'!AF18+'04 - Veículos e Equipamentos'!AF20)*12</f>
        <v>341103.35999999999</v>
      </c>
      <c r="AH16" s="148">
        <f>'01 - Dados de Entrada'!$C$196*('04 - Veículos e Equipamentos'!AG18+'04 - Veículos e Equipamentos'!AG20)*12</f>
        <v>341103.35999999999</v>
      </c>
      <c r="AI16" s="148">
        <f>'01 - Dados de Entrada'!$C$196*('04 - Veículos e Equipamentos'!AH18+'04 - Veículos e Equipamentos'!AH20)*12</f>
        <v>341103.35999999999</v>
      </c>
      <c r="AJ16" s="148">
        <f>'01 - Dados de Entrada'!$C$196*('04 - Veículos e Equipamentos'!AI18+'04 - Veículos e Equipamentos'!AI20)*12</f>
        <v>341103.35999999999</v>
      </c>
      <c r="AK16" s="148">
        <f>'01 - Dados de Entrada'!$C$196*('04 - Veículos e Equipamentos'!AJ18+'04 - Veículos e Equipamentos'!AJ20)*12</f>
        <v>341103.35999999999</v>
      </c>
    </row>
    <row r="17" spans="1:37" s="152" customFormat="1" ht="13.15" customHeight="1" x14ac:dyDescent="0.2">
      <c r="A17" s="147" t="s">
        <v>937</v>
      </c>
      <c r="B17" s="272">
        <f t="shared" si="1"/>
        <v>5820076.0799999991</v>
      </c>
      <c r="C17" s="148">
        <f>C16/'01 - Dados de Entrada'!$C$227</f>
        <v>149232.72</v>
      </c>
      <c r="D17" s="148">
        <f>D16/'01 - Dados de Entrada'!$C$227</f>
        <v>149232.72</v>
      </c>
      <c r="E17" s="148">
        <f>E16/'01 - Dados de Entrada'!$C$227</f>
        <v>149232.72</v>
      </c>
      <c r="F17" s="148">
        <f>F16/'01 - Dados de Entrada'!$C$227</f>
        <v>149232.72</v>
      </c>
      <c r="G17" s="148">
        <f>G16/'01 - Dados de Entrada'!$C$227</f>
        <v>149232.72</v>
      </c>
      <c r="H17" s="148">
        <f>H16/'01 - Dados de Entrada'!$C$227</f>
        <v>149232.72</v>
      </c>
      <c r="I17" s="148">
        <f>I16/'01 - Dados de Entrada'!$C$227</f>
        <v>149232.72</v>
      </c>
      <c r="J17" s="148">
        <f>J16/'01 - Dados de Entrada'!$C$227</f>
        <v>170551.67999999999</v>
      </c>
      <c r="K17" s="148">
        <f>K16/'01 - Dados de Entrada'!$C$227</f>
        <v>170551.67999999999</v>
      </c>
      <c r="L17" s="148">
        <f>L16/'01 - Dados de Entrada'!$C$227</f>
        <v>170551.67999999999</v>
      </c>
      <c r="M17" s="148">
        <f>M16/'01 - Dados de Entrada'!$C$227</f>
        <v>170551.67999999999</v>
      </c>
      <c r="N17" s="148">
        <f>N16/'01 - Dados de Entrada'!$C$227</f>
        <v>170551.67999999999</v>
      </c>
      <c r="O17" s="148">
        <f>O16/'01 - Dados de Entrada'!$C$227</f>
        <v>170551.67999999999</v>
      </c>
      <c r="P17" s="148">
        <f>P16/'01 - Dados de Entrada'!$C$227</f>
        <v>170551.67999999999</v>
      </c>
      <c r="Q17" s="148">
        <f>Q16/'01 - Dados de Entrada'!$C$227</f>
        <v>170551.67999999999</v>
      </c>
      <c r="R17" s="148">
        <f>R16/'01 - Dados de Entrada'!$C$227</f>
        <v>170551.67999999999</v>
      </c>
      <c r="S17" s="148">
        <f>S16/'01 - Dados de Entrada'!$C$227</f>
        <v>170551.67999999999</v>
      </c>
      <c r="T17" s="148">
        <f>T16/'01 - Dados de Entrada'!$C$227</f>
        <v>170551.67999999999</v>
      </c>
      <c r="U17" s="148">
        <f>U16/'01 - Dados de Entrada'!$C$227</f>
        <v>170551.67999999999</v>
      </c>
      <c r="V17" s="148">
        <f>V16/'01 - Dados de Entrada'!$C$227</f>
        <v>170551.67999999999</v>
      </c>
      <c r="W17" s="148">
        <f>W16/'01 - Dados de Entrada'!$C$227</f>
        <v>170551.67999999999</v>
      </c>
      <c r="X17" s="148">
        <f>X16/'01 - Dados de Entrada'!$C$227</f>
        <v>170551.67999999999</v>
      </c>
      <c r="Y17" s="148">
        <f>Y16/'01 - Dados de Entrada'!$C$227</f>
        <v>170551.67999999999</v>
      </c>
      <c r="Z17" s="148">
        <f>Z16/'01 - Dados de Entrada'!$C$227</f>
        <v>170551.67999999999</v>
      </c>
      <c r="AA17" s="148">
        <f>AA16/'01 - Dados de Entrada'!$C$227</f>
        <v>170551.67999999999</v>
      </c>
      <c r="AB17" s="148">
        <f>AB16/'01 - Dados de Entrada'!$C$227</f>
        <v>170551.67999999999</v>
      </c>
      <c r="AC17" s="148">
        <f>AC16/'01 - Dados de Entrada'!$C$227</f>
        <v>170551.67999999999</v>
      </c>
      <c r="AD17" s="148">
        <f>AD16/'01 - Dados de Entrada'!$C$227</f>
        <v>170551.67999999999</v>
      </c>
      <c r="AE17" s="148">
        <f>AE16/'01 - Dados de Entrada'!$C$227</f>
        <v>170551.67999999999</v>
      </c>
      <c r="AF17" s="148">
        <f>AF16/'01 - Dados de Entrada'!$C$227</f>
        <v>170551.67999999999</v>
      </c>
      <c r="AG17" s="148">
        <f>AG16/'01 - Dados de Entrada'!$C$227</f>
        <v>170551.67999999999</v>
      </c>
      <c r="AH17" s="148">
        <f>AH16/'01 - Dados de Entrada'!$C$227</f>
        <v>170551.67999999999</v>
      </c>
      <c r="AI17" s="148">
        <f>AI16/'01 - Dados de Entrada'!$C$227</f>
        <v>170551.67999999999</v>
      </c>
      <c r="AJ17" s="148">
        <f>AJ16/'01 - Dados de Entrada'!$C$227</f>
        <v>170551.67999999999</v>
      </c>
      <c r="AK17" s="148">
        <f>AK16/'01 - Dados de Entrada'!$C$227</f>
        <v>170551.67999999999</v>
      </c>
    </row>
    <row r="18" spans="1:37" s="152" customFormat="1" ht="13.15" customHeight="1" x14ac:dyDescent="0.2">
      <c r="A18" s="147" t="s">
        <v>938</v>
      </c>
      <c r="B18" s="272">
        <f t="shared" si="1"/>
        <v>34222047.350400023</v>
      </c>
      <c r="C18" s="148">
        <f>C17*'01 - Dados de Entrada'!$C$116</f>
        <v>877488.39359999995</v>
      </c>
      <c r="D18" s="148">
        <f>D17*'01 - Dados de Entrada'!$C$116</f>
        <v>877488.39359999995</v>
      </c>
      <c r="E18" s="148">
        <f>E17*'01 - Dados de Entrada'!$C$116</f>
        <v>877488.39359999995</v>
      </c>
      <c r="F18" s="148">
        <f>F17*'01 - Dados de Entrada'!$C$116</f>
        <v>877488.39359999995</v>
      </c>
      <c r="G18" s="148">
        <f>G17*'01 - Dados de Entrada'!$C$116</f>
        <v>877488.39359999995</v>
      </c>
      <c r="H18" s="148">
        <f>H17*'01 - Dados de Entrada'!$C$116</f>
        <v>877488.39359999995</v>
      </c>
      <c r="I18" s="148">
        <f>I17*'01 - Dados de Entrada'!$C$116</f>
        <v>877488.39359999995</v>
      </c>
      <c r="J18" s="148">
        <f>J17*'01 - Dados de Entrada'!$C$116</f>
        <v>1002843.8783999999</v>
      </c>
      <c r="K18" s="148">
        <f>K17*'01 - Dados de Entrada'!$C$116</f>
        <v>1002843.8783999999</v>
      </c>
      <c r="L18" s="148">
        <f>L17*'01 - Dados de Entrada'!$C$116</f>
        <v>1002843.8783999999</v>
      </c>
      <c r="M18" s="148">
        <f>M17*'01 - Dados de Entrada'!$C$116</f>
        <v>1002843.8783999999</v>
      </c>
      <c r="N18" s="148">
        <f>N17*'01 - Dados de Entrada'!$C$116</f>
        <v>1002843.8783999999</v>
      </c>
      <c r="O18" s="148">
        <f>O17*'01 - Dados de Entrada'!$C$116</f>
        <v>1002843.8783999999</v>
      </c>
      <c r="P18" s="148">
        <f>P17*'01 - Dados de Entrada'!$C$116</f>
        <v>1002843.8783999999</v>
      </c>
      <c r="Q18" s="148">
        <f>Q17*'01 - Dados de Entrada'!$C$116</f>
        <v>1002843.8783999999</v>
      </c>
      <c r="R18" s="148">
        <f>R17*'01 - Dados de Entrada'!$C$116</f>
        <v>1002843.8783999999</v>
      </c>
      <c r="S18" s="148">
        <f>S17*'01 - Dados de Entrada'!$C$116</f>
        <v>1002843.8783999999</v>
      </c>
      <c r="T18" s="148">
        <f>T17*'01 - Dados de Entrada'!$C$116</f>
        <v>1002843.8783999999</v>
      </c>
      <c r="U18" s="148">
        <f>U17*'01 - Dados de Entrada'!$C$116</f>
        <v>1002843.8783999999</v>
      </c>
      <c r="V18" s="148">
        <f>V17*'01 - Dados de Entrada'!$C$116</f>
        <v>1002843.8783999999</v>
      </c>
      <c r="W18" s="148">
        <f>W17*'01 - Dados de Entrada'!$C$116</f>
        <v>1002843.8783999999</v>
      </c>
      <c r="X18" s="148">
        <f>X17*'01 - Dados de Entrada'!$C$116</f>
        <v>1002843.8783999999</v>
      </c>
      <c r="Y18" s="148">
        <f>Y17*'01 - Dados de Entrada'!$C$116</f>
        <v>1002843.8783999999</v>
      </c>
      <c r="Z18" s="148">
        <f>Z17*'01 - Dados de Entrada'!$C$116</f>
        <v>1002843.8783999999</v>
      </c>
      <c r="AA18" s="148">
        <f>AA17*'01 - Dados de Entrada'!$C$116</f>
        <v>1002843.8783999999</v>
      </c>
      <c r="AB18" s="148">
        <f>AB17*'01 - Dados de Entrada'!$C$116</f>
        <v>1002843.8783999999</v>
      </c>
      <c r="AC18" s="148">
        <f>AC17*'01 - Dados de Entrada'!$C$116</f>
        <v>1002843.8783999999</v>
      </c>
      <c r="AD18" s="148">
        <f>AD17*'01 - Dados de Entrada'!$C$116</f>
        <v>1002843.8783999999</v>
      </c>
      <c r="AE18" s="148">
        <f>AE17*'01 - Dados de Entrada'!$C$116</f>
        <v>1002843.8783999999</v>
      </c>
      <c r="AF18" s="148">
        <f>AF17*'01 - Dados de Entrada'!$C$116</f>
        <v>1002843.8783999999</v>
      </c>
      <c r="AG18" s="148">
        <f>AG17*'01 - Dados de Entrada'!$C$116</f>
        <v>1002843.8783999999</v>
      </c>
      <c r="AH18" s="148">
        <f>AH17*'01 - Dados de Entrada'!$C$116</f>
        <v>1002843.8783999999</v>
      </c>
      <c r="AI18" s="148">
        <f>AI17*'01 - Dados de Entrada'!$C$116</f>
        <v>1002843.8783999999</v>
      </c>
      <c r="AJ18" s="148">
        <f>AJ17*'01 - Dados de Entrada'!$C$116</f>
        <v>1002843.8783999999</v>
      </c>
      <c r="AK18" s="148">
        <f>AK17*'01 - Dados de Entrada'!$C$116</f>
        <v>1002843.8783999999</v>
      </c>
    </row>
    <row r="19" spans="1:37" s="152" customFormat="1" ht="13.15" customHeight="1" x14ac:dyDescent="0.2">
      <c r="A19" s="271" t="s">
        <v>941</v>
      </c>
      <c r="B19" s="272">
        <f t="shared" si="1"/>
        <v>0</v>
      </c>
      <c r="C19" s="274"/>
      <c r="D19" s="274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  <c r="Z19" s="274"/>
      <c r="AA19" s="274"/>
      <c r="AB19" s="274"/>
      <c r="AC19" s="274"/>
      <c r="AD19" s="274"/>
      <c r="AE19" s="274"/>
      <c r="AF19" s="274"/>
      <c r="AG19" s="274"/>
      <c r="AH19" s="274"/>
      <c r="AI19" s="274"/>
      <c r="AJ19" s="274"/>
      <c r="AK19" s="274"/>
    </row>
    <row r="20" spans="1:37" s="152" customFormat="1" ht="13.15" customHeight="1" x14ac:dyDescent="0.2">
      <c r="A20" s="147" t="s">
        <v>936</v>
      </c>
      <c r="B20" s="272">
        <f t="shared" si="1"/>
        <v>1680000</v>
      </c>
      <c r="C20" s="148">
        <f>'01 - Dados de Entrada'!$C$200*('04 - Veículos e Equipamentos'!B15+'04 - Veículos e Equipamentos'!B22+'04 - Veículos e Equipamentos'!B25)*12</f>
        <v>48000</v>
      </c>
      <c r="D20" s="148">
        <f>'01 - Dados de Entrada'!$C$200*('04 - Veículos e Equipamentos'!C15+'04 - Veículos e Equipamentos'!C22+'04 - Veículos e Equipamentos'!C25)*12</f>
        <v>48000</v>
      </c>
      <c r="E20" s="148">
        <f>'01 - Dados de Entrada'!$C$200*('04 - Veículos e Equipamentos'!D15+'04 - Veículos e Equipamentos'!D22+'04 - Veículos e Equipamentos'!D25)*12</f>
        <v>48000</v>
      </c>
      <c r="F20" s="148">
        <f>'01 - Dados de Entrada'!$C$200*('04 - Veículos e Equipamentos'!E15+'04 - Veículos e Equipamentos'!E22+'04 - Veículos e Equipamentos'!E25)*12</f>
        <v>48000</v>
      </c>
      <c r="G20" s="148">
        <f>'01 - Dados de Entrada'!$C$200*('04 - Veículos e Equipamentos'!F15+'04 - Veículos e Equipamentos'!F22+'04 - Veículos e Equipamentos'!F25)*12</f>
        <v>48000</v>
      </c>
      <c r="H20" s="148">
        <f>'01 - Dados de Entrada'!$C$200*('04 - Veículos e Equipamentos'!G15+'04 - Veículos e Equipamentos'!G22+'04 - Veículos e Equipamentos'!G25)*12</f>
        <v>48000</v>
      </c>
      <c r="I20" s="148">
        <f>'01 - Dados de Entrada'!$C$200*('04 - Veículos e Equipamentos'!H15+'04 - Veículos e Equipamentos'!H22+'04 - Veículos e Equipamentos'!H25)*12</f>
        <v>48000</v>
      </c>
      <c r="J20" s="148">
        <f>'01 - Dados de Entrada'!$C$200*('04 - Veículos e Equipamentos'!I15+'04 - Veículos e Equipamentos'!I22+'04 - Veículos e Equipamentos'!I25)*12</f>
        <v>48000</v>
      </c>
      <c r="K20" s="148">
        <f>'01 - Dados de Entrada'!$C$200*('04 - Veículos e Equipamentos'!J15+'04 - Veículos e Equipamentos'!J22+'04 - Veículos e Equipamentos'!J25)*12</f>
        <v>48000</v>
      </c>
      <c r="L20" s="148">
        <f>'01 - Dados de Entrada'!$C$200*('04 - Veículos e Equipamentos'!K15+'04 - Veículos e Equipamentos'!K22+'04 - Veículos e Equipamentos'!K25)*12</f>
        <v>48000</v>
      </c>
      <c r="M20" s="148">
        <f>'01 - Dados de Entrada'!$C$200*('04 - Veículos e Equipamentos'!L15+'04 - Veículos e Equipamentos'!L22+'04 - Veículos e Equipamentos'!L25)*12</f>
        <v>48000</v>
      </c>
      <c r="N20" s="148">
        <f>'01 - Dados de Entrada'!$C$200*('04 - Veículos e Equipamentos'!M15+'04 - Veículos e Equipamentos'!M22+'04 - Veículos e Equipamentos'!M25)*12</f>
        <v>48000</v>
      </c>
      <c r="O20" s="148">
        <f>'01 - Dados de Entrada'!$C$200*('04 - Veículos e Equipamentos'!N15+'04 - Veículos e Equipamentos'!N22+'04 - Veículos e Equipamentos'!N25)*12</f>
        <v>48000</v>
      </c>
      <c r="P20" s="148">
        <f>'01 - Dados de Entrada'!$C$200*('04 - Veículos e Equipamentos'!O15+'04 - Veículos e Equipamentos'!O22+'04 - Veículos e Equipamentos'!O25)*12</f>
        <v>48000</v>
      </c>
      <c r="Q20" s="148">
        <f>'01 - Dados de Entrada'!$C$200*('04 - Veículos e Equipamentos'!P15+'04 - Veículos e Equipamentos'!P22+'04 - Veículos e Equipamentos'!P25)*12</f>
        <v>48000</v>
      </c>
      <c r="R20" s="148">
        <f>'01 - Dados de Entrada'!$C$200*('04 - Veículos e Equipamentos'!Q15+'04 - Veículos e Equipamentos'!Q22+'04 - Veículos e Equipamentos'!Q25)*12</f>
        <v>48000</v>
      </c>
      <c r="S20" s="148">
        <f>'01 - Dados de Entrada'!$C$200*('04 - Veículos e Equipamentos'!R15+'04 - Veículos e Equipamentos'!R22+'04 - Veículos e Equipamentos'!R25)*12</f>
        <v>48000</v>
      </c>
      <c r="T20" s="148">
        <f>'01 - Dados de Entrada'!$C$200*('04 - Veículos e Equipamentos'!S15+'04 - Veículos e Equipamentos'!S22+'04 - Veículos e Equipamentos'!S25)*12</f>
        <v>48000</v>
      </c>
      <c r="U20" s="148">
        <f>'01 - Dados de Entrada'!$C$200*('04 - Veículos e Equipamentos'!T15+'04 - Veículos e Equipamentos'!T22+'04 - Veículos e Equipamentos'!T25)*12</f>
        <v>48000</v>
      </c>
      <c r="V20" s="148">
        <f>'01 - Dados de Entrada'!$C$200*('04 - Veículos e Equipamentos'!U15+'04 - Veículos e Equipamentos'!U22+'04 - Veículos e Equipamentos'!U25)*12</f>
        <v>48000</v>
      </c>
      <c r="W20" s="148">
        <f>'01 - Dados de Entrada'!$C$200*('04 - Veículos e Equipamentos'!V15+'04 - Veículos e Equipamentos'!V22+'04 - Veículos e Equipamentos'!V25)*12</f>
        <v>48000</v>
      </c>
      <c r="X20" s="148">
        <f>'01 - Dados de Entrada'!$C$200*('04 - Veículos e Equipamentos'!W15+'04 - Veículos e Equipamentos'!W22+'04 - Veículos e Equipamentos'!W25)*12</f>
        <v>48000</v>
      </c>
      <c r="Y20" s="148">
        <f>'01 - Dados de Entrada'!$C$200*('04 - Veículos e Equipamentos'!X15+'04 - Veículos e Equipamentos'!X22+'04 - Veículos e Equipamentos'!X25)*12</f>
        <v>48000</v>
      </c>
      <c r="Z20" s="148">
        <f>'01 - Dados de Entrada'!$C$200*('04 - Veículos e Equipamentos'!Y15+'04 - Veículos e Equipamentos'!Y22+'04 - Veículos e Equipamentos'!Y25)*12</f>
        <v>48000</v>
      </c>
      <c r="AA20" s="148">
        <f>'01 - Dados de Entrada'!$C$200*('04 - Veículos e Equipamentos'!Z15+'04 - Veículos e Equipamentos'!Z22+'04 - Veículos e Equipamentos'!Z25)*12</f>
        <v>48000</v>
      </c>
      <c r="AB20" s="148">
        <f>'01 - Dados de Entrada'!$C$200*('04 - Veículos e Equipamentos'!AA15+'04 - Veículos e Equipamentos'!AA22+'04 - Veículos e Equipamentos'!AA25)*12</f>
        <v>48000</v>
      </c>
      <c r="AC20" s="148">
        <f>'01 - Dados de Entrada'!$C$200*('04 - Veículos e Equipamentos'!AB15+'04 - Veículos e Equipamentos'!AB22+'04 - Veículos e Equipamentos'!AB25)*12</f>
        <v>48000</v>
      </c>
      <c r="AD20" s="148">
        <f>'01 - Dados de Entrada'!$C$200*('04 - Veículos e Equipamentos'!AC15+'04 - Veículos e Equipamentos'!AC22+'04 - Veículos e Equipamentos'!AC25)*12</f>
        <v>48000</v>
      </c>
      <c r="AE20" s="148">
        <f>'01 - Dados de Entrada'!$C$200*('04 - Veículos e Equipamentos'!AD15+'04 - Veículos e Equipamentos'!AD22+'04 - Veículos e Equipamentos'!AD25)*12</f>
        <v>48000</v>
      </c>
      <c r="AF20" s="148">
        <f>'01 - Dados de Entrada'!$C$200*('04 - Veículos e Equipamentos'!AE15+'04 - Veículos e Equipamentos'!AE22+'04 - Veículos e Equipamentos'!AE25)*12</f>
        <v>48000</v>
      </c>
      <c r="AG20" s="148">
        <f>'01 - Dados de Entrada'!$C$200*('04 - Veículos e Equipamentos'!AF15+'04 - Veículos e Equipamentos'!AF22+'04 - Veículos e Equipamentos'!AF25)*12</f>
        <v>48000</v>
      </c>
      <c r="AH20" s="148">
        <f>'01 - Dados de Entrada'!$C$200*('04 - Veículos e Equipamentos'!AG15+'04 - Veículos e Equipamentos'!AG22+'04 - Veículos e Equipamentos'!AG25)*12</f>
        <v>48000</v>
      </c>
      <c r="AI20" s="148">
        <f>'01 - Dados de Entrada'!$C$200*('04 - Veículos e Equipamentos'!AH15+'04 - Veículos e Equipamentos'!AH22+'04 - Veículos e Equipamentos'!AH25)*12</f>
        <v>48000</v>
      </c>
      <c r="AJ20" s="148">
        <f>'01 - Dados de Entrada'!$C$200*('04 - Veículos e Equipamentos'!AI15+'04 - Veículos e Equipamentos'!AI22+'04 - Veículos e Equipamentos'!AI25)*12</f>
        <v>48000</v>
      </c>
      <c r="AK20" s="148">
        <f>'01 - Dados de Entrada'!$C$200*('04 - Veículos e Equipamentos'!AJ15+'04 - Veículos e Equipamentos'!AJ22+'04 - Veículos e Equipamentos'!AJ25)*12</f>
        <v>48000</v>
      </c>
    </row>
    <row r="21" spans="1:37" s="152" customFormat="1" ht="13.15" customHeight="1" x14ac:dyDescent="0.2">
      <c r="A21" s="147" t="s">
        <v>937</v>
      </c>
      <c r="B21" s="272">
        <f t="shared" si="1"/>
        <v>182608.69565217401</v>
      </c>
      <c r="C21" s="148">
        <f>C20/'01 - Dados de Entrada'!$C$239</f>
        <v>5217.3913043478269</v>
      </c>
      <c r="D21" s="148">
        <f>D20/'01 - Dados de Entrada'!$C$239</f>
        <v>5217.3913043478269</v>
      </c>
      <c r="E21" s="148">
        <f>E20/'01 - Dados de Entrada'!$C$239</f>
        <v>5217.3913043478269</v>
      </c>
      <c r="F21" s="148">
        <f>F20/'01 - Dados de Entrada'!$C$239</f>
        <v>5217.3913043478269</v>
      </c>
      <c r="G21" s="148">
        <f>G20/'01 - Dados de Entrada'!$C$239</f>
        <v>5217.3913043478269</v>
      </c>
      <c r="H21" s="148">
        <f>H20/'01 - Dados de Entrada'!$C$239</f>
        <v>5217.3913043478269</v>
      </c>
      <c r="I21" s="148">
        <f>I20/'01 - Dados de Entrada'!$C$239</f>
        <v>5217.3913043478269</v>
      </c>
      <c r="J21" s="148">
        <f>J20/'01 - Dados de Entrada'!$C$239</f>
        <v>5217.3913043478269</v>
      </c>
      <c r="K21" s="148">
        <f>K20/'01 - Dados de Entrada'!$C$239</f>
        <v>5217.3913043478269</v>
      </c>
      <c r="L21" s="148">
        <f>L20/'01 - Dados de Entrada'!$C$239</f>
        <v>5217.3913043478269</v>
      </c>
      <c r="M21" s="148">
        <f>M20/'01 - Dados de Entrada'!$C$239</f>
        <v>5217.3913043478269</v>
      </c>
      <c r="N21" s="148">
        <f>N20/'01 - Dados de Entrada'!$C$239</f>
        <v>5217.3913043478269</v>
      </c>
      <c r="O21" s="148">
        <f>O20/'01 - Dados de Entrada'!$C$239</f>
        <v>5217.3913043478269</v>
      </c>
      <c r="P21" s="148">
        <f>P20/'01 - Dados de Entrada'!$C$239</f>
        <v>5217.3913043478269</v>
      </c>
      <c r="Q21" s="148">
        <f>Q20/'01 - Dados de Entrada'!$C$239</f>
        <v>5217.3913043478269</v>
      </c>
      <c r="R21" s="148">
        <f>R20/'01 - Dados de Entrada'!$C$239</f>
        <v>5217.3913043478269</v>
      </c>
      <c r="S21" s="148">
        <f>S20/'01 - Dados de Entrada'!$C$239</f>
        <v>5217.3913043478269</v>
      </c>
      <c r="T21" s="148">
        <f>T20/'01 - Dados de Entrada'!$C$239</f>
        <v>5217.3913043478269</v>
      </c>
      <c r="U21" s="148">
        <f>U20/'01 - Dados de Entrada'!$C$239</f>
        <v>5217.3913043478269</v>
      </c>
      <c r="V21" s="148">
        <f>V20/'01 - Dados de Entrada'!$C$239</f>
        <v>5217.3913043478269</v>
      </c>
      <c r="W21" s="148">
        <f>W20/'01 - Dados de Entrada'!$C$239</f>
        <v>5217.3913043478269</v>
      </c>
      <c r="X21" s="148">
        <f>X20/'01 - Dados de Entrada'!$C$239</f>
        <v>5217.3913043478269</v>
      </c>
      <c r="Y21" s="148">
        <f>Y20/'01 - Dados de Entrada'!$C$239</f>
        <v>5217.3913043478269</v>
      </c>
      <c r="Z21" s="148">
        <f>Z20/'01 - Dados de Entrada'!$C$239</f>
        <v>5217.3913043478269</v>
      </c>
      <c r="AA21" s="148">
        <f>AA20/'01 - Dados de Entrada'!$C$239</f>
        <v>5217.3913043478269</v>
      </c>
      <c r="AB21" s="148">
        <f>AB20/'01 - Dados de Entrada'!$C$239</f>
        <v>5217.3913043478269</v>
      </c>
      <c r="AC21" s="148">
        <f>AC20/'01 - Dados de Entrada'!$C$239</f>
        <v>5217.3913043478269</v>
      </c>
      <c r="AD21" s="148">
        <f>AD20/'01 - Dados de Entrada'!$C$239</f>
        <v>5217.3913043478269</v>
      </c>
      <c r="AE21" s="148">
        <f>AE20/'01 - Dados de Entrada'!$C$239</f>
        <v>5217.3913043478269</v>
      </c>
      <c r="AF21" s="148">
        <f>AF20/'01 - Dados de Entrada'!$C$239</f>
        <v>5217.3913043478269</v>
      </c>
      <c r="AG21" s="148">
        <f>AG20/'01 - Dados de Entrada'!$C$239</f>
        <v>5217.3913043478269</v>
      </c>
      <c r="AH21" s="148">
        <f>AH20/'01 - Dados de Entrada'!$C$239</f>
        <v>5217.3913043478269</v>
      </c>
      <c r="AI21" s="148">
        <f>AI20/'01 - Dados de Entrada'!$C$239</f>
        <v>5217.3913043478269</v>
      </c>
      <c r="AJ21" s="148">
        <f>AJ20/'01 - Dados de Entrada'!$C$239</f>
        <v>5217.3913043478269</v>
      </c>
      <c r="AK21" s="148">
        <f>AK20/'01 - Dados de Entrada'!$C$239</f>
        <v>5217.3913043478269</v>
      </c>
    </row>
    <row r="22" spans="1:37" s="152" customFormat="1" ht="13.15" customHeight="1" x14ac:dyDescent="0.2">
      <c r="A22" s="147" t="s">
        <v>938</v>
      </c>
      <c r="B22" s="272">
        <f t="shared" si="1"/>
        <v>1097478.2608695661</v>
      </c>
      <c r="C22" s="148">
        <f>C21*'01 - Dados de Entrada'!$C$117</f>
        <v>31356.52173913044</v>
      </c>
      <c r="D22" s="148">
        <f>D21*'01 - Dados de Entrada'!$C$117</f>
        <v>31356.52173913044</v>
      </c>
      <c r="E22" s="148">
        <f>E21*'01 - Dados de Entrada'!$C$117</f>
        <v>31356.52173913044</v>
      </c>
      <c r="F22" s="148">
        <f>F21*'01 - Dados de Entrada'!$C$117</f>
        <v>31356.52173913044</v>
      </c>
      <c r="G22" s="148">
        <f>G21*'01 - Dados de Entrada'!$C$117</f>
        <v>31356.52173913044</v>
      </c>
      <c r="H22" s="148">
        <f>H21*'01 - Dados de Entrada'!$C$117</f>
        <v>31356.52173913044</v>
      </c>
      <c r="I22" s="148">
        <f>I21*'01 - Dados de Entrada'!$C$117</f>
        <v>31356.52173913044</v>
      </c>
      <c r="J22" s="148">
        <f>J21*'01 - Dados de Entrada'!$C$117</f>
        <v>31356.52173913044</v>
      </c>
      <c r="K22" s="148">
        <f>K21*'01 - Dados de Entrada'!$C$117</f>
        <v>31356.52173913044</v>
      </c>
      <c r="L22" s="148">
        <f>L21*'01 - Dados de Entrada'!$C$117</f>
        <v>31356.52173913044</v>
      </c>
      <c r="M22" s="148">
        <f>M21*'01 - Dados de Entrada'!$C$117</f>
        <v>31356.52173913044</v>
      </c>
      <c r="N22" s="148">
        <f>N21*'01 - Dados de Entrada'!$C$117</f>
        <v>31356.52173913044</v>
      </c>
      <c r="O22" s="148">
        <f>O21*'01 - Dados de Entrada'!$C$117</f>
        <v>31356.52173913044</v>
      </c>
      <c r="P22" s="148">
        <f>P21*'01 - Dados de Entrada'!$C$117</f>
        <v>31356.52173913044</v>
      </c>
      <c r="Q22" s="148">
        <f>Q21*'01 - Dados de Entrada'!$C$117</f>
        <v>31356.52173913044</v>
      </c>
      <c r="R22" s="148">
        <f>R21*'01 - Dados de Entrada'!$C$117</f>
        <v>31356.52173913044</v>
      </c>
      <c r="S22" s="148">
        <f>S21*'01 - Dados de Entrada'!$C$117</f>
        <v>31356.52173913044</v>
      </c>
      <c r="T22" s="148">
        <f>T21*'01 - Dados de Entrada'!$C$117</f>
        <v>31356.52173913044</v>
      </c>
      <c r="U22" s="148">
        <f>U21*'01 - Dados de Entrada'!$C$117</f>
        <v>31356.52173913044</v>
      </c>
      <c r="V22" s="148">
        <f>V21*'01 - Dados de Entrada'!$C$117</f>
        <v>31356.52173913044</v>
      </c>
      <c r="W22" s="148">
        <f>W21*'01 - Dados de Entrada'!$C$117</f>
        <v>31356.52173913044</v>
      </c>
      <c r="X22" s="148">
        <f>X21*'01 - Dados de Entrada'!$C$117</f>
        <v>31356.52173913044</v>
      </c>
      <c r="Y22" s="148">
        <f>Y21*'01 - Dados de Entrada'!$C$117</f>
        <v>31356.52173913044</v>
      </c>
      <c r="Z22" s="148">
        <f>Z21*'01 - Dados de Entrada'!$C$117</f>
        <v>31356.52173913044</v>
      </c>
      <c r="AA22" s="148">
        <f>AA21*'01 - Dados de Entrada'!$C$117</f>
        <v>31356.52173913044</v>
      </c>
      <c r="AB22" s="148">
        <f>AB21*'01 - Dados de Entrada'!$C$117</f>
        <v>31356.52173913044</v>
      </c>
      <c r="AC22" s="148">
        <f>AC21*'01 - Dados de Entrada'!$C$117</f>
        <v>31356.52173913044</v>
      </c>
      <c r="AD22" s="148">
        <f>AD21*'01 - Dados de Entrada'!$C$117</f>
        <v>31356.52173913044</v>
      </c>
      <c r="AE22" s="148">
        <f>AE21*'01 - Dados de Entrada'!$C$117</f>
        <v>31356.52173913044</v>
      </c>
      <c r="AF22" s="148">
        <f>AF21*'01 - Dados de Entrada'!$C$117</f>
        <v>31356.52173913044</v>
      </c>
      <c r="AG22" s="148">
        <f>AG21*'01 - Dados de Entrada'!$C$117</f>
        <v>31356.52173913044</v>
      </c>
      <c r="AH22" s="148">
        <f>AH21*'01 - Dados de Entrada'!$C$117</f>
        <v>31356.52173913044</v>
      </c>
      <c r="AI22" s="148">
        <f>AI21*'01 - Dados de Entrada'!$C$117</f>
        <v>31356.52173913044</v>
      </c>
      <c r="AJ22" s="148">
        <f>AJ21*'01 - Dados de Entrada'!$C$117</f>
        <v>31356.52173913044</v>
      </c>
      <c r="AK22" s="148">
        <f>AK21*'01 - Dados de Entrada'!$C$117</f>
        <v>31356.52173913044</v>
      </c>
    </row>
    <row r="23" spans="1:37" s="152" customFormat="1" ht="13.15" customHeight="1" x14ac:dyDescent="0.2">
      <c r="A23" s="271" t="s">
        <v>942</v>
      </c>
      <c r="B23" s="272">
        <f>SUM(C23:AK23)</f>
        <v>0</v>
      </c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</row>
    <row r="24" spans="1:37" s="152" customFormat="1" ht="13.15" customHeight="1" x14ac:dyDescent="0.2">
      <c r="A24" s="147" t="s">
        <v>936</v>
      </c>
      <c r="B24" s="272">
        <f t="shared" si="1"/>
        <v>4200000</v>
      </c>
      <c r="C24" s="148">
        <f>'01 - Dados de Entrada'!$C$199*('04 - Veículos e Equipamentos'!B27+'04 - Veículos e Equipamentos'!B29+'04 - Veículos e Equipamentos'!B31)*12</f>
        <v>120000</v>
      </c>
      <c r="D24" s="148">
        <f>'01 - Dados de Entrada'!$C$199*('04 - Veículos e Equipamentos'!C27+'04 - Veículos e Equipamentos'!C29+'04 - Veículos e Equipamentos'!C31)*12</f>
        <v>120000</v>
      </c>
      <c r="E24" s="148">
        <f>'01 - Dados de Entrada'!$C$199*('04 - Veículos e Equipamentos'!D27+'04 - Veículos e Equipamentos'!D29+'04 - Veículos e Equipamentos'!D31)*12</f>
        <v>120000</v>
      </c>
      <c r="F24" s="148">
        <f>'01 - Dados de Entrada'!$C$199*('04 - Veículos e Equipamentos'!E27+'04 - Veículos e Equipamentos'!E29+'04 - Veículos e Equipamentos'!E31)*12</f>
        <v>120000</v>
      </c>
      <c r="G24" s="148">
        <f>'01 - Dados de Entrada'!$C$199*('04 - Veículos e Equipamentos'!F27+'04 - Veículos e Equipamentos'!F29+'04 - Veículos e Equipamentos'!F31)*12</f>
        <v>120000</v>
      </c>
      <c r="H24" s="148">
        <f>'01 - Dados de Entrada'!$C$199*('04 - Veículos e Equipamentos'!G27+'04 - Veículos e Equipamentos'!G29+'04 - Veículos e Equipamentos'!G31)*12</f>
        <v>120000</v>
      </c>
      <c r="I24" s="148">
        <f>'01 - Dados de Entrada'!$C$199*('04 - Veículos e Equipamentos'!H27+'04 - Veículos e Equipamentos'!H29+'04 - Veículos e Equipamentos'!H31)*12</f>
        <v>120000</v>
      </c>
      <c r="J24" s="148">
        <f>'01 - Dados de Entrada'!$C$199*('04 - Veículos e Equipamentos'!I27+'04 - Veículos e Equipamentos'!I29+'04 - Veículos e Equipamentos'!I31)*12</f>
        <v>120000</v>
      </c>
      <c r="K24" s="148">
        <f>'01 - Dados de Entrada'!$C$199*('04 - Veículos e Equipamentos'!J27+'04 - Veículos e Equipamentos'!J29+'04 - Veículos e Equipamentos'!J31)*12</f>
        <v>120000</v>
      </c>
      <c r="L24" s="148">
        <f>'01 - Dados de Entrada'!$C$199*('04 - Veículos e Equipamentos'!K27+'04 - Veículos e Equipamentos'!K29+'04 - Veículos e Equipamentos'!K31)*12</f>
        <v>120000</v>
      </c>
      <c r="M24" s="148">
        <f>'01 - Dados de Entrada'!$C$199*('04 - Veículos e Equipamentos'!L27+'04 - Veículos e Equipamentos'!L29+'04 - Veículos e Equipamentos'!L31)*12</f>
        <v>120000</v>
      </c>
      <c r="N24" s="148">
        <f>'01 - Dados de Entrada'!$C$199*('04 - Veículos e Equipamentos'!M27+'04 - Veículos e Equipamentos'!M29+'04 - Veículos e Equipamentos'!M31)*12</f>
        <v>120000</v>
      </c>
      <c r="O24" s="148">
        <f>'01 - Dados de Entrada'!$C$199*('04 - Veículos e Equipamentos'!N27+'04 - Veículos e Equipamentos'!N29+'04 - Veículos e Equipamentos'!N31)*12</f>
        <v>120000</v>
      </c>
      <c r="P24" s="148">
        <f>'01 - Dados de Entrada'!$C$199*('04 - Veículos e Equipamentos'!O27+'04 - Veículos e Equipamentos'!O29+'04 - Veículos e Equipamentos'!O31)*12</f>
        <v>120000</v>
      </c>
      <c r="Q24" s="148">
        <f>'01 - Dados de Entrada'!$C$199*('04 - Veículos e Equipamentos'!P27+'04 - Veículos e Equipamentos'!P29+'04 - Veículos e Equipamentos'!P31)*12</f>
        <v>120000</v>
      </c>
      <c r="R24" s="148">
        <f>'01 - Dados de Entrada'!$C$199*('04 - Veículos e Equipamentos'!Q27+'04 - Veículos e Equipamentos'!Q29+'04 - Veículos e Equipamentos'!Q31)*12</f>
        <v>120000</v>
      </c>
      <c r="S24" s="148">
        <f>'01 - Dados de Entrada'!$C$199*('04 - Veículos e Equipamentos'!R27+'04 - Veículos e Equipamentos'!R29+'04 - Veículos e Equipamentos'!R31)*12</f>
        <v>120000</v>
      </c>
      <c r="T24" s="148">
        <f>'01 - Dados de Entrada'!$C$199*('04 - Veículos e Equipamentos'!S27+'04 - Veículos e Equipamentos'!S29+'04 - Veículos e Equipamentos'!S31)*12</f>
        <v>120000</v>
      </c>
      <c r="U24" s="148">
        <f>'01 - Dados de Entrada'!$C$199*('04 - Veículos e Equipamentos'!T27+'04 - Veículos e Equipamentos'!T29+'04 - Veículos e Equipamentos'!T31)*12</f>
        <v>120000</v>
      </c>
      <c r="V24" s="148">
        <f>'01 - Dados de Entrada'!$C$199*('04 - Veículos e Equipamentos'!U27+'04 - Veículos e Equipamentos'!U29+'04 - Veículos e Equipamentos'!U31)*12</f>
        <v>120000</v>
      </c>
      <c r="W24" s="148">
        <f>'01 - Dados de Entrada'!$C$199*('04 - Veículos e Equipamentos'!V27+'04 - Veículos e Equipamentos'!V29+'04 - Veículos e Equipamentos'!V31)*12</f>
        <v>120000</v>
      </c>
      <c r="X24" s="148">
        <f>'01 - Dados de Entrada'!$C$199*('04 - Veículos e Equipamentos'!W27+'04 - Veículos e Equipamentos'!W29+'04 - Veículos e Equipamentos'!W31)*12</f>
        <v>120000</v>
      </c>
      <c r="Y24" s="148">
        <f>'01 - Dados de Entrada'!$C$199*('04 - Veículos e Equipamentos'!X27+'04 - Veículos e Equipamentos'!X29+'04 - Veículos e Equipamentos'!X31)*12</f>
        <v>120000</v>
      </c>
      <c r="Z24" s="148">
        <f>'01 - Dados de Entrada'!$C$199*('04 - Veículos e Equipamentos'!Y27+'04 - Veículos e Equipamentos'!Y29+'04 - Veículos e Equipamentos'!Y31)*12</f>
        <v>120000</v>
      </c>
      <c r="AA24" s="148">
        <f>'01 - Dados de Entrada'!$C$199*('04 - Veículos e Equipamentos'!Z27+'04 - Veículos e Equipamentos'!Z29+'04 - Veículos e Equipamentos'!Z31)*12</f>
        <v>120000</v>
      </c>
      <c r="AB24" s="148">
        <f>'01 - Dados de Entrada'!$C$199*('04 - Veículos e Equipamentos'!AA27+'04 - Veículos e Equipamentos'!AA29+'04 - Veículos e Equipamentos'!AA31)*12</f>
        <v>120000</v>
      </c>
      <c r="AC24" s="148">
        <f>'01 - Dados de Entrada'!$C$199*('04 - Veículos e Equipamentos'!AB27+'04 - Veículos e Equipamentos'!AB29+'04 - Veículos e Equipamentos'!AB31)*12</f>
        <v>120000</v>
      </c>
      <c r="AD24" s="148">
        <f>'01 - Dados de Entrada'!$C$199*('04 - Veículos e Equipamentos'!AC27+'04 - Veículos e Equipamentos'!AC29+'04 - Veículos e Equipamentos'!AC31)*12</f>
        <v>120000</v>
      </c>
      <c r="AE24" s="148">
        <f>'01 - Dados de Entrada'!$C$199*('04 - Veículos e Equipamentos'!AD27+'04 - Veículos e Equipamentos'!AD29+'04 - Veículos e Equipamentos'!AD31)*12</f>
        <v>120000</v>
      </c>
      <c r="AF24" s="148">
        <f>'01 - Dados de Entrada'!$C$199*('04 - Veículos e Equipamentos'!AE27+'04 - Veículos e Equipamentos'!AE29+'04 - Veículos e Equipamentos'!AE31)*12</f>
        <v>120000</v>
      </c>
      <c r="AG24" s="148">
        <f>'01 - Dados de Entrada'!$C$199*('04 - Veículos e Equipamentos'!AF27+'04 - Veículos e Equipamentos'!AF29+'04 - Veículos e Equipamentos'!AF31)*12</f>
        <v>120000</v>
      </c>
      <c r="AH24" s="148">
        <f>'01 - Dados de Entrada'!$C$199*('04 - Veículos e Equipamentos'!AG27+'04 - Veículos e Equipamentos'!AG29+'04 - Veículos e Equipamentos'!AG31)*12</f>
        <v>120000</v>
      </c>
      <c r="AI24" s="148">
        <f>'01 - Dados de Entrada'!$C$199*('04 - Veículos e Equipamentos'!AH27+'04 - Veículos e Equipamentos'!AH29+'04 - Veículos e Equipamentos'!AH31)*12</f>
        <v>120000</v>
      </c>
      <c r="AJ24" s="148">
        <f>'01 - Dados de Entrada'!$C$199*('04 - Veículos e Equipamentos'!AI27+'04 - Veículos e Equipamentos'!AI29+'04 - Veículos e Equipamentos'!AI31)*12</f>
        <v>120000</v>
      </c>
      <c r="AK24" s="148">
        <f>'01 - Dados de Entrada'!$C$199*('04 - Veículos e Equipamentos'!AJ27+'04 - Veículos e Equipamentos'!AJ29+'04 - Veículos e Equipamentos'!AJ31)*12</f>
        <v>120000</v>
      </c>
    </row>
    <row r="25" spans="1:37" s="152" customFormat="1" ht="13.15" customHeight="1" x14ac:dyDescent="0.2">
      <c r="A25" s="147" t="s">
        <v>937</v>
      </c>
      <c r="B25" s="272">
        <f t="shared" si="1"/>
        <v>456521.73913043481</v>
      </c>
      <c r="C25" s="148">
        <f>C24/'01 - Dados de Entrada'!$C$238</f>
        <v>13043.478260869566</v>
      </c>
      <c r="D25" s="148">
        <f>D24/'01 - Dados de Entrada'!$C$238</f>
        <v>13043.478260869566</v>
      </c>
      <c r="E25" s="148">
        <f>E24/'01 - Dados de Entrada'!$C$238</f>
        <v>13043.478260869566</v>
      </c>
      <c r="F25" s="148">
        <f>F24/'01 - Dados de Entrada'!$C$238</f>
        <v>13043.478260869566</v>
      </c>
      <c r="G25" s="148">
        <f>G24/'01 - Dados de Entrada'!$C$238</f>
        <v>13043.478260869566</v>
      </c>
      <c r="H25" s="148">
        <f>H24/'01 - Dados de Entrada'!$C$238</f>
        <v>13043.478260869566</v>
      </c>
      <c r="I25" s="148">
        <f>I24/'01 - Dados de Entrada'!$C$238</f>
        <v>13043.478260869566</v>
      </c>
      <c r="J25" s="148">
        <f>J24/'01 - Dados de Entrada'!$C$238</f>
        <v>13043.478260869566</v>
      </c>
      <c r="K25" s="148">
        <f>K24/'01 - Dados de Entrada'!$C$238</f>
        <v>13043.478260869566</v>
      </c>
      <c r="L25" s="148">
        <f>L24/'01 - Dados de Entrada'!$C$238</f>
        <v>13043.478260869566</v>
      </c>
      <c r="M25" s="148">
        <f>M24/'01 - Dados de Entrada'!$C$238</f>
        <v>13043.478260869566</v>
      </c>
      <c r="N25" s="148">
        <f>N24/'01 - Dados de Entrada'!$C$238</f>
        <v>13043.478260869566</v>
      </c>
      <c r="O25" s="148">
        <f>O24/'01 - Dados de Entrada'!$C$238</f>
        <v>13043.478260869566</v>
      </c>
      <c r="P25" s="148">
        <f>P24/'01 - Dados de Entrada'!$C$238</f>
        <v>13043.478260869566</v>
      </c>
      <c r="Q25" s="148">
        <f>Q24/'01 - Dados de Entrada'!$C$238</f>
        <v>13043.478260869566</v>
      </c>
      <c r="R25" s="148">
        <f>R24/'01 - Dados de Entrada'!$C$238</f>
        <v>13043.478260869566</v>
      </c>
      <c r="S25" s="148">
        <f>S24/'01 - Dados de Entrada'!$C$238</f>
        <v>13043.478260869566</v>
      </c>
      <c r="T25" s="148">
        <f>T24/'01 - Dados de Entrada'!$C$238</f>
        <v>13043.478260869566</v>
      </c>
      <c r="U25" s="148">
        <f>U24/'01 - Dados de Entrada'!$C$238</f>
        <v>13043.478260869566</v>
      </c>
      <c r="V25" s="148">
        <f>V24/'01 - Dados de Entrada'!$C$238</f>
        <v>13043.478260869566</v>
      </c>
      <c r="W25" s="148">
        <f>W24/'01 - Dados de Entrada'!$C$238</f>
        <v>13043.478260869566</v>
      </c>
      <c r="X25" s="148">
        <f>X24/'01 - Dados de Entrada'!$C$238</f>
        <v>13043.478260869566</v>
      </c>
      <c r="Y25" s="148">
        <f>Y24/'01 - Dados de Entrada'!$C$238</f>
        <v>13043.478260869566</v>
      </c>
      <c r="Z25" s="148">
        <f>Z24/'01 - Dados de Entrada'!$C$238</f>
        <v>13043.478260869566</v>
      </c>
      <c r="AA25" s="148">
        <f>AA24/'01 - Dados de Entrada'!$C$238</f>
        <v>13043.478260869566</v>
      </c>
      <c r="AB25" s="148">
        <f>AB24/'01 - Dados de Entrada'!$C$238</f>
        <v>13043.478260869566</v>
      </c>
      <c r="AC25" s="148">
        <f>AC24/'01 - Dados de Entrada'!$C$238</f>
        <v>13043.478260869566</v>
      </c>
      <c r="AD25" s="148">
        <f>AD24/'01 - Dados de Entrada'!$C$238</f>
        <v>13043.478260869566</v>
      </c>
      <c r="AE25" s="148">
        <f>AE24/'01 - Dados de Entrada'!$C$238</f>
        <v>13043.478260869566</v>
      </c>
      <c r="AF25" s="148">
        <f>AF24/'01 - Dados de Entrada'!$C$238</f>
        <v>13043.478260869566</v>
      </c>
      <c r="AG25" s="148">
        <f>AG24/'01 - Dados de Entrada'!$C$238</f>
        <v>13043.478260869566</v>
      </c>
      <c r="AH25" s="148">
        <f>AH24/'01 - Dados de Entrada'!$C$238</f>
        <v>13043.478260869566</v>
      </c>
      <c r="AI25" s="148">
        <f>AI24/'01 - Dados de Entrada'!$C$238</f>
        <v>13043.478260869566</v>
      </c>
      <c r="AJ25" s="148">
        <f>AJ24/'01 - Dados de Entrada'!$C$238</f>
        <v>13043.478260869566</v>
      </c>
      <c r="AK25" s="148">
        <f>AK24/'01 - Dados de Entrada'!$C$238</f>
        <v>13043.478260869566</v>
      </c>
    </row>
    <row r="26" spans="1:37" s="152" customFormat="1" ht="13.15" customHeight="1" x14ac:dyDescent="0.2">
      <c r="A26" s="147" t="s">
        <v>938</v>
      </c>
      <c r="B26" s="272">
        <f t="shared" si="1"/>
        <v>2743695.6521739145</v>
      </c>
      <c r="C26" s="148">
        <f>C25*'01 - Dados de Entrada'!$C$117</f>
        <v>78391.304347826095</v>
      </c>
      <c r="D26" s="148">
        <f>D25*'01 - Dados de Entrada'!$C$117</f>
        <v>78391.304347826095</v>
      </c>
      <c r="E26" s="148">
        <f>E25*'01 - Dados de Entrada'!$C$117</f>
        <v>78391.304347826095</v>
      </c>
      <c r="F26" s="148">
        <f>F25*'01 - Dados de Entrada'!$C$117</f>
        <v>78391.304347826095</v>
      </c>
      <c r="G26" s="148">
        <f>G25*'01 - Dados de Entrada'!$C$117</f>
        <v>78391.304347826095</v>
      </c>
      <c r="H26" s="148">
        <f>H25*'01 - Dados de Entrada'!$C$117</f>
        <v>78391.304347826095</v>
      </c>
      <c r="I26" s="148">
        <f>I25*'01 - Dados de Entrada'!$C$117</f>
        <v>78391.304347826095</v>
      </c>
      <c r="J26" s="148">
        <f>J25*'01 - Dados de Entrada'!$C$117</f>
        <v>78391.304347826095</v>
      </c>
      <c r="K26" s="148">
        <f>K25*'01 - Dados de Entrada'!$C$117</f>
        <v>78391.304347826095</v>
      </c>
      <c r="L26" s="148">
        <f>L25*'01 - Dados de Entrada'!$C$117</f>
        <v>78391.304347826095</v>
      </c>
      <c r="M26" s="148">
        <f>M25*'01 - Dados de Entrada'!$C$117</f>
        <v>78391.304347826095</v>
      </c>
      <c r="N26" s="148">
        <f>N25*'01 - Dados de Entrada'!$C$117</f>
        <v>78391.304347826095</v>
      </c>
      <c r="O26" s="148">
        <f>O25*'01 - Dados de Entrada'!$C$117</f>
        <v>78391.304347826095</v>
      </c>
      <c r="P26" s="148">
        <f>P25*'01 - Dados de Entrada'!$C$117</f>
        <v>78391.304347826095</v>
      </c>
      <c r="Q26" s="148">
        <f>Q25*'01 - Dados de Entrada'!$C$117</f>
        <v>78391.304347826095</v>
      </c>
      <c r="R26" s="148">
        <f>R25*'01 - Dados de Entrada'!$C$117</f>
        <v>78391.304347826095</v>
      </c>
      <c r="S26" s="148">
        <f>S25*'01 - Dados de Entrada'!$C$117</f>
        <v>78391.304347826095</v>
      </c>
      <c r="T26" s="148">
        <f>T25*'01 - Dados de Entrada'!$C$117</f>
        <v>78391.304347826095</v>
      </c>
      <c r="U26" s="148">
        <f>U25*'01 - Dados de Entrada'!$C$117</f>
        <v>78391.304347826095</v>
      </c>
      <c r="V26" s="148">
        <f>V25*'01 - Dados de Entrada'!$C$117</f>
        <v>78391.304347826095</v>
      </c>
      <c r="W26" s="148">
        <f>W25*'01 - Dados de Entrada'!$C$117</f>
        <v>78391.304347826095</v>
      </c>
      <c r="X26" s="148">
        <f>X25*'01 - Dados de Entrada'!$C$117</f>
        <v>78391.304347826095</v>
      </c>
      <c r="Y26" s="148">
        <f>Y25*'01 - Dados de Entrada'!$C$117</f>
        <v>78391.304347826095</v>
      </c>
      <c r="Z26" s="148">
        <f>Z25*'01 - Dados de Entrada'!$C$117</f>
        <v>78391.304347826095</v>
      </c>
      <c r="AA26" s="148">
        <f>AA25*'01 - Dados de Entrada'!$C$117</f>
        <v>78391.304347826095</v>
      </c>
      <c r="AB26" s="148">
        <f>AB25*'01 - Dados de Entrada'!$C$117</f>
        <v>78391.304347826095</v>
      </c>
      <c r="AC26" s="148">
        <f>AC25*'01 - Dados de Entrada'!$C$117</f>
        <v>78391.304347826095</v>
      </c>
      <c r="AD26" s="148">
        <f>AD25*'01 - Dados de Entrada'!$C$117</f>
        <v>78391.304347826095</v>
      </c>
      <c r="AE26" s="148">
        <f>AE25*'01 - Dados de Entrada'!$C$117</f>
        <v>78391.304347826095</v>
      </c>
      <c r="AF26" s="148">
        <f>AF25*'01 - Dados de Entrada'!$C$117</f>
        <v>78391.304347826095</v>
      </c>
      <c r="AG26" s="148">
        <f>AG25*'01 - Dados de Entrada'!$C$117</f>
        <v>78391.304347826095</v>
      </c>
      <c r="AH26" s="148">
        <f>AH25*'01 - Dados de Entrada'!$C$117</f>
        <v>78391.304347826095</v>
      </c>
      <c r="AI26" s="148">
        <f>AI25*'01 - Dados de Entrada'!$C$117</f>
        <v>78391.304347826095</v>
      </c>
      <c r="AJ26" s="148">
        <f>AJ25*'01 - Dados de Entrada'!$C$117</f>
        <v>78391.304347826095</v>
      </c>
      <c r="AK26" s="148">
        <f>AK25*'01 - Dados de Entrada'!$C$117</f>
        <v>78391.304347826095</v>
      </c>
    </row>
    <row r="27" spans="1:37" s="152" customFormat="1" ht="13.15" customHeight="1" x14ac:dyDescent="0.2">
      <c r="A27" s="271" t="s">
        <v>943</v>
      </c>
      <c r="B27" s="272">
        <f t="shared" si="1"/>
        <v>0</v>
      </c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274"/>
      <c r="AI27" s="274"/>
      <c r="AJ27" s="274"/>
      <c r="AK27" s="274"/>
    </row>
    <row r="28" spans="1:37" s="152" customFormat="1" ht="13.15" customHeight="1" x14ac:dyDescent="0.2">
      <c r="A28" s="147" t="s">
        <v>936</v>
      </c>
      <c r="B28" s="272">
        <f t="shared" si="1"/>
        <v>1260000</v>
      </c>
      <c r="C28" s="148">
        <f>'01 - Dados de Entrada'!$C$201*('04 - Veículos e Equipamentos'!B16+'04 - Veículos e Equipamentos'!B23)*12</f>
        <v>25200</v>
      </c>
      <c r="D28" s="148">
        <f>'01 - Dados de Entrada'!$C$201*('04 - Veículos e Equipamentos'!C16+'04 - Veículos e Equipamentos'!C23)*12</f>
        <v>25200</v>
      </c>
      <c r="E28" s="148">
        <f>'01 - Dados de Entrada'!$C$201*('04 - Veículos e Equipamentos'!D16+'04 - Veículos e Equipamentos'!D23)*12</f>
        <v>25200</v>
      </c>
      <c r="F28" s="148">
        <f>'01 - Dados de Entrada'!$C$201*('04 - Veículos e Equipamentos'!E16+'04 - Veículos e Equipamentos'!E23)*12</f>
        <v>25200</v>
      </c>
      <c r="G28" s="148">
        <f>'01 - Dados de Entrada'!$C$201*('04 - Veículos e Equipamentos'!F16+'04 - Veículos e Equipamentos'!F23)*12</f>
        <v>25200</v>
      </c>
      <c r="H28" s="148">
        <f>'01 - Dados de Entrada'!$C$201*('04 - Veículos e Equipamentos'!G16+'04 - Veículos e Equipamentos'!G23)*12</f>
        <v>37800</v>
      </c>
      <c r="I28" s="148">
        <f>'01 - Dados de Entrada'!$C$201*('04 - Veículos e Equipamentos'!H16+'04 - Veículos e Equipamentos'!H23)*12</f>
        <v>37800</v>
      </c>
      <c r="J28" s="148">
        <f>'01 - Dados de Entrada'!$C$201*('04 - Veículos e Equipamentos'!I16+'04 - Veículos e Equipamentos'!I23)*12</f>
        <v>37800</v>
      </c>
      <c r="K28" s="148">
        <f>'01 - Dados de Entrada'!$C$201*('04 - Veículos e Equipamentos'!J16+'04 - Veículos e Equipamentos'!J23)*12</f>
        <v>37800</v>
      </c>
      <c r="L28" s="148">
        <f>'01 - Dados de Entrada'!$C$201*('04 - Veículos e Equipamentos'!K16+'04 - Veículos e Equipamentos'!K23)*12</f>
        <v>37800</v>
      </c>
      <c r="M28" s="148">
        <f>'01 - Dados de Entrada'!$C$201*('04 - Veículos e Equipamentos'!L16+'04 - Veículos e Equipamentos'!L23)*12</f>
        <v>37800</v>
      </c>
      <c r="N28" s="148">
        <f>'01 - Dados de Entrada'!$C$201*('04 - Veículos e Equipamentos'!M16+'04 - Veículos e Equipamentos'!M23)*12</f>
        <v>37800</v>
      </c>
      <c r="O28" s="148">
        <f>'01 - Dados de Entrada'!$C$201*('04 - Veículos e Equipamentos'!N16+'04 - Veículos e Equipamentos'!N23)*12</f>
        <v>37800</v>
      </c>
      <c r="P28" s="148">
        <f>'01 - Dados de Entrada'!$C$201*('04 - Veículos e Equipamentos'!O16+'04 - Veículos e Equipamentos'!O23)*12</f>
        <v>37800</v>
      </c>
      <c r="Q28" s="148">
        <f>'01 - Dados de Entrada'!$C$201*('04 - Veículos e Equipamentos'!P16+'04 - Veículos e Equipamentos'!P23)*12</f>
        <v>37800</v>
      </c>
      <c r="R28" s="148">
        <f>'01 - Dados de Entrada'!$C$201*('04 - Veículos e Equipamentos'!Q16+'04 - Veículos e Equipamentos'!Q23)*12</f>
        <v>37800</v>
      </c>
      <c r="S28" s="148">
        <f>'01 - Dados de Entrada'!$C$201*('04 - Veículos e Equipamentos'!R16+'04 - Veículos e Equipamentos'!R23)*12</f>
        <v>37800</v>
      </c>
      <c r="T28" s="148">
        <f>'01 - Dados de Entrada'!$C$201*('04 - Veículos e Equipamentos'!S16+'04 - Veículos e Equipamentos'!S23)*12</f>
        <v>37800</v>
      </c>
      <c r="U28" s="148">
        <f>'01 - Dados de Entrada'!$C$201*('04 - Veículos e Equipamentos'!T16+'04 - Veículos e Equipamentos'!T23)*12</f>
        <v>37800</v>
      </c>
      <c r="V28" s="148">
        <f>'01 - Dados de Entrada'!$C$201*('04 - Veículos e Equipamentos'!U16+'04 - Veículos e Equipamentos'!U23)*12</f>
        <v>37800</v>
      </c>
      <c r="W28" s="148">
        <f>'01 - Dados de Entrada'!$C$201*('04 - Veículos e Equipamentos'!V16+'04 - Veículos e Equipamentos'!V23)*12</f>
        <v>37800</v>
      </c>
      <c r="X28" s="148">
        <f>'01 - Dados de Entrada'!$C$201*('04 - Veículos e Equipamentos'!W16+'04 - Veículos e Equipamentos'!W23)*12</f>
        <v>37800</v>
      </c>
      <c r="Y28" s="148">
        <f>'01 - Dados de Entrada'!$C$201*('04 - Veículos e Equipamentos'!X16+'04 - Veículos e Equipamentos'!X23)*12</f>
        <v>37800</v>
      </c>
      <c r="Z28" s="148">
        <f>'01 - Dados de Entrada'!$C$201*('04 - Veículos e Equipamentos'!Y16+'04 - Veículos e Equipamentos'!Y23)*12</f>
        <v>37800</v>
      </c>
      <c r="AA28" s="148">
        <f>'01 - Dados de Entrada'!$C$201*('04 - Veículos e Equipamentos'!Z16+'04 - Veículos e Equipamentos'!Z23)*12</f>
        <v>37800</v>
      </c>
      <c r="AB28" s="148">
        <f>'01 - Dados de Entrada'!$C$201*('04 - Veículos e Equipamentos'!AA16+'04 - Veículos e Equipamentos'!AA23)*12</f>
        <v>37800</v>
      </c>
      <c r="AC28" s="148">
        <f>'01 - Dados de Entrada'!$C$201*('04 - Veículos e Equipamentos'!AB16+'04 - Veículos e Equipamentos'!AB23)*12</f>
        <v>37800</v>
      </c>
      <c r="AD28" s="148">
        <f>'01 - Dados de Entrada'!$C$201*('04 - Veículos e Equipamentos'!AC16+'04 - Veículos e Equipamentos'!AC23)*12</f>
        <v>37800</v>
      </c>
      <c r="AE28" s="148">
        <f>'01 - Dados de Entrada'!$C$201*('04 - Veículos e Equipamentos'!AD16+'04 - Veículos e Equipamentos'!AD23)*12</f>
        <v>37800</v>
      </c>
      <c r="AF28" s="148">
        <f>'01 - Dados de Entrada'!$C$201*('04 - Veículos e Equipamentos'!AE16+'04 - Veículos e Equipamentos'!AE23)*12</f>
        <v>37800</v>
      </c>
      <c r="AG28" s="148">
        <f>'01 - Dados de Entrada'!$C$201*('04 - Veículos e Equipamentos'!AF16+'04 - Veículos e Equipamentos'!AF23)*12</f>
        <v>37800</v>
      </c>
      <c r="AH28" s="148">
        <f>'01 - Dados de Entrada'!$C$201*('04 - Veículos e Equipamentos'!AG16+'04 - Veículos e Equipamentos'!AG23)*12</f>
        <v>37800</v>
      </c>
      <c r="AI28" s="148">
        <f>'01 - Dados de Entrada'!$C$201*('04 - Veículos e Equipamentos'!AH16+'04 - Veículos e Equipamentos'!AH23)*12</f>
        <v>37800</v>
      </c>
      <c r="AJ28" s="148">
        <f>'01 - Dados de Entrada'!$C$201*('04 - Veículos e Equipamentos'!AI16+'04 - Veículos e Equipamentos'!AI23)*12</f>
        <v>37800</v>
      </c>
      <c r="AK28" s="148">
        <f>'01 - Dados de Entrada'!$C$201*('04 - Veículos e Equipamentos'!AJ16+'04 - Veículos e Equipamentos'!AJ23)*12</f>
        <v>37800</v>
      </c>
    </row>
    <row r="29" spans="1:37" s="152" customFormat="1" ht="13.15" customHeight="1" x14ac:dyDescent="0.2">
      <c r="A29" s="147" t="s">
        <v>937</v>
      </c>
      <c r="B29" s="272">
        <f t="shared" si="1"/>
        <v>68108.108108108048</v>
      </c>
      <c r="C29" s="148">
        <f>C28/'01 - Dados de Entrada'!$C$240</f>
        <v>1362.1621621621621</v>
      </c>
      <c r="D29" s="148">
        <f>D28/'01 - Dados de Entrada'!$C$240</f>
        <v>1362.1621621621621</v>
      </c>
      <c r="E29" s="148">
        <f>E28/'01 - Dados de Entrada'!$C$240</f>
        <v>1362.1621621621621</v>
      </c>
      <c r="F29" s="148">
        <f>F28/'01 - Dados de Entrada'!$C$240</f>
        <v>1362.1621621621621</v>
      </c>
      <c r="G29" s="148">
        <f>G28/'01 - Dados de Entrada'!$C$240</f>
        <v>1362.1621621621621</v>
      </c>
      <c r="H29" s="148">
        <f>H28/'01 - Dados de Entrada'!$C$240</f>
        <v>2043.2432432432433</v>
      </c>
      <c r="I29" s="148">
        <f>I28/'01 - Dados de Entrada'!$C$240</f>
        <v>2043.2432432432433</v>
      </c>
      <c r="J29" s="148">
        <f>J28/'01 - Dados de Entrada'!$C$240</f>
        <v>2043.2432432432433</v>
      </c>
      <c r="K29" s="148">
        <f>K28/'01 - Dados de Entrada'!$C$240</f>
        <v>2043.2432432432433</v>
      </c>
      <c r="L29" s="148">
        <f>L28/'01 - Dados de Entrada'!$C$240</f>
        <v>2043.2432432432433</v>
      </c>
      <c r="M29" s="148">
        <f>M28/'01 - Dados de Entrada'!$C$240</f>
        <v>2043.2432432432433</v>
      </c>
      <c r="N29" s="148">
        <f>N28/'01 - Dados de Entrada'!$C$240</f>
        <v>2043.2432432432433</v>
      </c>
      <c r="O29" s="148">
        <f>O28/'01 - Dados de Entrada'!$C$240</f>
        <v>2043.2432432432433</v>
      </c>
      <c r="P29" s="148">
        <f>P28/'01 - Dados de Entrada'!$C$240</f>
        <v>2043.2432432432433</v>
      </c>
      <c r="Q29" s="148">
        <f>Q28/'01 - Dados de Entrada'!$C$240</f>
        <v>2043.2432432432433</v>
      </c>
      <c r="R29" s="148">
        <f>R28/'01 - Dados de Entrada'!$C$240</f>
        <v>2043.2432432432433</v>
      </c>
      <c r="S29" s="148">
        <f>S28/'01 - Dados de Entrada'!$C$240</f>
        <v>2043.2432432432433</v>
      </c>
      <c r="T29" s="148">
        <f>T28/'01 - Dados de Entrada'!$C$240</f>
        <v>2043.2432432432433</v>
      </c>
      <c r="U29" s="148">
        <f>U28/'01 - Dados de Entrada'!$C$240</f>
        <v>2043.2432432432433</v>
      </c>
      <c r="V29" s="148">
        <f>V28/'01 - Dados de Entrada'!$C$240</f>
        <v>2043.2432432432433</v>
      </c>
      <c r="W29" s="148">
        <f>W28/'01 - Dados de Entrada'!$C$240</f>
        <v>2043.2432432432433</v>
      </c>
      <c r="X29" s="148">
        <f>X28/'01 - Dados de Entrada'!$C$240</f>
        <v>2043.2432432432433</v>
      </c>
      <c r="Y29" s="148">
        <f>Y28/'01 - Dados de Entrada'!$C$240</f>
        <v>2043.2432432432433</v>
      </c>
      <c r="Z29" s="148">
        <f>Z28/'01 - Dados de Entrada'!$C$240</f>
        <v>2043.2432432432433</v>
      </c>
      <c r="AA29" s="148">
        <f>AA28/'01 - Dados de Entrada'!$C$240</f>
        <v>2043.2432432432433</v>
      </c>
      <c r="AB29" s="148">
        <f>AB28/'01 - Dados de Entrada'!$C$240</f>
        <v>2043.2432432432433</v>
      </c>
      <c r="AC29" s="148">
        <f>AC28/'01 - Dados de Entrada'!$C$240</f>
        <v>2043.2432432432433</v>
      </c>
      <c r="AD29" s="148">
        <f>AD28/'01 - Dados de Entrada'!$C$240</f>
        <v>2043.2432432432433</v>
      </c>
      <c r="AE29" s="148">
        <f>AE28/'01 - Dados de Entrada'!$C$240</f>
        <v>2043.2432432432433</v>
      </c>
      <c r="AF29" s="148">
        <f>AF28/'01 - Dados de Entrada'!$C$240</f>
        <v>2043.2432432432433</v>
      </c>
      <c r="AG29" s="148">
        <f>AG28/'01 - Dados de Entrada'!$C$240</f>
        <v>2043.2432432432433</v>
      </c>
      <c r="AH29" s="148">
        <f>AH28/'01 - Dados de Entrada'!$C$240</f>
        <v>2043.2432432432433</v>
      </c>
      <c r="AI29" s="148">
        <f>AI28/'01 - Dados de Entrada'!$C$240</f>
        <v>2043.2432432432433</v>
      </c>
      <c r="AJ29" s="148">
        <f>AJ28/'01 - Dados de Entrada'!$C$240</f>
        <v>2043.2432432432433</v>
      </c>
      <c r="AK29" s="148">
        <f>AK28/'01 - Dados de Entrada'!$C$240</f>
        <v>2043.2432432432433</v>
      </c>
    </row>
    <row r="30" spans="1:37" s="152" customFormat="1" ht="13.15" customHeight="1" x14ac:dyDescent="0.2">
      <c r="A30" s="147" t="s">
        <v>938</v>
      </c>
      <c r="B30" s="272">
        <f t="shared" si="1"/>
        <v>409329.72972972976</v>
      </c>
      <c r="C30" s="148">
        <f>C29*'01 - Dados de Entrada'!$C$117</f>
        <v>8186.5945945945941</v>
      </c>
      <c r="D30" s="148">
        <f>D29*'01 - Dados de Entrada'!$C$117</f>
        <v>8186.5945945945941</v>
      </c>
      <c r="E30" s="148">
        <f>E29*'01 - Dados de Entrada'!$C$117</f>
        <v>8186.5945945945941</v>
      </c>
      <c r="F30" s="148">
        <f>F29*'01 - Dados de Entrada'!$C$117</f>
        <v>8186.5945945945941</v>
      </c>
      <c r="G30" s="148">
        <f>G29*'01 - Dados de Entrada'!$C$117</f>
        <v>8186.5945945945941</v>
      </c>
      <c r="H30" s="148">
        <f>H29*'01 - Dados de Entrada'!$C$117</f>
        <v>12279.891891891892</v>
      </c>
      <c r="I30" s="148">
        <f>I29*'01 - Dados de Entrada'!$C$117</f>
        <v>12279.891891891892</v>
      </c>
      <c r="J30" s="148">
        <f>J29*'01 - Dados de Entrada'!$C$117</f>
        <v>12279.891891891892</v>
      </c>
      <c r="K30" s="148">
        <f>K29*'01 - Dados de Entrada'!$C$117</f>
        <v>12279.891891891892</v>
      </c>
      <c r="L30" s="148">
        <f>L29*'01 - Dados de Entrada'!$C$117</f>
        <v>12279.891891891892</v>
      </c>
      <c r="M30" s="148">
        <f>M29*'01 - Dados de Entrada'!$C$117</f>
        <v>12279.891891891892</v>
      </c>
      <c r="N30" s="148">
        <f>N29*'01 - Dados de Entrada'!$C$117</f>
        <v>12279.891891891892</v>
      </c>
      <c r="O30" s="148">
        <f>O29*'01 - Dados de Entrada'!$C$117</f>
        <v>12279.891891891892</v>
      </c>
      <c r="P30" s="148">
        <f>P29*'01 - Dados de Entrada'!$C$117</f>
        <v>12279.891891891892</v>
      </c>
      <c r="Q30" s="148">
        <f>Q29*'01 - Dados de Entrada'!$C$117</f>
        <v>12279.891891891892</v>
      </c>
      <c r="R30" s="148">
        <f>R29*'01 - Dados de Entrada'!$C$117</f>
        <v>12279.891891891892</v>
      </c>
      <c r="S30" s="148">
        <f>S29*'01 - Dados de Entrada'!$C$117</f>
        <v>12279.891891891892</v>
      </c>
      <c r="T30" s="148">
        <f>T29*'01 - Dados de Entrada'!$C$117</f>
        <v>12279.891891891892</v>
      </c>
      <c r="U30" s="148">
        <f>U29*'01 - Dados de Entrada'!$C$117</f>
        <v>12279.891891891892</v>
      </c>
      <c r="V30" s="148">
        <f>V29*'01 - Dados de Entrada'!$C$117</f>
        <v>12279.891891891892</v>
      </c>
      <c r="W30" s="148">
        <f>W29*'01 - Dados de Entrada'!$C$117</f>
        <v>12279.891891891892</v>
      </c>
      <c r="X30" s="148">
        <f>X29*'01 - Dados de Entrada'!$C$117</f>
        <v>12279.891891891892</v>
      </c>
      <c r="Y30" s="148">
        <f>Y29*'01 - Dados de Entrada'!$C$117</f>
        <v>12279.891891891892</v>
      </c>
      <c r="Z30" s="148">
        <f>Z29*'01 - Dados de Entrada'!$C$117</f>
        <v>12279.891891891892</v>
      </c>
      <c r="AA30" s="148">
        <f>AA29*'01 - Dados de Entrada'!$C$117</f>
        <v>12279.891891891892</v>
      </c>
      <c r="AB30" s="148">
        <f>AB29*'01 - Dados de Entrada'!$C$117</f>
        <v>12279.891891891892</v>
      </c>
      <c r="AC30" s="148">
        <f>AC29*'01 - Dados de Entrada'!$C$117</f>
        <v>12279.891891891892</v>
      </c>
      <c r="AD30" s="148">
        <f>AD29*'01 - Dados de Entrada'!$C$117</f>
        <v>12279.891891891892</v>
      </c>
      <c r="AE30" s="148">
        <f>AE29*'01 - Dados de Entrada'!$C$117</f>
        <v>12279.891891891892</v>
      </c>
      <c r="AF30" s="148">
        <f>AF29*'01 - Dados de Entrada'!$C$117</f>
        <v>12279.891891891892</v>
      </c>
      <c r="AG30" s="148">
        <f>AG29*'01 - Dados de Entrada'!$C$117</f>
        <v>12279.891891891892</v>
      </c>
      <c r="AH30" s="148">
        <f>AH29*'01 - Dados de Entrada'!$C$117</f>
        <v>12279.891891891892</v>
      </c>
      <c r="AI30" s="148">
        <f>AI29*'01 - Dados de Entrada'!$C$117</f>
        <v>12279.891891891892</v>
      </c>
      <c r="AJ30" s="148">
        <f>AJ29*'01 - Dados de Entrada'!$C$117</f>
        <v>12279.891891891892</v>
      </c>
      <c r="AK30" s="148">
        <f>AK29*'01 - Dados de Entrada'!$C$117</f>
        <v>12279.891891891892</v>
      </c>
    </row>
    <row r="31" spans="1:37" s="152" customFormat="1" ht="13.15" customHeight="1" x14ac:dyDescent="0.2">
      <c r="A31" s="271" t="s">
        <v>944</v>
      </c>
      <c r="B31" s="272">
        <f t="shared" ref="B31:B121" si="2">SUM(C31:AK31)</f>
        <v>0</v>
      </c>
      <c r="C31" s="431"/>
      <c r="D31" s="431"/>
      <c r="E31" s="431"/>
      <c r="F31" s="431"/>
      <c r="G31" s="431"/>
      <c r="H31" s="431"/>
      <c r="I31" s="431"/>
      <c r="J31" s="431"/>
      <c r="K31" s="431"/>
      <c r="L31" s="431"/>
      <c r="M31" s="431"/>
      <c r="N31" s="431"/>
      <c r="O31" s="431"/>
      <c r="P31" s="431"/>
      <c r="Q31" s="431"/>
      <c r="R31" s="431"/>
      <c r="S31" s="431"/>
      <c r="T31" s="431"/>
      <c r="U31" s="431"/>
      <c r="V31" s="431"/>
      <c r="W31" s="431"/>
      <c r="X31" s="431"/>
      <c r="Y31" s="431"/>
      <c r="Z31" s="431"/>
      <c r="AA31" s="431"/>
      <c r="AB31" s="431"/>
      <c r="AC31" s="431"/>
      <c r="AD31" s="431"/>
      <c r="AE31" s="431"/>
      <c r="AF31" s="431"/>
      <c r="AG31" s="431"/>
      <c r="AH31" s="431"/>
      <c r="AI31" s="431"/>
      <c r="AJ31" s="431"/>
      <c r="AK31" s="431"/>
    </row>
    <row r="32" spans="1:37" s="152" customFormat="1" ht="13.15" customHeight="1" x14ac:dyDescent="0.2">
      <c r="A32" s="147" t="s">
        <v>936</v>
      </c>
      <c r="B32" s="272">
        <f t="shared" si="2"/>
        <v>3931200</v>
      </c>
      <c r="C32" s="431">
        <f>'01 - Dados de Entrada'!$C$198*('04 - Veículos e Equipamentos'!B41)*12</f>
        <v>112320</v>
      </c>
      <c r="D32" s="431">
        <f>'01 - Dados de Entrada'!$C$198*('04 - Veículos e Equipamentos'!C41)*12</f>
        <v>112320</v>
      </c>
      <c r="E32" s="431">
        <f>'01 - Dados de Entrada'!$C$198*('04 - Veículos e Equipamentos'!D41)*12</f>
        <v>112320</v>
      </c>
      <c r="F32" s="431">
        <f>'01 - Dados de Entrada'!$C$198*('04 - Veículos e Equipamentos'!E41)*12</f>
        <v>112320</v>
      </c>
      <c r="G32" s="431">
        <f>'01 - Dados de Entrada'!$C$198*('04 - Veículos e Equipamentos'!F41)*12</f>
        <v>112320</v>
      </c>
      <c r="H32" s="431">
        <f>'01 - Dados de Entrada'!$C$198*('04 - Veículos e Equipamentos'!G41)*12</f>
        <v>112320</v>
      </c>
      <c r="I32" s="431">
        <f>'01 - Dados de Entrada'!$C$198*('04 - Veículos e Equipamentos'!H41)*12</f>
        <v>112320</v>
      </c>
      <c r="J32" s="431">
        <f>'01 - Dados de Entrada'!$C$198*('04 - Veículos e Equipamentos'!I41)*12</f>
        <v>112320</v>
      </c>
      <c r="K32" s="431">
        <f>'01 - Dados de Entrada'!$C$198*('04 - Veículos e Equipamentos'!J41)*12</f>
        <v>112320</v>
      </c>
      <c r="L32" s="431">
        <f>'01 - Dados de Entrada'!$C$198*('04 - Veículos e Equipamentos'!K41)*12</f>
        <v>112320</v>
      </c>
      <c r="M32" s="431">
        <f>'01 - Dados de Entrada'!$C$198*('04 - Veículos e Equipamentos'!L41)*12</f>
        <v>112320</v>
      </c>
      <c r="N32" s="431">
        <f>'01 - Dados de Entrada'!$C$198*('04 - Veículos e Equipamentos'!M41)*12</f>
        <v>112320</v>
      </c>
      <c r="O32" s="431">
        <f>'01 - Dados de Entrada'!$C$198*('04 - Veículos e Equipamentos'!N41)*12</f>
        <v>112320</v>
      </c>
      <c r="P32" s="431">
        <f>'01 - Dados de Entrada'!$C$198*('04 - Veículos e Equipamentos'!O41)*12</f>
        <v>112320</v>
      </c>
      <c r="Q32" s="431">
        <f>'01 - Dados de Entrada'!$C$198*('04 - Veículos e Equipamentos'!P41)*12</f>
        <v>112320</v>
      </c>
      <c r="R32" s="431">
        <f>'01 - Dados de Entrada'!$C$198*('04 - Veículos e Equipamentos'!Q41)*12</f>
        <v>112320</v>
      </c>
      <c r="S32" s="431">
        <f>'01 - Dados de Entrada'!$C$198*('04 - Veículos e Equipamentos'!R41)*12</f>
        <v>112320</v>
      </c>
      <c r="T32" s="431">
        <f>'01 - Dados de Entrada'!$C$198*('04 - Veículos e Equipamentos'!S41)*12</f>
        <v>112320</v>
      </c>
      <c r="U32" s="431">
        <f>'01 - Dados de Entrada'!$C$198*('04 - Veículos e Equipamentos'!T41)*12</f>
        <v>112320</v>
      </c>
      <c r="V32" s="431">
        <f>'01 - Dados de Entrada'!$C$198*('04 - Veículos e Equipamentos'!U41)*12</f>
        <v>112320</v>
      </c>
      <c r="W32" s="431">
        <f>'01 - Dados de Entrada'!$C$198*('04 - Veículos e Equipamentos'!V41)*12</f>
        <v>112320</v>
      </c>
      <c r="X32" s="431">
        <f>'01 - Dados de Entrada'!$C$198*('04 - Veículos e Equipamentos'!W41)*12</f>
        <v>112320</v>
      </c>
      <c r="Y32" s="431">
        <f>'01 - Dados de Entrada'!$C$198*('04 - Veículos e Equipamentos'!X41)*12</f>
        <v>112320</v>
      </c>
      <c r="Z32" s="431">
        <f>'01 - Dados de Entrada'!$C$198*('04 - Veículos e Equipamentos'!Y41)*12</f>
        <v>112320</v>
      </c>
      <c r="AA32" s="431">
        <f>'01 - Dados de Entrada'!$C$198*('04 - Veículos e Equipamentos'!Z41)*12</f>
        <v>112320</v>
      </c>
      <c r="AB32" s="431">
        <f>'01 - Dados de Entrada'!$C$198*('04 - Veículos e Equipamentos'!AA41)*12</f>
        <v>112320</v>
      </c>
      <c r="AC32" s="431">
        <f>'01 - Dados de Entrada'!$C$198*('04 - Veículos e Equipamentos'!AB41)*12</f>
        <v>112320</v>
      </c>
      <c r="AD32" s="431">
        <f>'01 - Dados de Entrada'!$C$198*('04 - Veículos e Equipamentos'!AC41)*12</f>
        <v>112320</v>
      </c>
      <c r="AE32" s="431">
        <f>'01 - Dados de Entrada'!$C$198*('04 - Veículos e Equipamentos'!AD41)*12</f>
        <v>112320</v>
      </c>
      <c r="AF32" s="431">
        <f>'01 - Dados de Entrada'!$C$198*('04 - Veículos e Equipamentos'!AE41)*12</f>
        <v>112320</v>
      </c>
      <c r="AG32" s="431">
        <f>'01 - Dados de Entrada'!$C$198*('04 - Veículos e Equipamentos'!AF41)*12</f>
        <v>112320</v>
      </c>
      <c r="AH32" s="431">
        <f>'01 - Dados de Entrada'!$C$198*('04 - Veículos e Equipamentos'!AG41)*12</f>
        <v>112320</v>
      </c>
      <c r="AI32" s="431">
        <f>'01 - Dados de Entrada'!$C$198*('04 - Veículos e Equipamentos'!AH41)*12</f>
        <v>112320</v>
      </c>
      <c r="AJ32" s="431">
        <f>'01 - Dados de Entrada'!$C$198*('04 - Veículos e Equipamentos'!AI41)*12</f>
        <v>112320</v>
      </c>
      <c r="AK32" s="431">
        <f>'01 - Dados de Entrada'!$C$198*('04 - Veículos e Equipamentos'!AJ41)*12</f>
        <v>112320</v>
      </c>
    </row>
    <row r="33" spans="1:37" s="152" customFormat="1" ht="13.15" customHeight="1" x14ac:dyDescent="0.2">
      <c r="A33" s="147" t="s">
        <v>937</v>
      </c>
      <c r="B33" s="272">
        <f t="shared" si="2"/>
        <v>1310400</v>
      </c>
      <c r="C33" s="431">
        <f>C32/'01 - Dados de Entrada'!$C$228</f>
        <v>37440</v>
      </c>
      <c r="D33" s="431">
        <f>D32/'01 - Dados de Entrada'!$C$228</f>
        <v>37440</v>
      </c>
      <c r="E33" s="431">
        <f>E32/'01 - Dados de Entrada'!$C$228</f>
        <v>37440</v>
      </c>
      <c r="F33" s="431">
        <f>F32/'01 - Dados de Entrada'!$C$228</f>
        <v>37440</v>
      </c>
      <c r="G33" s="431">
        <f>G32/'01 - Dados de Entrada'!$C$228</f>
        <v>37440</v>
      </c>
      <c r="H33" s="431">
        <f>H32/'01 - Dados de Entrada'!$C$228</f>
        <v>37440</v>
      </c>
      <c r="I33" s="431">
        <f>I32/'01 - Dados de Entrada'!$C$228</f>
        <v>37440</v>
      </c>
      <c r="J33" s="431">
        <f>J32/'01 - Dados de Entrada'!$C$228</f>
        <v>37440</v>
      </c>
      <c r="K33" s="431">
        <f>K32/'01 - Dados de Entrada'!$C$228</f>
        <v>37440</v>
      </c>
      <c r="L33" s="431">
        <f>L32/'01 - Dados de Entrada'!$C$228</f>
        <v>37440</v>
      </c>
      <c r="M33" s="431">
        <f>M32/'01 - Dados de Entrada'!$C$228</f>
        <v>37440</v>
      </c>
      <c r="N33" s="431">
        <f>N32/'01 - Dados de Entrada'!$C$228</f>
        <v>37440</v>
      </c>
      <c r="O33" s="431">
        <f>O32/'01 - Dados de Entrada'!$C$228</f>
        <v>37440</v>
      </c>
      <c r="P33" s="431">
        <f>P32/'01 - Dados de Entrada'!$C$228</f>
        <v>37440</v>
      </c>
      <c r="Q33" s="431">
        <f>Q32/'01 - Dados de Entrada'!$C$228</f>
        <v>37440</v>
      </c>
      <c r="R33" s="431">
        <f>R32/'01 - Dados de Entrada'!$C$228</f>
        <v>37440</v>
      </c>
      <c r="S33" s="431">
        <f>S32/'01 - Dados de Entrada'!$C$228</f>
        <v>37440</v>
      </c>
      <c r="T33" s="431">
        <f>T32/'01 - Dados de Entrada'!$C$228</f>
        <v>37440</v>
      </c>
      <c r="U33" s="431">
        <f>U32/'01 - Dados de Entrada'!$C$228</f>
        <v>37440</v>
      </c>
      <c r="V33" s="431">
        <f>V32/'01 - Dados de Entrada'!$C$228</f>
        <v>37440</v>
      </c>
      <c r="W33" s="431">
        <f>W32/'01 - Dados de Entrada'!$C$228</f>
        <v>37440</v>
      </c>
      <c r="X33" s="431">
        <f>X32/'01 - Dados de Entrada'!$C$228</f>
        <v>37440</v>
      </c>
      <c r="Y33" s="431">
        <f>Y32/'01 - Dados de Entrada'!$C$228</f>
        <v>37440</v>
      </c>
      <c r="Z33" s="431">
        <f>Z32/'01 - Dados de Entrada'!$C$228</f>
        <v>37440</v>
      </c>
      <c r="AA33" s="431">
        <f>AA32/'01 - Dados de Entrada'!$C$228</f>
        <v>37440</v>
      </c>
      <c r="AB33" s="431">
        <f>AB32/'01 - Dados de Entrada'!$C$228</f>
        <v>37440</v>
      </c>
      <c r="AC33" s="431">
        <f>AC32/'01 - Dados de Entrada'!$C$228</f>
        <v>37440</v>
      </c>
      <c r="AD33" s="431">
        <f>AD32/'01 - Dados de Entrada'!$C$228</f>
        <v>37440</v>
      </c>
      <c r="AE33" s="431">
        <f>AE32/'01 - Dados de Entrada'!$C$228</f>
        <v>37440</v>
      </c>
      <c r="AF33" s="431">
        <f>AF32/'01 - Dados de Entrada'!$C$228</f>
        <v>37440</v>
      </c>
      <c r="AG33" s="431">
        <f>AG32/'01 - Dados de Entrada'!$C$228</f>
        <v>37440</v>
      </c>
      <c r="AH33" s="431">
        <f>AH32/'01 - Dados de Entrada'!$C$228</f>
        <v>37440</v>
      </c>
      <c r="AI33" s="431">
        <f>AI32/'01 - Dados de Entrada'!$C$228</f>
        <v>37440</v>
      </c>
      <c r="AJ33" s="431">
        <f>AJ32/'01 - Dados de Entrada'!$C$228</f>
        <v>37440</v>
      </c>
      <c r="AK33" s="431">
        <f>AK32/'01 - Dados de Entrada'!$C$228</f>
        <v>37440</v>
      </c>
    </row>
    <row r="34" spans="1:37" s="152" customFormat="1" ht="13.15" customHeight="1" x14ac:dyDescent="0.2">
      <c r="A34" s="147" t="s">
        <v>938</v>
      </c>
      <c r="B34" s="272">
        <f>SUM(C34:AK34)</f>
        <v>7705152.0000000047</v>
      </c>
      <c r="C34" s="148">
        <f>C33*'01 - Dados de Entrada'!$C$116</f>
        <v>220147.19999999998</v>
      </c>
      <c r="D34" s="148">
        <f>D33*'01 - Dados de Entrada'!$C$116</f>
        <v>220147.19999999998</v>
      </c>
      <c r="E34" s="148">
        <f>E33*'01 - Dados de Entrada'!$C$116</f>
        <v>220147.19999999998</v>
      </c>
      <c r="F34" s="148">
        <f>F33*'01 - Dados de Entrada'!$C$116</f>
        <v>220147.19999999998</v>
      </c>
      <c r="G34" s="148">
        <f>G33*'01 - Dados de Entrada'!$C$116</f>
        <v>220147.19999999998</v>
      </c>
      <c r="H34" s="148">
        <f>H33*'01 - Dados de Entrada'!$C$116</f>
        <v>220147.19999999998</v>
      </c>
      <c r="I34" s="148">
        <f>I33*'01 - Dados de Entrada'!$C$116</f>
        <v>220147.19999999998</v>
      </c>
      <c r="J34" s="148">
        <f>J33*'01 - Dados de Entrada'!$C$116</f>
        <v>220147.19999999998</v>
      </c>
      <c r="K34" s="148">
        <f>K33*'01 - Dados de Entrada'!$C$116</f>
        <v>220147.19999999998</v>
      </c>
      <c r="L34" s="148">
        <f>L33*'01 - Dados de Entrada'!$C$116</f>
        <v>220147.19999999998</v>
      </c>
      <c r="M34" s="148">
        <f>M33*'01 - Dados de Entrada'!$C$116</f>
        <v>220147.19999999998</v>
      </c>
      <c r="N34" s="148">
        <f>N33*'01 - Dados de Entrada'!$C$116</f>
        <v>220147.19999999998</v>
      </c>
      <c r="O34" s="148">
        <f>O33*'01 - Dados de Entrada'!$C$116</f>
        <v>220147.19999999998</v>
      </c>
      <c r="P34" s="148">
        <f>P33*'01 - Dados de Entrada'!$C$116</f>
        <v>220147.19999999998</v>
      </c>
      <c r="Q34" s="148">
        <f>Q33*'01 - Dados de Entrada'!$C$116</f>
        <v>220147.19999999998</v>
      </c>
      <c r="R34" s="148">
        <f>R33*'01 - Dados de Entrada'!$C$116</f>
        <v>220147.19999999998</v>
      </c>
      <c r="S34" s="148">
        <f>S33*'01 - Dados de Entrada'!$C$116</f>
        <v>220147.19999999998</v>
      </c>
      <c r="T34" s="148">
        <f>T33*'01 - Dados de Entrada'!$C$116</f>
        <v>220147.19999999998</v>
      </c>
      <c r="U34" s="148">
        <f>U33*'01 - Dados de Entrada'!$C$116</f>
        <v>220147.19999999998</v>
      </c>
      <c r="V34" s="148">
        <f>V33*'01 - Dados de Entrada'!$C$116</f>
        <v>220147.19999999998</v>
      </c>
      <c r="W34" s="148">
        <f>W33*'01 - Dados de Entrada'!$C$116</f>
        <v>220147.19999999998</v>
      </c>
      <c r="X34" s="148">
        <f>X33*'01 - Dados de Entrada'!$C$116</f>
        <v>220147.19999999998</v>
      </c>
      <c r="Y34" s="148">
        <f>Y33*'01 - Dados de Entrada'!$C$116</f>
        <v>220147.19999999998</v>
      </c>
      <c r="Z34" s="148">
        <f>Z33*'01 - Dados de Entrada'!$C$116</f>
        <v>220147.19999999998</v>
      </c>
      <c r="AA34" s="148">
        <f>AA33*'01 - Dados de Entrada'!$C$116</f>
        <v>220147.19999999998</v>
      </c>
      <c r="AB34" s="148">
        <f>AB33*'01 - Dados de Entrada'!$C$116</f>
        <v>220147.19999999998</v>
      </c>
      <c r="AC34" s="148">
        <f>AC33*'01 - Dados de Entrada'!$C$116</f>
        <v>220147.19999999998</v>
      </c>
      <c r="AD34" s="148">
        <f>AD33*'01 - Dados de Entrada'!$C$116</f>
        <v>220147.19999999998</v>
      </c>
      <c r="AE34" s="148">
        <f>AE33*'01 - Dados de Entrada'!$C$116</f>
        <v>220147.19999999998</v>
      </c>
      <c r="AF34" s="148">
        <f>AF33*'01 - Dados de Entrada'!$C$116</f>
        <v>220147.19999999998</v>
      </c>
      <c r="AG34" s="148">
        <f>AG33*'01 - Dados de Entrada'!$C$116</f>
        <v>220147.19999999998</v>
      </c>
      <c r="AH34" s="148">
        <f>AH33*'01 - Dados de Entrada'!$C$116</f>
        <v>220147.19999999998</v>
      </c>
      <c r="AI34" s="148">
        <f>AI33*'01 - Dados de Entrada'!$C$116</f>
        <v>220147.19999999998</v>
      </c>
      <c r="AJ34" s="148">
        <f>AJ33*'01 - Dados de Entrada'!$C$116</f>
        <v>220147.19999999998</v>
      </c>
      <c r="AK34" s="148">
        <f>AK33*'01 - Dados de Entrada'!$C$116</f>
        <v>220147.19999999998</v>
      </c>
    </row>
    <row r="35" spans="1:37" s="152" customFormat="1" ht="13.15" customHeight="1" x14ac:dyDescent="0.2">
      <c r="A35" s="271" t="s">
        <v>945</v>
      </c>
      <c r="B35" s="272">
        <f t="shared" si="2"/>
        <v>0</v>
      </c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  <c r="AK35" s="274"/>
    </row>
    <row r="36" spans="1:37" s="152" customFormat="1" ht="13.15" customHeight="1" x14ac:dyDescent="0.2">
      <c r="A36" s="147" t="s">
        <v>936</v>
      </c>
      <c r="B36" s="272">
        <f t="shared" si="2"/>
        <v>1680000</v>
      </c>
      <c r="C36" s="273">
        <f>12*'01 - Dados de Entrada'!$C$202*'04 - Veículos e Equipamentos'!B44</f>
        <v>48000</v>
      </c>
      <c r="D36" s="273">
        <f>12*'01 - Dados de Entrada'!$C$202*'04 - Veículos e Equipamentos'!C44</f>
        <v>48000</v>
      </c>
      <c r="E36" s="273">
        <f>12*'01 - Dados de Entrada'!$C$202*'04 - Veículos e Equipamentos'!D44</f>
        <v>48000</v>
      </c>
      <c r="F36" s="273">
        <f>12*'01 - Dados de Entrada'!$C$202*'04 - Veículos e Equipamentos'!E44</f>
        <v>48000</v>
      </c>
      <c r="G36" s="273">
        <f>12*'01 - Dados de Entrada'!$C$202*'04 - Veículos e Equipamentos'!F44</f>
        <v>48000</v>
      </c>
      <c r="H36" s="273">
        <f>12*'01 - Dados de Entrada'!$C$202*'04 - Veículos e Equipamentos'!G44</f>
        <v>48000</v>
      </c>
      <c r="I36" s="273">
        <f>12*'01 - Dados de Entrada'!$C$202*'04 - Veículos e Equipamentos'!H44</f>
        <v>48000</v>
      </c>
      <c r="J36" s="273">
        <f>12*'01 - Dados de Entrada'!$C$202*'04 - Veículos e Equipamentos'!I44</f>
        <v>48000</v>
      </c>
      <c r="K36" s="273">
        <f>12*'01 - Dados de Entrada'!$C$202*'04 - Veículos e Equipamentos'!J44</f>
        <v>48000</v>
      </c>
      <c r="L36" s="273">
        <f>12*'01 - Dados de Entrada'!$C$202*'04 - Veículos e Equipamentos'!K44</f>
        <v>48000</v>
      </c>
      <c r="M36" s="273">
        <f>12*'01 - Dados de Entrada'!$C$202*'04 - Veículos e Equipamentos'!L44</f>
        <v>48000</v>
      </c>
      <c r="N36" s="273">
        <f>12*'01 - Dados de Entrada'!$C$202*'04 - Veículos e Equipamentos'!M44</f>
        <v>48000</v>
      </c>
      <c r="O36" s="273">
        <f>12*'01 - Dados de Entrada'!$C$202*'04 - Veículos e Equipamentos'!N44</f>
        <v>48000</v>
      </c>
      <c r="P36" s="273">
        <f>12*'01 - Dados de Entrada'!$C$202*'04 - Veículos e Equipamentos'!O44</f>
        <v>48000</v>
      </c>
      <c r="Q36" s="273">
        <f>12*'01 - Dados de Entrada'!$C$202*'04 - Veículos e Equipamentos'!P44</f>
        <v>48000</v>
      </c>
      <c r="R36" s="273">
        <f>12*'01 - Dados de Entrada'!$C$202*'04 - Veículos e Equipamentos'!Q44</f>
        <v>48000</v>
      </c>
      <c r="S36" s="273">
        <f>12*'01 - Dados de Entrada'!$C$202*'04 - Veículos e Equipamentos'!R44</f>
        <v>48000</v>
      </c>
      <c r="T36" s="273">
        <f>12*'01 - Dados de Entrada'!$C$202*'04 - Veículos e Equipamentos'!S44</f>
        <v>48000</v>
      </c>
      <c r="U36" s="273">
        <f>12*'01 - Dados de Entrada'!$C$202*'04 - Veículos e Equipamentos'!T44</f>
        <v>48000</v>
      </c>
      <c r="V36" s="273">
        <f>12*'01 - Dados de Entrada'!$C$202*'04 - Veículos e Equipamentos'!U44</f>
        <v>48000</v>
      </c>
      <c r="W36" s="273">
        <f>12*'01 - Dados de Entrada'!$C$202*'04 - Veículos e Equipamentos'!V44</f>
        <v>48000</v>
      </c>
      <c r="X36" s="273">
        <f>12*'01 - Dados de Entrada'!$C$202*'04 - Veículos e Equipamentos'!W44</f>
        <v>48000</v>
      </c>
      <c r="Y36" s="273">
        <f>12*'01 - Dados de Entrada'!$C$202*'04 - Veículos e Equipamentos'!X44</f>
        <v>48000</v>
      </c>
      <c r="Z36" s="273">
        <f>12*'01 - Dados de Entrada'!$C$202*'04 - Veículos e Equipamentos'!Y44</f>
        <v>48000</v>
      </c>
      <c r="AA36" s="273">
        <f>12*'01 - Dados de Entrada'!$C$202*'04 - Veículos e Equipamentos'!Z44</f>
        <v>48000</v>
      </c>
      <c r="AB36" s="273">
        <f>12*'01 - Dados de Entrada'!$C$202*'04 - Veículos e Equipamentos'!AA44</f>
        <v>48000</v>
      </c>
      <c r="AC36" s="273">
        <f>12*'01 - Dados de Entrada'!$C$202*'04 - Veículos e Equipamentos'!AB44</f>
        <v>48000</v>
      </c>
      <c r="AD36" s="273">
        <f>12*'01 - Dados de Entrada'!$C$202*'04 - Veículos e Equipamentos'!AC44</f>
        <v>48000</v>
      </c>
      <c r="AE36" s="273">
        <f>12*'01 - Dados de Entrada'!$C$202*'04 - Veículos e Equipamentos'!AD44</f>
        <v>48000</v>
      </c>
      <c r="AF36" s="273">
        <f>12*'01 - Dados de Entrada'!$C$202*'04 - Veículos e Equipamentos'!AE44</f>
        <v>48000</v>
      </c>
      <c r="AG36" s="273">
        <f>12*'01 - Dados de Entrada'!$C$202*'04 - Veículos e Equipamentos'!AF44</f>
        <v>48000</v>
      </c>
      <c r="AH36" s="273">
        <f>12*'01 - Dados de Entrada'!$C$202*'04 - Veículos e Equipamentos'!AG44</f>
        <v>48000</v>
      </c>
      <c r="AI36" s="273">
        <f>12*'01 - Dados de Entrada'!$C$202*'04 - Veículos e Equipamentos'!AH44</f>
        <v>48000</v>
      </c>
      <c r="AJ36" s="273">
        <f>12*'01 - Dados de Entrada'!$C$202*'04 - Veículos e Equipamentos'!AI44</f>
        <v>48000</v>
      </c>
      <c r="AK36" s="273">
        <f>12*'01 - Dados de Entrada'!$C$202*'04 - Veículos e Equipamentos'!AJ44</f>
        <v>48000</v>
      </c>
    </row>
    <row r="37" spans="1:37" s="152" customFormat="1" ht="13.15" customHeight="1" x14ac:dyDescent="0.2">
      <c r="A37" s="147" t="s">
        <v>937</v>
      </c>
      <c r="B37" s="272">
        <f t="shared" si="2"/>
        <v>560000</v>
      </c>
      <c r="C37" s="273">
        <f>C36/'01 - Dados de Entrada'!$C$228</f>
        <v>16000</v>
      </c>
      <c r="D37" s="273">
        <f>D36/'01 - Dados de Entrada'!$C$228</f>
        <v>16000</v>
      </c>
      <c r="E37" s="273">
        <f>E36/'01 - Dados de Entrada'!$C$228</f>
        <v>16000</v>
      </c>
      <c r="F37" s="273">
        <f>F36/'01 - Dados de Entrada'!$C$228</f>
        <v>16000</v>
      </c>
      <c r="G37" s="273">
        <f>G36/'01 - Dados de Entrada'!$C$228</f>
        <v>16000</v>
      </c>
      <c r="H37" s="273">
        <f>H36/'01 - Dados de Entrada'!$C$228</f>
        <v>16000</v>
      </c>
      <c r="I37" s="273">
        <f>I36/'01 - Dados de Entrada'!$C$228</f>
        <v>16000</v>
      </c>
      <c r="J37" s="273">
        <f>J36/'01 - Dados de Entrada'!$C$228</f>
        <v>16000</v>
      </c>
      <c r="K37" s="273">
        <f>K36/'01 - Dados de Entrada'!$C$228</f>
        <v>16000</v>
      </c>
      <c r="L37" s="273">
        <f>L36/'01 - Dados de Entrada'!$C$228</f>
        <v>16000</v>
      </c>
      <c r="M37" s="273">
        <f>M36/'01 - Dados de Entrada'!$C$228</f>
        <v>16000</v>
      </c>
      <c r="N37" s="273">
        <f>N36/'01 - Dados de Entrada'!$C$228</f>
        <v>16000</v>
      </c>
      <c r="O37" s="273">
        <f>O36/'01 - Dados de Entrada'!$C$228</f>
        <v>16000</v>
      </c>
      <c r="P37" s="273">
        <f>P36/'01 - Dados de Entrada'!$C$228</f>
        <v>16000</v>
      </c>
      <c r="Q37" s="273">
        <f>Q36/'01 - Dados de Entrada'!$C$228</f>
        <v>16000</v>
      </c>
      <c r="R37" s="273">
        <f>R36/'01 - Dados de Entrada'!$C$228</f>
        <v>16000</v>
      </c>
      <c r="S37" s="273">
        <f>S36/'01 - Dados de Entrada'!$C$228</f>
        <v>16000</v>
      </c>
      <c r="T37" s="273">
        <f>T36/'01 - Dados de Entrada'!$C$228</f>
        <v>16000</v>
      </c>
      <c r="U37" s="273">
        <f>U36/'01 - Dados de Entrada'!$C$228</f>
        <v>16000</v>
      </c>
      <c r="V37" s="273">
        <f>V36/'01 - Dados de Entrada'!$C$228</f>
        <v>16000</v>
      </c>
      <c r="W37" s="273">
        <f>W36/'01 - Dados de Entrada'!$C$228</f>
        <v>16000</v>
      </c>
      <c r="X37" s="273">
        <f>X36/'01 - Dados de Entrada'!$C$228</f>
        <v>16000</v>
      </c>
      <c r="Y37" s="273">
        <f>Y36/'01 - Dados de Entrada'!$C$228</f>
        <v>16000</v>
      </c>
      <c r="Z37" s="273">
        <f>Z36/'01 - Dados de Entrada'!$C$228</f>
        <v>16000</v>
      </c>
      <c r="AA37" s="273">
        <f>AA36/'01 - Dados de Entrada'!$C$228</f>
        <v>16000</v>
      </c>
      <c r="AB37" s="273">
        <f>AB36/'01 - Dados de Entrada'!$C$228</f>
        <v>16000</v>
      </c>
      <c r="AC37" s="273">
        <f>AC36/'01 - Dados de Entrada'!$C$228</f>
        <v>16000</v>
      </c>
      <c r="AD37" s="273">
        <f>AD36/'01 - Dados de Entrada'!$C$228</f>
        <v>16000</v>
      </c>
      <c r="AE37" s="273">
        <f>AE36/'01 - Dados de Entrada'!$C$228</f>
        <v>16000</v>
      </c>
      <c r="AF37" s="273">
        <f>AF36/'01 - Dados de Entrada'!$C$228</f>
        <v>16000</v>
      </c>
      <c r="AG37" s="273">
        <f>AG36/'01 - Dados de Entrada'!$C$228</f>
        <v>16000</v>
      </c>
      <c r="AH37" s="273">
        <f>AH36/'01 - Dados de Entrada'!$C$228</f>
        <v>16000</v>
      </c>
      <c r="AI37" s="273">
        <f>AI36/'01 - Dados de Entrada'!$C$228</f>
        <v>16000</v>
      </c>
      <c r="AJ37" s="273">
        <f>AJ36/'01 - Dados de Entrada'!$C$228</f>
        <v>16000</v>
      </c>
      <c r="AK37" s="273">
        <f>AK36/'01 - Dados de Entrada'!$C$228</f>
        <v>16000</v>
      </c>
    </row>
    <row r="38" spans="1:37" s="152" customFormat="1" ht="13.15" customHeight="1" x14ac:dyDescent="0.2">
      <c r="A38" s="147" t="s">
        <v>938</v>
      </c>
      <c r="B38" s="272">
        <f t="shared" si="2"/>
        <v>3292800</v>
      </c>
      <c r="C38" s="148">
        <f>C37*'01 - Dados de Entrada'!$C$116</f>
        <v>94080</v>
      </c>
      <c r="D38" s="148">
        <f>D37*'01 - Dados de Entrada'!$C$116</f>
        <v>94080</v>
      </c>
      <c r="E38" s="148">
        <f>E37*'01 - Dados de Entrada'!$C$116</f>
        <v>94080</v>
      </c>
      <c r="F38" s="148">
        <f>F37*'01 - Dados de Entrada'!$C$116</f>
        <v>94080</v>
      </c>
      <c r="G38" s="148">
        <f>G37*'01 - Dados de Entrada'!$C$116</f>
        <v>94080</v>
      </c>
      <c r="H38" s="148">
        <f>H37*'01 - Dados de Entrada'!$C$116</f>
        <v>94080</v>
      </c>
      <c r="I38" s="148">
        <f>I37*'01 - Dados de Entrada'!$C$116</f>
        <v>94080</v>
      </c>
      <c r="J38" s="148">
        <f>J37*'01 - Dados de Entrada'!$C$116</f>
        <v>94080</v>
      </c>
      <c r="K38" s="148">
        <f>K37*'01 - Dados de Entrada'!$C$116</f>
        <v>94080</v>
      </c>
      <c r="L38" s="148">
        <f>L37*'01 - Dados de Entrada'!$C$116</f>
        <v>94080</v>
      </c>
      <c r="M38" s="148">
        <f>M37*'01 - Dados de Entrada'!$C$116</f>
        <v>94080</v>
      </c>
      <c r="N38" s="148">
        <f>N37*'01 - Dados de Entrada'!$C$116</f>
        <v>94080</v>
      </c>
      <c r="O38" s="148">
        <f>O37*'01 - Dados de Entrada'!$C$116</f>
        <v>94080</v>
      </c>
      <c r="P38" s="148">
        <f>P37*'01 - Dados de Entrada'!$C$116</f>
        <v>94080</v>
      </c>
      <c r="Q38" s="148">
        <f>Q37*'01 - Dados de Entrada'!$C$116</f>
        <v>94080</v>
      </c>
      <c r="R38" s="148">
        <f>R37*'01 - Dados de Entrada'!$C$116</f>
        <v>94080</v>
      </c>
      <c r="S38" s="148">
        <f>S37*'01 - Dados de Entrada'!$C$116</f>
        <v>94080</v>
      </c>
      <c r="T38" s="148">
        <f>T37*'01 - Dados de Entrada'!$C$116</f>
        <v>94080</v>
      </c>
      <c r="U38" s="148">
        <f>U37*'01 - Dados de Entrada'!$C$116</f>
        <v>94080</v>
      </c>
      <c r="V38" s="148">
        <f>V37*'01 - Dados de Entrada'!$C$116</f>
        <v>94080</v>
      </c>
      <c r="W38" s="148">
        <f>W37*'01 - Dados de Entrada'!$C$116</f>
        <v>94080</v>
      </c>
      <c r="X38" s="148">
        <f>X37*'01 - Dados de Entrada'!$C$116</f>
        <v>94080</v>
      </c>
      <c r="Y38" s="148">
        <f>Y37*'01 - Dados de Entrada'!$C$116</f>
        <v>94080</v>
      </c>
      <c r="Z38" s="148">
        <f>Z37*'01 - Dados de Entrada'!$C$116</f>
        <v>94080</v>
      </c>
      <c r="AA38" s="148">
        <f>AA37*'01 - Dados de Entrada'!$C$116</f>
        <v>94080</v>
      </c>
      <c r="AB38" s="148">
        <f>AB37*'01 - Dados de Entrada'!$C$116</f>
        <v>94080</v>
      </c>
      <c r="AC38" s="148">
        <f>AC37*'01 - Dados de Entrada'!$C$116</f>
        <v>94080</v>
      </c>
      <c r="AD38" s="148">
        <f>AD37*'01 - Dados de Entrada'!$C$116</f>
        <v>94080</v>
      </c>
      <c r="AE38" s="148">
        <f>AE37*'01 - Dados de Entrada'!$C$116</f>
        <v>94080</v>
      </c>
      <c r="AF38" s="148">
        <f>AF37*'01 - Dados de Entrada'!$C$116</f>
        <v>94080</v>
      </c>
      <c r="AG38" s="148">
        <f>AG37*'01 - Dados de Entrada'!$C$116</f>
        <v>94080</v>
      </c>
      <c r="AH38" s="148">
        <f>AH37*'01 - Dados de Entrada'!$C$116</f>
        <v>94080</v>
      </c>
      <c r="AI38" s="148">
        <f>AI37*'01 - Dados de Entrada'!$C$116</f>
        <v>94080</v>
      </c>
      <c r="AJ38" s="148">
        <f>AJ37*'01 - Dados de Entrada'!$C$116</f>
        <v>94080</v>
      </c>
      <c r="AK38" s="148">
        <f>AK37*'01 - Dados de Entrada'!$C$116</f>
        <v>94080</v>
      </c>
    </row>
    <row r="39" spans="1:37" s="152" customFormat="1" ht="13.15" customHeight="1" x14ac:dyDescent="0.2">
      <c r="A39" s="271" t="s">
        <v>946</v>
      </c>
      <c r="B39" s="272">
        <f t="shared" ref="B39:B46" si="3">SUM(C39:AK39)</f>
        <v>0</v>
      </c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4"/>
      <c r="AE39" s="274"/>
      <c r="AF39" s="274"/>
      <c r="AG39" s="274"/>
      <c r="AH39" s="274"/>
      <c r="AI39" s="274"/>
      <c r="AJ39" s="274"/>
      <c r="AK39" s="274"/>
    </row>
    <row r="40" spans="1:37" s="152" customFormat="1" ht="13.15" customHeight="1" x14ac:dyDescent="0.2">
      <c r="A40" s="147" t="s">
        <v>947</v>
      </c>
      <c r="B40" s="272">
        <f t="shared" si="3"/>
        <v>63000</v>
      </c>
      <c r="C40" s="148">
        <f>12*'01 - Dados de Entrada'!$C$207*'04 - Veículos e Equipamentos'!B45</f>
        <v>1800</v>
      </c>
      <c r="D40" s="148">
        <f>12*'01 - Dados de Entrada'!$C$207*'04 - Veículos e Equipamentos'!C45</f>
        <v>1800</v>
      </c>
      <c r="E40" s="148">
        <f>12*'01 - Dados de Entrada'!$C$207*'04 - Veículos e Equipamentos'!D45</f>
        <v>1800</v>
      </c>
      <c r="F40" s="148">
        <f>12*'01 - Dados de Entrada'!$C$207*'04 - Veículos e Equipamentos'!E45</f>
        <v>1800</v>
      </c>
      <c r="G40" s="148">
        <f>12*'01 - Dados de Entrada'!$C$207*'04 - Veículos e Equipamentos'!F45</f>
        <v>1800</v>
      </c>
      <c r="H40" s="148">
        <f>12*'01 - Dados de Entrada'!$C$207*'04 - Veículos e Equipamentos'!G45</f>
        <v>1800</v>
      </c>
      <c r="I40" s="148">
        <f>12*'01 - Dados de Entrada'!$C$207*'04 - Veículos e Equipamentos'!H45</f>
        <v>1800</v>
      </c>
      <c r="J40" s="148">
        <f>12*'01 - Dados de Entrada'!$C$207*'04 - Veículos e Equipamentos'!I45</f>
        <v>1800</v>
      </c>
      <c r="K40" s="148">
        <f>12*'01 - Dados de Entrada'!$C$207*'04 - Veículos e Equipamentos'!J45</f>
        <v>1800</v>
      </c>
      <c r="L40" s="148">
        <f>12*'01 - Dados de Entrada'!$C$207*'04 - Veículos e Equipamentos'!K45</f>
        <v>1800</v>
      </c>
      <c r="M40" s="148">
        <f>12*'01 - Dados de Entrada'!$C$207*'04 - Veículos e Equipamentos'!L45</f>
        <v>1800</v>
      </c>
      <c r="N40" s="148">
        <f>12*'01 - Dados de Entrada'!$C$207*'04 - Veículos e Equipamentos'!M45</f>
        <v>1800</v>
      </c>
      <c r="O40" s="148">
        <f>12*'01 - Dados de Entrada'!$C$207*'04 - Veículos e Equipamentos'!N45</f>
        <v>1800</v>
      </c>
      <c r="P40" s="148">
        <f>12*'01 - Dados de Entrada'!$C$207*'04 - Veículos e Equipamentos'!O45</f>
        <v>1800</v>
      </c>
      <c r="Q40" s="148">
        <f>12*'01 - Dados de Entrada'!$C$207*'04 - Veículos e Equipamentos'!P45</f>
        <v>1800</v>
      </c>
      <c r="R40" s="148">
        <f>12*'01 - Dados de Entrada'!$C$207*'04 - Veículos e Equipamentos'!Q45</f>
        <v>1800</v>
      </c>
      <c r="S40" s="148">
        <f>12*'01 - Dados de Entrada'!$C$207*'04 - Veículos e Equipamentos'!R45</f>
        <v>1800</v>
      </c>
      <c r="T40" s="148">
        <f>12*'01 - Dados de Entrada'!$C$207*'04 - Veículos e Equipamentos'!S45</f>
        <v>1800</v>
      </c>
      <c r="U40" s="148">
        <f>12*'01 - Dados de Entrada'!$C$207*'04 - Veículos e Equipamentos'!T45</f>
        <v>1800</v>
      </c>
      <c r="V40" s="148">
        <f>12*'01 - Dados de Entrada'!$C$207*'04 - Veículos e Equipamentos'!U45</f>
        <v>1800</v>
      </c>
      <c r="W40" s="148">
        <f>12*'01 - Dados de Entrada'!$C$207*'04 - Veículos e Equipamentos'!V45</f>
        <v>1800</v>
      </c>
      <c r="X40" s="148">
        <f>12*'01 - Dados de Entrada'!$C$207*'04 - Veículos e Equipamentos'!W45</f>
        <v>1800</v>
      </c>
      <c r="Y40" s="148">
        <f>12*'01 - Dados de Entrada'!$C$207*'04 - Veículos e Equipamentos'!X45</f>
        <v>1800</v>
      </c>
      <c r="Z40" s="148">
        <f>12*'01 - Dados de Entrada'!$C$207*'04 - Veículos e Equipamentos'!Y45</f>
        <v>1800</v>
      </c>
      <c r="AA40" s="148">
        <f>12*'01 - Dados de Entrada'!$C$207*'04 - Veículos e Equipamentos'!Z45</f>
        <v>1800</v>
      </c>
      <c r="AB40" s="148">
        <f>12*'01 - Dados de Entrada'!$C$207*'04 - Veículos e Equipamentos'!AA45</f>
        <v>1800</v>
      </c>
      <c r="AC40" s="148">
        <f>12*'01 - Dados de Entrada'!$C$207*'04 - Veículos e Equipamentos'!AB45</f>
        <v>1800</v>
      </c>
      <c r="AD40" s="148">
        <f>12*'01 - Dados de Entrada'!$C$207*'04 - Veículos e Equipamentos'!AC45</f>
        <v>1800</v>
      </c>
      <c r="AE40" s="148">
        <f>12*'01 - Dados de Entrada'!$C$207*'04 - Veículos e Equipamentos'!AD45</f>
        <v>1800</v>
      </c>
      <c r="AF40" s="148">
        <f>12*'01 - Dados de Entrada'!$C$207*'04 - Veículos e Equipamentos'!AE45</f>
        <v>1800</v>
      </c>
      <c r="AG40" s="148">
        <f>12*'01 - Dados de Entrada'!$C$207*'04 - Veículos e Equipamentos'!AF45</f>
        <v>1800</v>
      </c>
      <c r="AH40" s="148">
        <f>12*'01 - Dados de Entrada'!$C$207*'04 - Veículos e Equipamentos'!AG45</f>
        <v>1800</v>
      </c>
      <c r="AI40" s="148">
        <f>12*'01 - Dados de Entrada'!$C$207*'04 - Veículos e Equipamentos'!AH45</f>
        <v>1800</v>
      </c>
      <c r="AJ40" s="148">
        <f>12*'01 - Dados de Entrada'!$C$207*'04 - Veículos e Equipamentos'!AI45</f>
        <v>1800</v>
      </c>
      <c r="AK40" s="148">
        <f>12*'01 - Dados de Entrada'!$C$207*'04 - Veículos e Equipamentos'!AJ45</f>
        <v>1800</v>
      </c>
    </row>
    <row r="41" spans="1:37" s="152" customFormat="1" ht="13.15" customHeight="1" x14ac:dyDescent="0.2">
      <c r="A41" s="147" t="s">
        <v>937</v>
      </c>
      <c r="B41" s="272">
        <f t="shared" si="3"/>
        <v>122219.99999999999</v>
      </c>
      <c r="C41" s="148">
        <f>C40/'01 - Dados de Entrada'!$C$230</f>
        <v>3491.9999999999995</v>
      </c>
      <c r="D41" s="148">
        <f>D40/'01 - Dados de Entrada'!$C$230</f>
        <v>3491.9999999999995</v>
      </c>
      <c r="E41" s="148">
        <f>E40/'01 - Dados de Entrada'!$C$230</f>
        <v>3491.9999999999995</v>
      </c>
      <c r="F41" s="148">
        <f>F40/'01 - Dados de Entrada'!$C$230</f>
        <v>3491.9999999999995</v>
      </c>
      <c r="G41" s="148">
        <f>G40/'01 - Dados de Entrada'!$C$230</f>
        <v>3491.9999999999995</v>
      </c>
      <c r="H41" s="148">
        <f>H40/'01 - Dados de Entrada'!$C$230</f>
        <v>3491.9999999999995</v>
      </c>
      <c r="I41" s="148">
        <f>I40/'01 - Dados de Entrada'!$C$230</f>
        <v>3491.9999999999995</v>
      </c>
      <c r="J41" s="148">
        <f>J40/'01 - Dados de Entrada'!$C$230</f>
        <v>3491.9999999999995</v>
      </c>
      <c r="K41" s="148">
        <f>K40/'01 - Dados de Entrada'!$C$230</f>
        <v>3491.9999999999995</v>
      </c>
      <c r="L41" s="148">
        <f>L40/'01 - Dados de Entrada'!$C$230</f>
        <v>3491.9999999999995</v>
      </c>
      <c r="M41" s="148">
        <f>M40/'01 - Dados de Entrada'!$C$230</f>
        <v>3491.9999999999995</v>
      </c>
      <c r="N41" s="148">
        <f>N40/'01 - Dados de Entrada'!$C$230</f>
        <v>3491.9999999999995</v>
      </c>
      <c r="O41" s="148">
        <f>O40/'01 - Dados de Entrada'!$C$230</f>
        <v>3491.9999999999995</v>
      </c>
      <c r="P41" s="148">
        <f>P40/'01 - Dados de Entrada'!$C$230</f>
        <v>3491.9999999999995</v>
      </c>
      <c r="Q41" s="148">
        <f>Q40/'01 - Dados de Entrada'!$C$230</f>
        <v>3491.9999999999995</v>
      </c>
      <c r="R41" s="148">
        <f>R40/'01 - Dados de Entrada'!$C$230</f>
        <v>3491.9999999999995</v>
      </c>
      <c r="S41" s="148">
        <f>S40/'01 - Dados de Entrada'!$C$230</f>
        <v>3491.9999999999995</v>
      </c>
      <c r="T41" s="148">
        <f>T40/'01 - Dados de Entrada'!$C$230</f>
        <v>3491.9999999999995</v>
      </c>
      <c r="U41" s="148">
        <f>U40/'01 - Dados de Entrada'!$C$230</f>
        <v>3491.9999999999995</v>
      </c>
      <c r="V41" s="148">
        <f>V40/'01 - Dados de Entrada'!$C$230</f>
        <v>3491.9999999999995</v>
      </c>
      <c r="W41" s="148">
        <f>W40/'01 - Dados de Entrada'!$C$230</f>
        <v>3491.9999999999995</v>
      </c>
      <c r="X41" s="148">
        <f>X40/'01 - Dados de Entrada'!$C$230</f>
        <v>3491.9999999999995</v>
      </c>
      <c r="Y41" s="148">
        <f>Y40/'01 - Dados de Entrada'!$C$230</f>
        <v>3491.9999999999995</v>
      </c>
      <c r="Z41" s="148">
        <f>Z40/'01 - Dados de Entrada'!$C$230</f>
        <v>3491.9999999999995</v>
      </c>
      <c r="AA41" s="148">
        <f>AA40/'01 - Dados de Entrada'!$C$230</f>
        <v>3491.9999999999995</v>
      </c>
      <c r="AB41" s="148">
        <f>AB40/'01 - Dados de Entrada'!$C$230</f>
        <v>3491.9999999999995</v>
      </c>
      <c r="AC41" s="148">
        <f>AC40/'01 - Dados de Entrada'!$C$230</f>
        <v>3491.9999999999995</v>
      </c>
      <c r="AD41" s="148">
        <f>AD40/'01 - Dados de Entrada'!$C$230</f>
        <v>3491.9999999999995</v>
      </c>
      <c r="AE41" s="148">
        <f>AE40/'01 - Dados de Entrada'!$C$230</f>
        <v>3491.9999999999995</v>
      </c>
      <c r="AF41" s="148">
        <f>AF40/'01 - Dados de Entrada'!$C$230</f>
        <v>3491.9999999999995</v>
      </c>
      <c r="AG41" s="148">
        <f>AG40/'01 - Dados de Entrada'!$C$230</f>
        <v>3491.9999999999995</v>
      </c>
      <c r="AH41" s="148">
        <f>AH40/'01 - Dados de Entrada'!$C$230</f>
        <v>3491.9999999999995</v>
      </c>
      <c r="AI41" s="148">
        <f>AI40/'01 - Dados de Entrada'!$C$230</f>
        <v>3491.9999999999995</v>
      </c>
      <c r="AJ41" s="148">
        <f>AJ40/'01 - Dados de Entrada'!$C$230</f>
        <v>3491.9999999999995</v>
      </c>
      <c r="AK41" s="148">
        <f>AK40/'01 - Dados de Entrada'!$C$230</f>
        <v>3491.9999999999995</v>
      </c>
    </row>
    <row r="42" spans="1:37" s="152" customFormat="1" ht="13.15" customHeight="1" x14ac:dyDescent="0.2">
      <c r="A42" s="147" t="s">
        <v>938</v>
      </c>
      <c r="B42" s="272">
        <f t="shared" si="3"/>
        <v>718653.59999999986</v>
      </c>
      <c r="C42" s="148">
        <f>C41*'01 - Dados de Entrada'!$C$116</f>
        <v>20532.959999999995</v>
      </c>
      <c r="D42" s="148">
        <f>D41*'01 - Dados de Entrada'!$C$116</f>
        <v>20532.959999999995</v>
      </c>
      <c r="E42" s="148">
        <f>E41*'01 - Dados de Entrada'!$C$116</f>
        <v>20532.959999999995</v>
      </c>
      <c r="F42" s="148">
        <f>F41*'01 - Dados de Entrada'!$C$116</f>
        <v>20532.959999999995</v>
      </c>
      <c r="G42" s="148">
        <f>G41*'01 - Dados de Entrada'!$C$116</f>
        <v>20532.959999999995</v>
      </c>
      <c r="H42" s="148">
        <f>H41*'01 - Dados de Entrada'!$C$116</f>
        <v>20532.959999999995</v>
      </c>
      <c r="I42" s="148">
        <f>I41*'01 - Dados de Entrada'!$C$116</f>
        <v>20532.959999999995</v>
      </c>
      <c r="J42" s="148">
        <f>J41*'01 - Dados de Entrada'!$C$116</f>
        <v>20532.959999999995</v>
      </c>
      <c r="K42" s="148">
        <f>K41*'01 - Dados de Entrada'!$C$116</f>
        <v>20532.959999999995</v>
      </c>
      <c r="L42" s="148">
        <f>L41*'01 - Dados de Entrada'!$C$116</f>
        <v>20532.959999999995</v>
      </c>
      <c r="M42" s="148">
        <f>M41*'01 - Dados de Entrada'!$C$116</f>
        <v>20532.959999999995</v>
      </c>
      <c r="N42" s="148">
        <f>N41*'01 - Dados de Entrada'!$C$116</f>
        <v>20532.959999999995</v>
      </c>
      <c r="O42" s="148">
        <f>O41*'01 - Dados de Entrada'!$C$116</f>
        <v>20532.959999999995</v>
      </c>
      <c r="P42" s="148">
        <f>P41*'01 - Dados de Entrada'!$C$116</f>
        <v>20532.959999999995</v>
      </c>
      <c r="Q42" s="148">
        <f>Q41*'01 - Dados de Entrada'!$C$116</f>
        <v>20532.959999999995</v>
      </c>
      <c r="R42" s="148">
        <f>R41*'01 - Dados de Entrada'!$C$116</f>
        <v>20532.959999999995</v>
      </c>
      <c r="S42" s="148">
        <f>S41*'01 - Dados de Entrada'!$C$116</f>
        <v>20532.959999999995</v>
      </c>
      <c r="T42" s="148">
        <f>T41*'01 - Dados de Entrada'!$C$116</f>
        <v>20532.959999999995</v>
      </c>
      <c r="U42" s="148">
        <f>U41*'01 - Dados de Entrada'!$C$116</f>
        <v>20532.959999999995</v>
      </c>
      <c r="V42" s="148">
        <f>V41*'01 - Dados de Entrada'!$C$116</f>
        <v>20532.959999999995</v>
      </c>
      <c r="W42" s="148">
        <f>W41*'01 - Dados de Entrada'!$C$116</f>
        <v>20532.959999999995</v>
      </c>
      <c r="X42" s="148">
        <f>X41*'01 - Dados de Entrada'!$C$116</f>
        <v>20532.959999999995</v>
      </c>
      <c r="Y42" s="148">
        <f>Y41*'01 - Dados de Entrada'!$C$116</f>
        <v>20532.959999999995</v>
      </c>
      <c r="Z42" s="148">
        <f>Z41*'01 - Dados de Entrada'!$C$116</f>
        <v>20532.959999999995</v>
      </c>
      <c r="AA42" s="148">
        <f>AA41*'01 - Dados de Entrada'!$C$116</f>
        <v>20532.959999999995</v>
      </c>
      <c r="AB42" s="148">
        <f>AB41*'01 - Dados de Entrada'!$C$116</f>
        <v>20532.959999999995</v>
      </c>
      <c r="AC42" s="148">
        <f>AC41*'01 - Dados de Entrada'!$C$116</f>
        <v>20532.959999999995</v>
      </c>
      <c r="AD42" s="148">
        <f>AD41*'01 - Dados de Entrada'!$C$116</f>
        <v>20532.959999999995</v>
      </c>
      <c r="AE42" s="148">
        <f>AE41*'01 - Dados de Entrada'!$C$116</f>
        <v>20532.959999999995</v>
      </c>
      <c r="AF42" s="148">
        <f>AF41*'01 - Dados de Entrada'!$C$116</f>
        <v>20532.959999999995</v>
      </c>
      <c r="AG42" s="148">
        <f>AG41*'01 - Dados de Entrada'!$C$116</f>
        <v>20532.959999999995</v>
      </c>
      <c r="AH42" s="148">
        <f>AH41*'01 - Dados de Entrada'!$C$116</f>
        <v>20532.959999999995</v>
      </c>
      <c r="AI42" s="148">
        <f>AI41*'01 - Dados de Entrada'!$C$116</f>
        <v>20532.959999999995</v>
      </c>
      <c r="AJ42" s="148">
        <f>AJ41*'01 - Dados de Entrada'!$C$116</f>
        <v>20532.959999999995</v>
      </c>
      <c r="AK42" s="148">
        <f>AK41*'01 - Dados de Entrada'!$C$116</f>
        <v>20532.959999999995</v>
      </c>
    </row>
    <row r="43" spans="1:37" s="152" customFormat="1" ht="13.15" customHeight="1" x14ac:dyDescent="0.2">
      <c r="A43" s="271" t="s">
        <v>948</v>
      </c>
      <c r="B43" s="272">
        <f t="shared" si="3"/>
        <v>0</v>
      </c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4"/>
      <c r="AE43" s="274"/>
      <c r="AF43" s="274"/>
      <c r="AG43" s="274"/>
      <c r="AH43" s="274"/>
      <c r="AI43" s="274"/>
      <c r="AJ43" s="274"/>
      <c r="AK43" s="274"/>
    </row>
    <row r="44" spans="1:37" s="152" customFormat="1" ht="13.15" customHeight="1" x14ac:dyDescent="0.2">
      <c r="A44" s="147" t="s">
        <v>947</v>
      </c>
      <c r="B44" s="272">
        <f t="shared" si="3"/>
        <v>63000</v>
      </c>
      <c r="C44" s="273">
        <f>12*'01 - Dados de Entrada'!$C$209*'04 - Veículos e Equipamentos'!B46</f>
        <v>1800</v>
      </c>
      <c r="D44" s="273">
        <f>12*'01 - Dados de Entrada'!$C$209*'04 - Veículos e Equipamentos'!C46</f>
        <v>1800</v>
      </c>
      <c r="E44" s="273">
        <f>12*'01 - Dados de Entrada'!$C$209*'04 - Veículos e Equipamentos'!D46</f>
        <v>1800</v>
      </c>
      <c r="F44" s="273">
        <f>12*'01 - Dados de Entrada'!$C$209*'04 - Veículos e Equipamentos'!E46</f>
        <v>1800</v>
      </c>
      <c r="G44" s="273">
        <f>12*'01 - Dados de Entrada'!$C$209*'04 - Veículos e Equipamentos'!F46</f>
        <v>1800</v>
      </c>
      <c r="H44" s="273">
        <f>12*'01 - Dados de Entrada'!$C$209*'04 - Veículos e Equipamentos'!G46</f>
        <v>1800</v>
      </c>
      <c r="I44" s="273">
        <f>12*'01 - Dados de Entrada'!$C$209*'04 - Veículos e Equipamentos'!H46</f>
        <v>1800</v>
      </c>
      <c r="J44" s="273">
        <f>12*'01 - Dados de Entrada'!$C$209*'04 - Veículos e Equipamentos'!I46</f>
        <v>1800</v>
      </c>
      <c r="K44" s="273">
        <f>12*'01 - Dados de Entrada'!$C$209*'04 - Veículos e Equipamentos'!J46</f>
        <v>1800</v>
      </c>
      <c r="L44" s="273">
        <f>12*'01 - Dados de Entrada'!$C$209*'04 - Veículos e Equipamentos'!K46</f>
        <v>1800</v>
      </c>
      <c r="M44" s="273">
        <f>12*'01 - Dados de Entrada'!$C$209*'04 - Veículos e Equipamentos'!L46</f>
        <v>1800</v>
      </c>
      <c r="N44" s="273">
        <f>12*'01 - Dados de Entrada'!$C$209*'04 - Veículos e Equipamentos'!M46</f>
        <v>1800</v>
      </c>
      <c r="O44" s="273">
        <f>12*'01 - Dados de Entrada'!$C$209*'04 - Veículos e Equipamentos'!N46</f>
        <v>1800</v>
      </c>
      <c r="P44" s="273">
        <f>12*'01 - Dados de Entrada'!$C$209*'04 - Veículos e Equipamentos'!O46</f>
        <v>1800</v>
      </c>
      <c r="Q44" s="273">
        <f>12*'01 - Dados de Entrada'!$C$209*'04 - Veículos e Equipamentos'!P46</f>
        <v>1800</v>
      </c>
      <c r="R44" s="273">
        <f>12*'01 - Dados de Entrada'!$C$209*'04 - Veículos e Equipamentos'!Q46</f>
        <v>1800</v>
      </c>
      <c r="S44" s="273">
        <f>12*'01 - Dados de Entrada'!$C$209*'04 - Veículos e Equipamentos'!R46</f>
        <v>1800</v>
      </c>
      <c r="T44" s="273">
        <f>12*'01 - Dados de Entrada'!$C$209*'04 - Veículos e Equipamentos'!S46</f>
        <v>1800</v>
      </c>
      <c r="U44" s="273">
        <f>12*'01 - Dados de Entrada'!$C$209*'04 - Veículos e Equipamentos'!T46</f>
        <v>1800</v>
      </c>
      <c r="V44" s="273">
        <f>12*'01 - Dados de Entrada'!$C$209*'04 - Veículos e Equipamentos'!U46</f>
        <v>1800</v>
      </c>
      <c r="W44" s="273">
        <f>12*'01 - Dados de Entrada'!$C$209*'04 - Veículos e Equipamentos'!V46</f>
        <v>1800</v>
      </c>
      <c r="X44" s="273">
        <f>12*'01 - Dados de Entrada'!$C$209*'04 - Veículos e Equipamentos'!W46</f>
        <v>1800</v>
      </c>
      <c r="Y44" s="273">
        <f>12*'01 - Dados de Entrada'!$C$209*'04 - Veículos e Equipamentos'!X46</f>
        <v>1800</v>
      </c>
      <c r="Z44" s="273">
        <f>12*'01 - Dados de Entrada'!$C$209*'04 - Veículos e Equipamentos'!Y46</f>
        <v>1800</v>
      </c>
      <c r="AA44" s="273">
        <f>12*'01 - Dados de Entrada'!$C$209*'04 - Veículos e Equipamentos'!Z46</f>
        <v>1800</v>
      </c>
      <c r="AB44" s="273">
        <f>12*'01 - Dados de Entrada'!$C$209*'04 - Veículos e Equipamentos'!AA46</f>
        <v>1800</v>
      </c>
      <c r="AC44" s="273">
        <f>12*'01 - Dados de Entrada'!$C$209*'04 - Veículos e Equipamentos'!AB46</f>
        <v>1800</v>
      </c>
      <c r="AD44" s="273">
        <f>12*'01 - Dados de Entrada'!$C$209*'04 - Veículos e Equipamentos'!AC46</f>
        <v>1800</v>
      </c>
      <c r="AE44" s="273">
        <f>12*'01 - Dados de Entrada'!$C$209*'04 - Veículos e Equipamentos'!AD46</f>
        <v>1800</v>
      </c>
      <c r="AF44" s="273">
        <f>12*'01 - Dados de Entrada'!$C$209*'04 - Veículos e Equipamentos'!AE46</f>
        <v>1800</v>
      </c>
      <c r="AG44" s="273">
        <f>12*'01 - Dados de Entrada'!$C$209*'04 - Veículos e Equipamentos'!AF46</f>
        <v>1800</v>
      </c>
      <c r="AH44" s="273">
        <f>12*'01 - Dados de Entrada'!$C$209*'04 - Veículos e Equipamentos'!AG46</f>
        <v>1800</v>
      </c>
      <c r="AI44" s="273">
        <f>12*'01 - Dados de Entrada'!$C$209*'04 - Veículos e Equipamentos'!AH46</f>
        <v>1800</v>
      </c>
      <c r="AJ44" s="273">
        <f>12*'01 - Dados de Entrada'!$C$209*'04 - Veículos e Equipamentos'!AI46</f>
        <v>1800</v>
      </c>
      <c r="AK44" s="273">
        <f>12*'01 - Dados de Entrada'!$C$209*'04 - Veículos e Equipamentos'!AJ46</f>
        <v>1800</v>
      </c>
    </row>
    <row r="45" spans="1:37" s="152" customFormat="1" ht="13.15" customHeight="1" x14ac:dyDescent="0.2">
      <c r="A45" s="147" t="s">
        <v>937</v>
      </c>
      <c r="B45" s="272">
        <f t="shared" si="3"/>
        <v>122219.99999999999</v>
      </c>
      <c r="C45" s="148">
        <f>C44/'01 - Dados de Entrada'!$C$230</f>
        <v>3491.9999999999995</v>
      </c>
      <c r="D45" s="148">
        <f>D44/'01 - Dados de Entrada'!$C$230</f>
        <v>3491.9999999999995</v>
      </c>
      <c r="E45" s="148">
        <f>E44/'01 - Dados de Entrada'!$C$230</f>
        <v>3491.9999999999995</v>
      </c>
      <c r="F45" s="148">
        <f>F44/'01 - Dados de Entrada'!$C$230</f>
        <v>3491.9999999999995</v>
      </c>
      <c r="G45" s="148">
        <f>G44/'01 - Dados de Entrada'!$C$230</f>
        <v>3491.9999999999995</v>
      </c>
      <c r="H45" s="148">
        <f>H44/'01 - Dados de Entrada'!$C$230</f>
        <v>3491.9999999999995</v>
      </c>
      <c r="I45" s="148">
        <f>I44/'01 - Dados de Entrada'!$C$230</f>
        <v>3491.9999999999995</v>
      </c>
      <c r="J45" s="148">
        <f>J44/'01 - Dados de Entrada'!$C$230</f>
        <v>3491.9999999999995</v>
      </c>
      <c r="K45" s="148">
        <f>K44/'01 - Dados de Entrada'!$C$230</f>
        <v>3491.9999999999995</v>
      </c>
      <c r="L45" s="148">
        <f>L44/'01 - Dados de Entrada'!$C$230</f>
        <v>3491.9999999999995</v>
      </c>
      <c r="M45" s="148">
        <f>M44/'01 - Dados de Entrada'!$C$230</f>
        <v>3491.9999999999995</v>
      </c>
      <c r="N45" s="148">
        <f>N44/'01 - Dados de Entrada'!$C$230</f>
        <v>3491.9999999999995</v>
      </c>
      <c r="O45" s="148">
        <f>O44/'01 - Dados de Entrada'!$C$230</f>
        <v>3491.9999999999995</v>
      </c>
      <c r="P45" s="148">
        <f>P44/'01 - Dados de Entrada'!$C$230</f>
        <v>3491.9999999999995</v>
      </c>
      <c r="Q45" s="148">
        <f>Q44/'01 - Dados de Entrada'!$C$230</f>
        <v>3491.9999999999995</v>
      </c>
      <c r="R45" s="148">
        <f>R44/'01 - Dados de Entrada'!$C$230</f>
        <v>3491.9999999999995</v>
      </c>
      <c r="S45" s="148">
        <f>S44/'01 - Dados de Entrada'!$C$230</f>
        <v>3491.9999999999995</v>
      </c>
      <c r="T45" s="148">
        <f>T44/'01 - Dados de Entrada'!$C$230</f>
        <v>3491.9999999999995</v>
      </c>
      <c r="U45" s="148">
        <f>U44/'01 - Dados de Entrada'!$C$230</f>
        <v>3491.9999999999995</v>
      </c>
      <c r="V45" s="148">
        <f>V44/'01 - Dados de Entrada'!$C$230</f>
        <v>3491.9999999999995</v>
      </c>
      <c r="W45" s="148">
        <f>W44/'01 - Dados de Entrada'!$C$230</f>
        <v>3491.9999999999995</v>
      </c>
      <c r="X45" s="148">
        <f>X44/'01 - Dados de Entrada'!$C$230</f>
        <v>3491.9999999999995</v>
      </c>
      <c r="Y45" s="148">
        <f>Y44/'01 - Dados de Entrada'!$C$230</f>
        <v>3491.9999999999995</v>
      </c>
      <c r="Z45" s="148">
        <f>Z44/'01 - Dados de Entrada'!$C$230</f>
        <v>3491.9999999999995</v>
      </c>
      <c r="AA45" s="148">
        <f>AA44/'01 - Dados de Entrada'!$C$230</f>
        <v>3491.9999999999995</v>
      </c>
      <c r="AB45" s="148">
        <f>AB44/'01 - Dados de Entrada'!$C$230</f>
        <v>3491.9999999999995</v>
      </c>
      <c r="AC45" s="148">
        <f>AC44/'01 - Dados de Entrada'!$C$230</f>
        <v>3491.9999999999995</v>
      </c>
      <c r="AD45" s="148">
        <f>AD44/'01 - Dados de Entrada'!$C$230</f>
        <v>3491.9999999999995</v>
      </c>
      <c r="AE45" s="148">
        <f>AE44/'01 - Dados de Entrada'!$C$230</f>
        <v>3491.9999999999995</v>
      </c>
      <c r="AF45" s="148">
        <f>AF44/'01 - Dados de Entrada'!$C$230</f>
        <v>3491.9999999999995</v>
      </c>
      <c r="AG45" s="148">
        <f>AG44/'01 - Dados de Entrada'!$C$230</f>
        <v>3491.9999999999995</v>
      </c>
      <c r="AH45" s="148">
        <f>AH44/'01 - Dados de Entrada'!$C$230</f>
        <v>3491.9999999999995</v>
      </c>
      <c r="AI45" s="148">
        <f>AI44/'01 - Dados de Entrada'!$C$230</f>
        <v>3491.9999999999995</v>
      </c>
      <c r="AJ45" s="148">
        <f>AJ44/'01 - Dados de Entrada'!$C$230</f>
        <v>3491.9999999999995</v>
      </c>
      <c r="AK45" s="148">
        <f>AK44/'01 - Dados de Entrada'!$C$230</f>
        <v>3491.9999999999995</v>
      </c>
    </row>
    <row r="46" spans="1:37" s="152" customFormat="1" ht="13.15" customHeight="1" x14ac:dyDescent="0.2">
      <c r="A46" s="147" t="s">
        <v>938</v>
      </c>
      <c r="B46" s="272">
        <f t="shared" si="3"/>
        <v>718653.59999999986</v>
      </c>
      <c r="C46" s="148">
        <f>C45*'01 - Dados de Entrada'!$C$116</f>
        <v>20532.959999999995</v>
      </c>
      <c r="D46" s="148">
        <f>D45*'01 - Dados de Entrada'!$C$116</f>
        <v>20532.959999999995</v>
      </c>
      <c r="E46" s="148">
        <f>E45*'01 - Dados de Entrada'!$C$116</f>
        <v>20532.959999999995</v>
      </c>
      <c r="F46" s="148">
        <f>F45*'01 - Dados de Entrada'!$C$116</f>
        <v>20532.959999999995</v>
      </c>
      <c r="G46" s="148">
        <f>G45*'01 - Dados de Entrada'!$C$116</f>
        <v>20532.959999999995</v>
      </c>
      <c r="H46" s="148">
        <f>H45*'01 - Dados de Entrada'!$C$116</f>
        <v>20532.959999999995</v>
      </c>
      <c r="I46" s="148">
        <f>I45*'01 - Dados de Entrada'!$C$116</f>
        <v>20532.959999999995</v>
      </c>
      <c r="J46" s="148">
        <f>J45*'01 - Dados de Entrada'!$C$116</f>
        <v>20532.959999999995</v>
      </c>
      <c r="K46" s="148">
        <f>K45*'01 - Dados de Entrada'!$C$116</f>
        <v>20532.959999999995</v>
      </c>
      <c r="L46" s="148">
        <f>L45*'01 - Dados de Entrada'!$C$116</f>
        <v>20532.959999999995</v>
      </c>
      <c r="M46" s="148">
        <f>M45*'01 - Dados de Entrada'!$C$116</f>
        <v>20532.959999999995</v>
      </c>
      <c r="N46" s="148">
        <f>N45*'01 - Dados de Entrada'!$C$116</f>
        <v>20532.959999999995</v>
      </c>
      <c r="O46" s="148">
        <f>O45*'01 - Dados de Entrada'!$C$116</f>
        <v>20532.959999999995</v>
      </c>
      <c r="P46" s="148">
        <f>P45*'01 - Dados de Entrada'!$C$116</f>
        <v>20532.959999999995</v>
      </c>
      <c r="Q46" s="148">
        <f>Q45*'01 - Dados de Entrada'!$C$116</f>
        <v>20532.959999999995</v>
      </c>
      <c r="R46" s="148">
        <f>R45*'01 - Dados de Entrada'!$C$116</f>
        <v>20532.959999999995</v>
      </c>
      <c r="S46" s="148">
        <f>S45*'01 - Dados de Entrada'!$C$116</f>
        <v>20532.959999999995</v>
      </c>
      <c r="T46" s="148">
        <f>T45*'01 - Dados de Entrada'!$C$116</f>
        <v>20532.959999999995</v>
      </c>
      <c r="U46" s="148">
        <f>U45*'01 - Dados de Entrada'!$C$116</f>
        <v>20532.959999999995</v>
      </c>
      <c r="V46" s="148">
        <f>V45*'01 - Dados de Entrada'!$C$116</f>
        <v>20532.959999999995</v>
      </c>
      <c r="W46" s="148">
        <f>W45*'01 - Dados de Entrada'!$C$116</f>
        <v>20532.959999999995</v>
      </c>
      <c r="X46" s="148">
        <f>X45*'01 - Dados de Entrada'!$C$116</f>
        <v>20532.959999999995</v>
      </c>
      <c r="Y46" s="148">
        <f>Y45*'01 - Dados de Entrada'!$C$116</f>
        <v>20532.959999999995</v>
      </c>
      <c r="Z46" s="148">
        <f>Z45*'01 - Dados de Entrada'!$C$116</f>
        <v>20532.959999999995</v>
      </c>
      <c r="AA46" s="148">
        <f>AA45*'01 - Dados de Entrada'!$C$116</f>
        <v>20532.959999999995</v>
      </c>
      <c r="AB46" s="148">
        <f>AB45*'01 - Dados de Entrada'!$C$116</f>
        <v>20532.959999999995</v>
      </c>
      <c r="AC46" s="148">
        <f>AC45*'01 - Dados de Entrada'!$C$116</f>
        <v>20532.959999999995</v>
      </c>
      <c r="AD46" s="148">
        <f>AD45*'01 - Dados de Entrada'!$C$116</f>
        <v>20532.959999999995</v>
      </c>
      <c r="AE46" s="148">
        <f>AE45*'01 - Dados de Entrada'!$C$116</f>
        <v>20532.959999999995</v>
      </c>
      <c r="AF46" s="148">
        <f>AF45*'01 - Dados de Entrada'!$C$116</f>
        <v>20532.959999999995</v>
      </c>
      <c r="AG46" s="148">
        <f>AG45*'01 - Dados de Entrada'!$C$116</f>
        <v>20532.959999999995</v>
      </c>
      <c r="AH46" s="148">
        <f>AH45*'01 - Dados de Entrada'!$C$116</f>
        <v>20532.959999999995</v>
      </c>
      <c r="AI46" s="148">
        <f>AI45*'01 - Dados de Entrada'!$C$116</f>
        <v>20532.959999999995</v>
      </c>
      <c r="AJ46" s="148">
        <f>AJ45*'01 - Dados de Entrada'!$C$116</f>
        <v>20532.959999999995</v>
      </c>
      <c r="AK46" s="148">
        <f>AK45*'01 - Dados de Entrada'!$C$116</f>
        <v>20532.959999999995</v>
      </c>
    </row>
    <row r="47" spans="1:37" customFormat="1" ht="13.15" customHeight="1" x14ac:dyDescent="0.2">
      <c r="A47" s="271" t="s">
        <v>949</v>
      </c>
    </row>
    <row r="48" spans="1:37" customFormat="1" ht="13.15" customHeight="1" x14ac:dyDescent="0.2">
      <c r="A48" s="147" t="s">
        <v>947</v>
      </c>
      <c r="B48" s="272">
        <f>SUM(C48:AK48)</f>
        <v>504000</v>
      </c>
      <c r="C48" s="273">
        <f>12*'01 - Dados de Entrada'!$C$211*'04 - Veículos e Equipamentos'!B47</f>
        <v>14400</v>
      </c>
      <c r="D48" s="273">
        <f>12*'01 - Dados de Entrada'!$C$211*'04 - Veículos e Equipamentos'!C47</f>
        <v>14400</v>
      </c>
      <c r="E48" s="273">
        <f>12*'01 - Dados de Entrada'!$C$211*'04 - Veículos e Equipamentos'!D47</f>
        <v>14400</v>
      </c>
      <c r="F48" s="273">
        <f>12*'01 - Dados de Entrada'!$C$211*'04 - Veículos e Equipamentos'!E47</f>
        <v>14400</v>
      </c>
      <c r="G48" s="273">
        <f>12*'01 - Dados de Entrada'!$C$211*'04 - Veículos e Equipamentos'!F47</f>
        <v>14400</v>
      </c>
      <c r="H48" s="273">
        <f>12*'01 - Dados de Entrada'!$C$211*'04 - Veículos e Equipamentos'!G47</f>
        <v>14400</v>
      </c>
      <c r="I48" s="273">
        <f>12*'01 - Dados de Entrada'!$C$211*'04 - Veículos e Equipamentos'!H47</f>
        <v>14400</v>
      </c>
      <c r="J48" s="273">
        <f>12*'01 - Dados de Entrada'!$C$211*'04 - Veículos e Equipamentos'!I47</f>
        <v>14400</v>
      </c>
      <c r="K48" s="273">
        <f>12*'01 - Dados de Entrada'!$C$211*'04 - Veículos e Equipamentos'!J47</f>
        <v>14400</v>
      </c>
      <c r="L48" s="273">
        <f>12*'01 - Dados de Entrada'!$C$211*'04 - Veículos e Equipamentos'!K47</f>
        <v>14400</v>
      </c>
      <c r="M48" s="273">
        <f>12*'01 - Dados de Entrada'!$C$211*'04 - Veículos e Equipamentos'!L47</f>
        <v>14400</v>
      </c>
      <c r="N48" s="273">
        <f>12*'01 - Dados de Entrada'!$C$211*'04 - Veículos e Equipamentos'!M47</f>
        <v>14400</v>
      </c>
      <c r="O48" s="273">
        <f>12*'01 - Dados de Entrada'!$C$211*'04 - Veículos e Equipamentos'!N47</f>
        <v>14400</v>
      </c>
      <c r="P48" s="273">
        <f>12*'01 - Dados de Entrada'!$C$211*'04 - Veículos e Equipamentos'!O47</f>
        <v>14400</v>
      </c>
      <c r="Q48" s="273">
        <f>12*'01 - Dados de Entrada'!$C$211*'04 - Veículos e Equipamentos'!P47</f>
        <v>14400</v>
      </c>
      <c r="R48" s="273">
        <f>12*'01 - Dados de Entrada'!$C$211*'04 - Veículos e Equipamentos'!Q47</f>
        <v>14400</v>
      </c>
      <c r="S48" s="273">
        <f>12*'01 - Dados de Entrada'!$C$211*'04 - Veículos e Equipamentos'!R47</f>
        <v>14400</v>
      </c>
      <c r="T48" s="273">
        <f>12*'01 - Dados de Entrada'!$C$211*'04 - Veículos e Equipamentos'!S47</f>
        <v>14400</v>
      </c>
      <c r="U48" s="273">
        <f>12*'01 - Dados de Entrada'!$C$211*'04 - Veículos e Equipamentos'!T47</f>
        <v>14400</v>
      </c>
      <c r="V48" s="273">
        <f>12*'01 - Dados de Entrada'!$C$211*'04 - Veículos e Equipamentos'!U47</f>
        <v>14400</v>
      </c>
      <c r="W48" s="273">
        <f>12*'01 - Dados de Entrada'!$C$211*'04 - Veículos e Equipamentos'!V47</f>
        <v>14400</v>
      </c>
      <c r="X48" s="273">
        <f>12*'01 - Dados de Entrada'!$C$211*'04 - Veículos e Equipamentos'!W47</f>
        <v>14400</v>
      </c>
      <c r="Y48" s="273">
        <f>12*'01 - Dados de Entrada'!$C$211*'04 - Veículos e Equipamentos'!X47</f>
        <v>14400</v>
      </c>
      <c r="Z48" s="273">
        <f>12*'01 - Dados de Entrada'!$C$211*'04 - Veículos e Equipamentos'!Y47</f>
        <v>14400</v>
      </c>
      <c r="AA48" s="273">
        <f>12*'01 - Dados de Entrada'!$C$211*'04 - Veículos e Equipamentos'!Z47</f>
        <v>14400</v>
      </c>
      <c r="AB48" s="273">
        <f>12*'01 - Dados de Entrada'!$C$211*'04 - Veículos e Equipamentos'!AA47</f>
        <v>14400</v>
      </c>
      <c r="AC48" s="273">
        <f>12*'01 - Dados de Entrada'!$C$211*'04 - Veículos e Equipamentos'!AB47</f>
        <v>14400</v>
      </c>
      <c r="AD48" s="273">
        <f>12*'01 - Dados de Entrada'!$C$211*'04 - Veículos e Equipamentos'!AC47</f>
        <v>14400</v>
      </c>
      <c r="AE48" s="273">
        <f>12*'01 - Dados de Entrada'!$C$211*'04 - Veículos e Equipamentos'!AD47</f>
        <v>14400</v>
      </c>
      <c r="AF48" s="273">
        <f>12*'01 - Dados de Entrada'!$C$211*'04 - Veículos e Equipamentos'!AE47</f>
        <v>14400</v>
      </c>
      <c r="AG48" s="273">
        <f>12*'01 - Dados de Entrada'!$C$211*'04 - Veículos e Equipamentos'!AF47</f>
        <v>14400</v>
      </c>
      <c r="AH48" s="273">
        <f>12*'01 - Dados de Entrada'!$C$211*'04 - Veículos e Equipamentos'!AG47</f>
        <v>14400</v>
      </c>
      <c r="AI48" s="273">
        <f>12*'01 - Dados de Entrada'!$C$211*'04 - Veículos e Equipamentos'!AH47</f>
        <v>14400</v>
      </c>
      <c r="AJ48" s="273">
        <f>12*'01 - Dados de Entrada'!$C$211*'04 - Veículos e Equipamentos'!AI47</f>
        <v>14400</v>
      </c>
      <c r="AK48" s="273">
        <f>12*'01 - Dados de Entrada'!$C$211*'04 - Veículos e Equipamentos'!AJ47</f>
        <v>14400</v>
      </c>
    </row>
    <row r="49" spans="1:37" customFormat="1" ht="13.15" customHeight="1" x14ac:dyDescent="0.2">
      <c r="A49" s="147" t="s">
        <v>937</v>
      </c>
      <c r="B49" s="272">
        <f>SUM(C49:AK49)</f>
        <v>756000</v>
      </c>
      <c r="C49" s="148">
        <f>C48/'01 - Dados de Entrada'!$C$231</f>
        <v>21600</v>
      </c>
      <c r="D49" s="148">
        <f>D48/'01 - Dados de Entrada'!$C$231</f>
        <v>21600</v>
      </c>
      <c r="E49" s="148">
        <f>E48/'01 - Dados de Entrada'!$C$231</f>
        <v>21600</v>
      </c>
      <c r="F49" s="148">
        <f>F48/'01 - Dados de Entrada'!$C$231</f>
        <v>21600</v>
      </c>
      <c r="G49" s="148">
        <f>G48/'01 - Dados de Entrada'!$C$231</f>
        <v>21600</v>
      </c>
      <c r="H49" s="148">
        <f>H48/'01 - Dados de Entrada'!$C$231</f>
        <v>21600</v>
      </c>
      <c r="I49" s="148">
        <f>I48/'01 - Dados de Entrada'!$C$231</f>
        <v>21600</v>
      </c>
      <c r="J49" s="148">
        <f>J48/'01 - Dados de Entrada'!$C$231</f>
        <v>21600</v>
      </c>
      <c r="K49" s="148">
        <f>K48/'01 - Dados de Entrada'!$C$231</f>
        <v>21600</v>
      </c>
      <c r="L49" s="148">
        <f>L48/'01 - Dados de Entrada'!$C$231</f>
        <v>21600</v>
      </c>
      <c r="M49" s="148">
        <f>M48/'01 - Dados de Entrada'!$C$231</f>
        <v>21600</v>
      </c>
      <c r="N49" s="148">
        <f>N48/'01 - Dados de Entrada'!$C$231</f>
        <v>21600</v>
      </c>
      <c r="O49" s="148">
        <f>O48/'01 - Dados de Entrada'!$C$231</f>
        <v>21600</v>
      </c>
      <c r="P49" s="148">
        <f>P48/'01 - Dados de Entrada'!$C$231</f>
        <v>21600</v>
      </c>
      <c r="Q49" s="148">
        <f>Q48/'01 - Dados de Entrada'!$C$231</f>
        <v>21600</v>
      </c>
      <c r="R49" s="148">
        <f>R48/'01 - Dados de Entrada'!$C$231</f>
        <v>21600</v>
      </c>
      <c r="S49" s="148">
        <f>S48/'01 - Dados de Entrada'!$C$231</f>
        <v>21600</v>
      </c>
      <c r="T49" s="148">
        <f>T48/'01 - Dados de Entrada'!$C$231</f>
        <v>21600</v>
      </c>
      <c r="U49" s="148">
        <f>U48/'01 - Dados de Entrada'!$C$231</f>
        <v>21600</v>
      </c>
      <c r="V49" s="148">
        <f>V48/'01 - Dados de Entrada'!$C$231</f>
        <v>21600</v>
      </c>
      <c r="W49" s="148">
        <f>W48/'01 - Dados de Entrada'!$C$231</f>
        <v>21600</v>
      </c>
      <c r="X49" s="148">
        <f>X48/'01 - Dados de Entrada'!$C$231</f>
        <v>21600</v>
      </c>
      <c r="Y49" s="148">
        <f>Y48/'01 - Dados de Entrada'!$C$231</f>
        <v>21600</v>
      </c>
      <c r="Z49" s="148">
        <f>Z48/'01 - Dados de Entrada'!$C$231</f>
        <v>21600</v>
      </c>
      <c r="AA49" s="148">
        <f>AA48/'01 - Dados de Entrada'!$C$231</f>
        <v>21600</v>
      </c>
      <c r="AB49" s="148">
        <f>AB48/'01 - Dados de Entrada'!$C$231</f>
        <v>21600</v>
      </c>
      <c r="AC49" s="148">
        <f>AC48/'01 - Dados de Entrada'!$C$231</f>
        <v>21600</v>
      </c>
      <c r="AD49" s="148">
        <f>AD48/'01 - Dados de Entrada'!$C$231</f>
        <v>21600</v>
      </c>
      <c r="AE49" s="148">
        <f>AE48/'01 - Dados de Entrada'!$C$231</f>
        <v>21600</v>
      </c>
      <c r="AF49" s="148">
        <f>AF48/'01 - Dados de Entrada'!$C$231</f>
        <v>21600</v>
      </c>
      <c r="AG49" s="148">
        <f>AG48/'01 - Dados de Entrada'!$C$231</f>
        <v>21600</v>
      </c>
      <c r="AH49" s="148">
        <f>AH48/'01 - Dados de Entrada'!$C$231</f>
        <v>21600</v>
      </c>
      <c r="AI49" s="148">
        <f>AI48/'01 - Dados de Entrada'!$C$231</f>
        <v>21600</v>
      </c>
      <c r="AJ49" s="148">
        <f>AJ48/'01 - Dados de Entrada'!$C$231</f>
        <v>21600</v>
      </c>
      <c r="AK49" s="148">
        <f>AK48/'01 - Dados de Entrada'!$C$231</f>
        <v>21600</v>
      </c>
    </row>
    <row r="50" spans="1:37" customFormat="1" ht="13.15" customHeight="1" x14ac:dyDescent="0.2">
      <c r="A50" s="147" t="s">
        <v>938</v>
      </c>
      <c r="B50" s="272">
        <f>SUM(C50:AK50)</f>
        <v>4543560</v>
      </c>
      <c r="C50" s="148">
        <f>C49*'01 - Dados de Entrada'!$C$117</f>
        <v>129816</v>
      </c>
      <c r="D50" s="148">
        <f>D49*'01 - Dados de Entrada'!$C$117</f>
        <v>129816</v>
      </c>
      <c r="E50" s="148">
        <f>E49*'01 - Dados de Entrada'!$C$117</f>
        <v>129816</v>
      </c>
      <c r="F50" s="148">
        <f>F49*'01 - Dados de Entrada'!$C$117</f>
        <v>129816</v>
      </c>
      <c r="G50" s="148">
        <f>G49*'01 - Dados de Entrada'!$C$117</f>
        <v>129816</v>
      </c>
      <c r="H50" s="148">
        <f>H49*'01 - Dados de Entrada'!$C$117</f>
        <v>129816</v>
      </c>
      <c r="I50" s="148">
        <f>I49*'01 - Dados de Entrada'!$C$117</f>
        <v>129816</v>
      </c>
      <c r="J50" s="148">
        <f>J49*'01 - Dados de Entrada'!$C$117</f>
        <v>129816</v>
      </c>
      <c r="K50" s="148">
        <f>K49*'01 - Dados de Entrada'!$C$117</f>
        <v>129816</v>
      </c>
      <c r="L50" s="148">
        <f>L49*'01 - Dados de Entrada'!$C$117</f>
        <v>129816</v>
      </c>
      <c r="M50" s="148">
        <f>M49*'01 - Dados de Entrada'!$C$117</f>
        <v>129816</v>
      </c>
      <c r="N50" s="148">
        <f>N49*'01 - Dados de Entrada'!$C$117</f>
        <v>129816</v>
      </c>
      <c r="O50" s="148">
        <f>O49*'01 - Dados de Entrada'!$C$117</f>
        <v>129816</v>
      </c>
      <c r="P50" s="148">
        <f>P49*'01 - Dados de Entrada'!$C$117</f>
        <v>129816</v>
      </c>
      <c r="Q50" s="148">
        <f>Q49*'01 - Dados de Entrada'!$C$117</f>
        <v>129816</v>
      </c>
      <c r="R50" s="148">
        <f>R49*'01 - Dados de Entrada'!$C$117</f>
        <v>129816</v>
      </c>
      <c r="S50" s="148">
        <f>S49*'01 - Dados de Entrada'!$C$117</f>
        <v>129816</v>
      </c>
      <c r="T50" s="148">
        <f>T49*'01 - Dados de Entrada'!$C$117</f>
        <v>129816</v>
      </c>
      <c r="U50" s="148">
        <f>U49*'01 - Dados de Entrada'!$C$117</f>
        <v>129816</v>
      </c>
      <c r="V50" s="148">
        <f>V49*'01 - Dados de Entrada'!$C$117</f>
        <v>129816</v>
      </c>
      <c r="W50" s="148">
        <f>W49*'01 - Dados de Entrada'!$C$117</f>
        <v>129816</v>
      </c>
      <c r="X50" s="148">
        <f>X49*'01 - Dados de Entrada'!$C$117</f>
        <v>129816</v>
      </c>
      <c r="Y50" s="148">
        <f>Y49*'01 - Dados de Entrada'!$C$117</f>
        <v>129816</v>
      </c>
      <c r="Z50" s="148">
        <f>Z49*'01 - Dados de Entrada'!$C$117</f>
        <v>129816</v>
      </c>
      <c r="AA50" s="148">
        <f>AA49*'01 - Dados de Entrada'!$C$117</f>
        <v>129816</v>
      </c>
      <c r="AB50" s="148">
        <f>AB49*'01 - Dados de Entrada'!$C$117</f>
        <v>129816</v>
      </c>
      <c r="AC50" s="148">
        <f>AC49*'01 - Dados de Entrada'!$C$117</f>
        <v>129816</v>
      </c>
      <c r="AD50" s="148">
        <f>AD49*'01 - Dados de Entrada'!$C$117</f>
        <v>129816</v>
      </c>
      <c r="AE50" s="148">
        <f>AE49*'01 - Dados de Entrada'!$C$117</f>
        <v>129816</v>
      </c>
      <c r="AF50" s="148">
        <f>AF49*'01 - Dados de Entrada'!$C$117</f>
        <v>129816</v>
      </c>
      <c r="AG50" s="148">
        <f>AG49*'01 - Dados de Entrada'!$C$117</f>
        <v>129816</v>
      </c>
      <c r="AH50" s="148">
        <f>AH49*'01 - Dados de Entrada'!$C$117</f>
        <v>129816</v>
      </c>
      <c r="AI50" s="148">
        <f>AI49*'01 - Dados de Entrada'!$C$117</f>
        <v>129816</v>
      </c>
      <c r="AJ50" s="148">
        <f>AJ49*'01 - Dados de Entrada'!$C$117</f>
        <v>129816</v>
      </c>
      <c r="AK50" s="148">
        <f>AK49*'01 - Dados de Entrada'!$C$117</f>
        <v>129816</v>
      </c>
    </row>
    <row r="51" spans="1:37" customFormat="1" ht="13.15" customHeight="1" x14ac:dyDescent="0.2">
      <c r="A51" s="271" t="s">
        <v>950</v>
      </c>
    </row>
    <row r="52" spans="1:37" customFormat="1" ht="13.15" customHeight="1" x14ac:dyDescent="0.2">
      <c r="A52" s="147" t="s">
        <v>947</v>
      </c>
      <c r="B52" s="272">
        <f t="shared" ref="B52:B62" si="4">SUM(C52:AK52)</f>
        <v>126000</v>
      </c>
      <c r="C52" s="273">
        <f>12*'01 - Dados de Entrada'!$C$212*'04 - Veículos e Equipamentos'!B49</f>
        <v>3600</v>
      </c>
      <c r="D52" s="273">
        <f>12*'01 - Dados de Entrada'!$C$212*'04 - Veículos e Equipamentos'!C49</f>
        <v>3600</v>
      </c>
      <c r="E52" s="273">
        <f>12*'01 - Dados de Entrada'!$C$212*'04 - Veículos e Equipamentos'!D49</f>
        <v>3600</v>
      </c>
      <c r="F52" s="273">
        <f>12*'01 - Dados de Entrada'!$C$212*'04 - Veículos e Equipamentos'!E49</f>
        <v>3600</v>
      </c>
      <c r="G52" s="273">
        <f>12*'01 - Dados de Entrada'!$C$212*'04 - Veículos e Equipamentos'!F49</f>
        <v>3600</v>
      </c>
      <c r="H52" s="273">
        <f>12*'01 - Dados de Entrada'!$C$212*'04 - Veículos e Equipamentos'!G49</f>
        <v>3600</v>
      </c>
      <c r="I52" s="273">
        <f>12*'01 - Dados de Entrada'!$C$212*'04 - Veículos e Equipamentos'!H49</f>
        <v>3600</v>
      </c>
      <c r="J52" s="273">
        <f>12*'01 - Dados de Entrada'!$C$212*'04 - Veículos e Equipamentos'!I49</f>
        <v>3600</v>
      </c>
      <c r="K52" s="273">
        <f>12*'01 - Dados de Entrada'!$C$212*'04 - Veículos e Equipamentos'!J49</f>
        <v>3600</v>
      </c>
      <c r="L52" s="273">
        <f>12*'01 - Dados de Entrada'!$C$212*'04 - Veículos e Equipamentos'!K49</f>
        <v>3600</v>
      </c>
      <c r="M52" s="273">
        <f>12*'01 - Dados de Entrada'!$C$212*'04 - Veículos e Equipamentos'!L49</f>
        <v>3600</v>
      </c>
      <c r="N52" s="273">
        <f>12*'01 - Dados de Entrada'!$C$212*'04 - Veículos e Equipamentos'!M49</f>
        <v>3600</v>
      </c>
      <c r="O52" s="273">
        <f>12*'01 - Dados de Entrada'!$C$212*'04 - Veículos e Equipamentos'!N49</f>
        <v>3600</v>
      </c>
      <c r="P52" s="273">
        <f>12*'01 - Dados de Entrada'!$C$212*'04 - Veículos e Equipamentos'!O49</f>
        <v>3600</v>
      </c>
      <c r="Q52" s="273">
        <f>12*'01 - Dados de Entrada'!$C$212*'04 - Veículos e Equipamentos'!P49</f>
        <v>3600</v>
      </c>
      <c r="R52" s="273">
        <f>12*'01 - Dados de Entrada'!$C$212*'04 - Veículos e Equipamentos'!Q49</f>
        <v>3600</v>
      </c>
      <c r="S52" s="273">
        <f>12*'01 - Dados de Entrada'!$C$212*'04 - Veículos e Equipamentos'!R49</f>
        <v>3600</v>
      </c>
      <c r="T52" s="273">
        <f>12*'01 - Dados de Entrada'!$C$212*'04 - Veículos e Equipamentos'!S49</f>
        <v>3600</v>
      </c>
      <c r="U52" s="273">
        <f>12*'01 - Dados de Entrada'!$C$212*'04 - Veículos e Equipamentos'!T49</f>
        <v>3600</v>
      </c>
      <c r="V52" s="273">
        <f>12*'01 - Dados de Entrada'!$C$212*'04 - Veículos e Equipamentos'!U49</f>
        <v>3600</v>
      </c>
      <c r="W52" s="273">
        <f>12*'01 - Dados de Entrada'!$C$212*'04 - Veículos e Equipamentos'!V49</f>
        <v>3600</v>
      </c>
      <c r="X52" s="273">
        <f>12*'01 - Dados de Entrada'!$C$212*'04 - Veículos e Equipamentos'!W49</f>
        <v>3600</v>
      </c>
      <c r="Y52" s="273">
        <f>12*'01 - Dados de Entrada'!$C$212*'04 - Veículos e Equipamentos'!X49</f>
        <v>3600</v>
      </c>
      <c r="Z52" s="273">
        <f>12*'01 - Dados de Entrada'!$C$212*'04 - Veículos e Equipamentos'!Y49</f>
        <v>3600</v>
      </c>
      <c r="AA52" s="273">
        <f>12*'01 - Dados de Entrada'!$C$212*'04 - Veículos e Equipamentos'!Z49</f>
        <v>3600</v>
      </c>
      <c r="AB52" s="273">
        <f>12*'01 - Dados de Entrada'!$C$212*'04 - Veículos e Equipamentos'!AA49</f>
        <v>3600</v>
      </c>
      <c r="AC52" s="273">
        <f>12*'01 - Dados de Entrada'!$C$212*'04 - Veículos e Equipamentos'!AB49</f>
        <v>3600</v>
      </c>
      <c r="AD52" s="273">
        <f>12*'01 - Dados de Entrada'!$C$212*'04 - Veículos e Equipamentos'!AC49</f>
        <v>3600</v>
      </c>
      <c r="AE52" s="273">
        <f>12*'01 - Dados de Entrada'!$C$212*'04 - Veículos e Equipamentos'!AD49</f>
        <v>3600</v>
      </c>
      <c r="AF52" s="273">
        <f>12*'01 - Dados de Entrada'!$C$212*'04 - Veículos e Equipamentos'!AE49</f>
        <v>3600</v>
      </c>
      <c r="AG52" s="273">
        <f>12*'01 - Dados de Entrada'!$C$212*'04 - Veículos e Equipamentos'!AF49</f>
        <v>3600</v>
      </c>
      <c r="AH52" s="273">
        <f>12*'01 - Dados de Entrada'!$C$212*'04 - Veículos e Equipamentos'!AG49</f>
        <v>3600</v>
      </c>
      <c r="AI52" s="273">
        <f>12*'01 - Dados de Entrada'!$C$212*'04 - Veículos e Equipamentos'!AH49</f>
        <v>3600</v>
      </c>
      <c r="AJ52" s="273">
        <f>12*'01 - Dados de Entrada'!$C$212*'04 - Veículos e Equipamentos'!AI49</f>
        <v>3600</v>
      </c>
      <c r="AK52" s="273">
        <f>12*'01 - Dados de Entrada'!$C$212*'04 - Veículos e Equipamentos'!AJ49</f>
        <v>3600</v>
      </c>
    </row>
    <row r="53" spans="1:37" customFormat="1" ht="13.15" customHeight="1" x14ac:dyDescent="0.2">
      <c r="A53" s="147" t="s">
        <v>937</v>
      </c>
      <c r="B53" s="272">
        <f t="shared" si="4"/>
        <v>151200</v>
      </c>
      <c r="C53" s="148">
        <f>C52/'01 - Dados de Entrada'!$C$232</f>
        <v>4320</v>
      </c>
      <c r="D53" s="148">
        <f>D52/'01 - Dados de Entrada'!$C$232</f>
        <v>4320</v>
      </c>
      <c r="E53" s="148">
        <f>E52/'01 - Dados de Entrada'!$C$232</f>
        <v>4320</v>
      </c>
      <c r="F53" s="148">
        <f>F52/'01 - Dados de Entrada'!$C$232</f>
        <v>4320</v>
      </c>
      <c r="G53" s="148">
        <f>G52/'01 - Dados de Entrada'!$C$232</f>
        <v>4320</v>
      </c>
      <c r="H53" s="148">
        <f>H52/'01 - Dados de Entrada'!$C$232</f>
        <v>4320</v>
      </c>
      <c r="I53" s="148">
        <f>I52/'01 - Dados de Entrada'!$C$232</f>
        <v>4320</v>
      </c>
      <c r="J53" s="148">
        <f>J52/'01 - Dados de Entrada'!$C$232</f>
        <v>4320</v>
      </c>
      <c r="K53" s="148">
        <f>K52/'01 - Dados de Entrada'!$C$232</f>
        <v>4320</v>
      </c>
      <c r="L53" s="148">
        <f>L52/'01 - Dados de Entrada'!$C$232</f>
        <v>4320</v>
      </c>
      <c r="M53" s="148">
        <f>M52/'01 - Dados de Entrada'!$C$232</f>
        <v>4320</v>
      </c>
      <c r="N53" s="148">
        <f>N52/'01 - Dados de Entrada'!$C$232</f>
        <v>4320</v>
      </c>
      <c r="O53" s="148">
        <f>O52/'01 - Dados de Entrada'!$C$232</f>
        <v>4320</v>
      </c>
      <c r="P53" s="148">
        <f>P52/'01 - Dados de Entrada'!$C$232</f>
        <v>4320</v>
      </c>
      <c r="Q53" s="148">
        <f>Q52/'01 - Dados de Entrada'!$C$232</f>
        <v>4320</v>
      </c>
      <c r="R53" s="148">
        <f>R52/'01 - Dados de Entrada'!$C$232</f>
        <v>4320</v>
      </c>
      <c r="S53" s="148">
        <f>S52/'01 - Dados de Entrada'!$C$232</f>
        <v>4320</v>
      </c>
      <c r="T53" s="148">
        <f>T52/'01 - Dados de Entrada'!$C$232</f>
        <v>4320</v>
      </c>
      <c r="U53" s="148">
        <f>U52/'01 - Dados de Entrada'!$C$232</f>
        <v>4320</v>
      </c>
      <c r="V53" s="148">
        <f>V52/'01 - Dados de Entrada'!$C$232</f>
        <v>4320</v>
      </c>
      <c r="W53" s="148">
        <f>W52/'01 - Dados de Entrada'!$C$232</f>
        <v>4320</v>
      </c>
      <c r="X53" s="148">
        <f>X52/'01 - Dados de Entrada'!$C$232</f>
        <v>4320</v>
      </c>
      <c r="Y53" s="148">
        <f>Y52/'01 - Dados de Entrada'!$C$232</f>
        <v>4320</v>
      </c>
      <c r="Z53" s="148">
        <f>Z52/'01 - Dados de Entrada'!$C$232</f>
        <v>4320</v>
      </c>
      <c r="AA53" s="148">
        <f>AA52/'01 - Dados de Entrada'!$C$232</f>
        <v>4320</v>
      </c>
      <c r="AB53" s="148">
        <f>AB52/'01 - Dados de Entrada'!$C$232</f>
        <v>4320</v>
      </c>
      <c r="AC53" s="148">
        <f>AC52/'01 - Dados de Entrada'!$C$232</f>
        <v>4320</v>
      </c>
      <c r="AD53" s="148">
        <f>AD52/'01 - Dados de Entrada'!$C$232</f>
        <v>4320</v>
      </c>
      <c r="AE53" s="148">
        <f>AE52/'01 - Dados de Entrada'!$C$232</f>
        <v>4320</v>
      </c>
      <c r="AF53" s="148">
        <f>AF52/'01 - Dados de Entrada'!$C$232</f>
        <v>4320</v>
      </c>
      <c r="AG53" s="148">
        <f>AG52/'01 - Dados de Entrada'!$C$232</f>
        <v>4320</v>
      </c>
      <c r="AH53" s="148">
        <f>AH52/'01 - Dados de Entrada'!$C$232</f>
        <v>4320</v>
      </c>
      <c r="AI53" s="148">
        <f>AI52/'01 - Dados de Entrada'!$C$232</f>
        <v>4320</v>
      </c>
      <c r="AJ53" s="148">
        <f>AJ52/'01 - Dados de Entrada'!$C$232</f>
        <v>4320</v>
      </c>
      <c r="AK53" s="148">
        <f>AK52/'01 - Dados de Entrada'!$C$232</f>
        <v>4320</v>
      </c>
    </row>
    <row r="54" spans="1:37" customFormat="1" ht="13.15" customHeight="1" x14ac:dyDescent="0.2">
      <c r="A54" s="147" t="s">
        <v>938</v>
      </c>
      <c r="B54" s="272">
        <f t="shared" si="4"/>
        <v>908711.99999999953</v>
      </c>
      <c r="C54" s="148">
        <f>C53*'01 - Dados de Entrada'!$C$117</f>
        <v>25963.200000000001</v>
      </c>
      <c r="D54" s="148">
        <f>D53*'01 - Dados de Entrada'!$C$117</f>
        <v>25963.200000000001</v>
      </c>
      <c r="E54" s="148">
        <f>E53*'01 - Dados de Entrada'!$C$117</f>
        <v>25963.200000000001</v>
      </c>
      <c r="F54" s="148">
        <f>F53*'01 - Dados de Entrada'!$C$117</f>
        <v>25963.200000000001</v>
      </c>
      <c r="G54" s="148">
        <f>G53*'01 - Dados de Entrada'!$C$117</f>
        <v>25963.200000000001</v>
      </c>
      <c r="H54" s="148">
        <f>H53*'01 - Dados de Entrada'!$C$117</f>
        <v>25963.200000000001</v>
      </c>
      <c r="I54" s="148">
        <f>I53*'01 - Dados de Entrada'!$C$117</f>
        <v>25963.200000000001</v>
      </c>
      <c r="J54" s="148">
        <f>J53*'01 - Dados de Entrada'!$C$117</f>
        <v>25963.200000000001</v>
      </c>
      <c r="K54" s="148">
        <f>K53*'01 - Dados de Entrada'!$C$117</f>
        <v>25963.200000000001</v>
      </c>
      <c r="L54" s="148">
        <f>L53*'01 - Dados de Entrada'!$C$117</f>
        <v>25963.200000000001</v>
      </c>
      <c r="M54" s="148">
        <f>M53*'01 - Dados de Entrada'!$C$117</f>
        <v>25963.200000000001</v>
      </c>
      <c r="N54" s="148">
        <f>N53*'01 - Dados de Entrada'!$C$117</f>
        <v>25963.200000000001</v>
      </c>
      <c r="O54" s="148">
        <f>O53*'01 - Dados de Entrada'!$C$117</f>
        <v>25963.200000000001</v>
      </c>
      <c r="P54" s="148">
        <f>P53*'01 - Dados de Entrada'!$C$117</f>
        <v>25963.200000000001</v>
      </c>
      <c r="Q54" s="148">
        <f>Q53*'01 - Dados de Entrada'!$C$117</f>
        <v>25963.200000000001</v>
      </c>
      <c r="R54" s="148">
        <f>R53*'01 - Dados de Entrada'!$C$117</f>
        <v>25963.200000000001</v>
      </c>
      <c r="S54" s="148">
        <f>S53*'01 - Dados de Entrada'!$C$117</f>
        <v>25963.200000000001</v>
      </c>
      <c r="T54" s="148">
        <f>T53*'01 - Dados de Entrada'!$C$117</f>
        <v>25963.200000000001</v>
      </c>
      <c r="U54" s="148">
        <f>U53*'01 - Dados de Entrada'!$C$117</f>
        <v>25963.200000000001</v>
      </c>
      <c r="V54" s="148">
        <f>V53*'01 - Dados de Entrada'!$C$117</f>
        <v>25963.200000000001</v>
      </c>
      <c r="W54" s="148">
        <f>W53*'01 - Dados de Entrada'!$C$117</f>
        <v>25963.200000000001</v>
      </c>
      <c r="X54" s="148">
        <f>X53*'01 - Dados de Entrada'!$C$117</f>
        <v>25963.200000000001</v>
      </c>
      <c r="Y54" s="148">
        <f>Y53*'01 - Dados de Entrada'!$C$117</f>
        <v>25963.200000000001</v>
      </c>
      <c r="Z54" s="148">
        <f>Z53*'01 - Dados de Entrada'!$C$117</f>
        <v>25963.200000000001</v>
      </c>
      <c r="AA54" s="148">
        <f>AA53*'01 - Dados de Entrada'!$C$117</f>
        <v>25963.200000000001</v>
      </c>
      <c r="AB54" s="148">
        <f>AB53*'01 - Dados de Entrada'!$C$117</f>
        <v>25963.200000000001</v>
      </c>
      <c r="AC54" s="148">
        <f>AC53*'01 - Dados de Entrada'!$C$117</f>
        <v>25963.200000000001</v>
      </c>
      <c r="AD54" s="148">
        <f>AD53*'01 - Dados de Entrada'!$C$117</f>
        <v>25963.200000000001</v>
      </c>
      <c r="AE54" s="148">
        <f>AE53*'01 - Dados de Entrada'!$C$117</f>
        <v>25963.200000000001</v>
      </c>
      <c r="AF54" s="148">
        <f>AF53*'01 - Dados de Entrada'!$C$117</f>
        <v>25963.200000000001</v>
      </c>
      <c r="AG54" s="148">
        <f>AG53*'01 - Dados de Entrada'!$C$117</f>
        <v>25963.200000000001</v>
      </c>
      <c r="AH54" s="148">
        <f>AH53*'01 - Dados de Entrada'!$C$117</f>
        <v>25963.200000000001</v>
      </c>
      <c r="AI54" s="148">
        <f>AI53*'01 - Dados de Entrada'!$C$117</f>
        <v>25963.200000000001</v>
      </c>
      <c r="AJ54" s="148">
        <f>AJ53*'01 - Dados de Entrada'!$C$117</f>
        <v>25963.200000000001</v>
      </c>
      <c r="AK54" s="148">
        <f>AK53*'01 - Dados de Entrada'!$C$117</f>
        <v>25963.200000000001</v>
      </c>
    </row>
    <row r="55" spans="1:37" s="152" customFormat="1" ht="13.15" customHeight="1" x14ac:dyDescent="0.2">
      <c r="A55" s="271" t="s">
        <v>951</v>
      </c>
      <c r="B55" s="272">
        <f t="shared" si="4"/>
        <v>0</v>
      </c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274"/>
      <c r="AE55" s="274"/>
      <c r="AF55" s="274"/>
      <c r="AG55" s="274"/>
      <c r="AH55" s="274"/>
      <c r="AI55" s="274"/>
      <c r="AJ55" s="274"/>
      <c r="AK55" s="274"/>
    </row>
    <row r="56" spans="1:37" s="152" customFormat="1" ht="13.15" customHeight="1" x14ac:dyDescent="0.2">
      <c r="A56" s="147" t="s">
        <v>936</v>
      </c>
      <c r="B56" s="272">
        <f t="shared" si="4"/>
        <v>336000</v>
      </c>
      <c r="C56" s="273">
        <f>12*'01 - Dados de Entrada'!$C$213*'04 - Veículos e Equipamentos'!B51</f>
        <v>9600</v>
      </c>
      <c r="D56" s="273">
        <f>12*'01 - Dados de Entrada'!$C$213*'04 - Veículos e Equipamentos'!C51</f>
        <v>9600</v>
      </c>
      <c r="E56" s="273">
        <f>12*'01 - Dados de Entrada'!$C$213*'04 - Veículos e Equipamentos'!D51</f>
        <v>9600</v>
      </c>
      <c r="F56" s="273">
        <f>12*'01 - Dados de Entrada'!$C$213*'04 - Veículos e Equipamentos'!E51</f>
        <v>9600</v>
      </c>
      <c r="G56" s="273">
        <f>12*'01 - Dados de Entrada'!$C$213*'04 - Veículos e Equipamentos'!F51</f>
        <v>9600</v>
      </c>
      <c r="H56" s="273">
        <f>12*'01 - Dados de Entrada'!$C$213*'04 - Veículos e Equipamentos'!G51</f>
        <v>9600</v>
      </c>
      <c r="I56" s="273">
        <f>12*'01 - Dados de Entrada'!$C$213*'04 - Veículos e Equipamentos'!H51</f>
        <v>9600</v>
      </c>
      <c r="J56" s="273">
        <f>12*'01 - Dados de Entrada'!$C$213*'04 - Veículos e Equipamentos'!I51</f>
        <v>9600</v>
      </c>
      <c r="K56" s="273">
        <f>12*'01 - Dados de Entrada'!$C$213*'04 - Veículos e Equipamentos'!J51</f>
        <v>9600</v>
      </c>
      <c r="L56" s="273">
        <f>12*'01 - Dados de Entrada'!$C$213*'04 - Veículos e Equipamentos'!K51</f>
        <v>9600</v>
      </c>
      <c r="M56" s="273">
        <f>12*'01 - Dados de Entrada'!$C$213*'04 - Veículos e Equipamentos'!L51</f>
        <v>9600</v>
      </c>
      <c r="N56" s="273">
        <f>12*'01 - Dados de Entrada'!$C$213*'04 - Veículos e Equipamentos'!M51</f>
        <v>9600</v>
      </c>
      <c r="O56" s="273">
        <f>12*'01 - Dados de Entrada'!$C$213*'04 - Veículos e Equipamentos'!N51</f>
        <v>9600</v>
      </c>
      <c r="P56" s="273">
        <f>12*'01 - Dados de Entrada'!$C$213*'04 - Veículos e Equipamentos'!O51</f>
        <v>9600</v>
      </c>
      <c r="Q56" s="273">
        <f>12*'01 - Dados de Entrada'!$C$213*'04 - Veículos e Equipamentos'!P51</f>
        <v>9600</v>
      </c>
      <c r="R56" s="273">
        <f>12*'01 - Dados de Entrada'!$C$213*'04 - Veículos e Equipamentos'!Q51</f>
        <v>9600</v>
      </c>
      <c r="S56" s="273">
        <f>12*'01 - Dados de Entrada'!$C$213*'04 - Veículos e Equipamentos'!R51</f>
        <v>9600</v>
      </c>
      <c r="T56" s="273">
        <f>12*'01 - Dados de Entrada'!$C$213*'04 - Veículos e Equipamentos'!S51</f>
        <v>9600</v>
      </c>
      <c r="U56" s="273">
        <f>12*'01 - Dados de Entrada'!$C$213*'04 - Veículos e Equipamentos'!T51</f>
        <v>9600</v>
      </c>
      <c r="V56" s="273">
        <f>12*'01 - Dados de Entrada'!$C$213*'04 - Veículos e Equipamentos'!U51</f>
        <v>9600</v>
      </c>
      <c r="W56" s="273">
        <f>12*'01 - Dados de Entrada'!$C$213*'04 - Veículos e Equipamentos'!V51</f>
        <v>9600</v>
      </c>
      <c r="X56" s="273">
        <f>12*'01 - Dados de Entrada'!$C$213*'04 - Veículos e Equipamentos'!W51</f>
        <v>9600</v>
      </c>
      <c r="Y56" s="273">
        <f>12*'01 - Dados de Entrada'!$C$213*'04 - Veículos e Equipamentos'!X51</f>
        <v>9600</v>
      </c>
      <c r="Z56" s="273">
        <f>12*'01 - Dados de Entrada'!$C$213*'04 - Veículos e Equipamentos'!Y51</f>
        <v>9600</v>
      </c>
      <c r="AA56" s="273">
        <f>12*'01 - Dados de Entrada'!$C$213*'04 - Veículos e Equipamentos'!Z51</f>
        <v>9600</v>
      </c>
      <c r="AB56" s="273">
        <f>12*'01 - Dados de Entrada'!$C$213*'04 - Veículos e Equipamentos'!AA51</f>
        <v>9600</v>
      </c>
      <c r="AC56" s="273">
        <f>12*'01 - Dados de Entrada'!$C$213*'04 - Veículos e Equipamentos'!AB51</f>
        <v>9600</v>
      </c>
      <c r="AD56" s="273">
        <f>12*'01 - Dados de Entrada'!$C$213*'04 - Veículos e Equipamentos'!AC51</f>
        <v>9600</v>
      </c>
      <c r="AE56" s="273">
        <f>12*'01 - Dados de Entrada'!$C$213*'04 - Veículos e Equipamentos'!AD51</f>
        <v>9600</v>
      </c>
      <c r="AF56" s="273">
        <f>12*'01 - Dados de Entrada'!$C$213*'04 - Veículos e Equipamentos'!AE51</f>
        <v>9600</v>
      </c>
      <c r="AG56" s="273">
        <f>12*'01 - Dados de Entrada'!$C$213*'04 - Veículos e Equipamentos'!AF51</f>
        <v>9600</v>
      </c>
      <c r="AH56" s="273">
        <f>12*'01 - Dados de Entrada'!$C$213*'04 - Veículos e Equipamentos'!AG51</f>
        <v>9600</v>
      </c>
      <c r="AI56" s="273">
        <f>12*'01 - Dados de Entrada'!$C$213*'04 - Veículos e Equipamentos'!AH51</f>
        <v>9600</v>
      </c>
      <c r="AJ56" s="273">
        <f>12*'01 - Dados de Entrada'!$C$213*'04 - Veículos e Equipamentos'!AI51</f>
        <v>9600</v>
      </c>
      <c r="AK56" s="273">
        <f>12*'01 - Dados de Entrada'!$C$213*'04 - Veículos e Equipamentos'!AJ51</f>
        <v>9600</v>
      </c>
    </row>
    <row r="57" spans="1:37" s="152" customFormat="1" ht="13.15" customHeight="1" x14ac:dyDescent="0.2">
      <c r="A57" s="147" t="s">
        <v>937</v>
      </c>
      <c r="B57" s="272">
        <f t="shared" si="4"/>
        <v>67200</v>
      </c>
      <c r="C57" s="273">
        <f>C56/'01 - Dados de Entrada'!$C$233</f>
        <v>1920</v>
      </c>
      <c r="D57" s="273">
        <f>D56/'01 - Dados de Entrada'!$C$233</f>
        <v>1920</v>
      </c>
      <c r="E57" s="273">
        <f>E56/'01 - Dados de Entrada'!$C$233</f>
        <v>1920</v>
      </c>
      <c r="F57" s="273">
        <f>F56/'01 - Dados de Entrada'!$C$233</f>
        <v>1920</v>
      </c>
      <c r="G57" s="273">
        <f>G56/'01 - Dados de Entrada'!$C$233</f>
        <v>1920</v>
      </c>
      <c r="H57" s="273">
        <f>H56/'01 - Dados de Entrada'!$C$233</f>
        <v>1920</v>
      </c>
      <c r="I57" s="273">
        <f>I56/'01 - Dados de Entrada'!$C$233</f>
        <v>1920</v>
      </c>
      <c r="J57" s="273">
        <f>J56/'01 - Dados de Entrada'!$C$233</f>
        <v>1920</v>
      </c>
      <c r="K57" s="273">
        <f>K56/'01 - Dados de Entrada'!$C$233</f>
        <v>1920</v>
      </c>
      <c r="L57" s="273">
        <f>L56/'01 - Dados de Entrada'!$C$233</f>
        <v>1920</v>
      </c>
      <c r="M57" s="273">
        <f>M56/'01 - Dados de Entrada'!$C$233</f>
        <v>1920</v>
      </c>
      <c r="N57" s="273">
        <f>N56/'01 - Dados de Entrada'!$C$233</f>
        <v>1920</v>
      </c>
      <c r="O57" s="273">
        <f>O56/'01 - Dados de Entrada'!$C$233</f>
        <v>1920</v>
      </c>
      <c r="P57" s="273">
        <f>P56/'01 - Dados de Entrada'!$C$233</f>
        <v>1920</v>
      </c>
      <c r="Q57" s="273">
        <f>Q56/'01 - Dados de Entrada'!$C$233</f>
        <v>1920</v>
      </c>
      <c r="R57" s="273">
        <f>R56/'01 - Dados de Entrada'!$C$233</f>
        <v>1920</v>
      </c>
      <c r="S57" s="273">
        <f>S56/'01 - Dados de Entrada'!$C$233</f>
        <v>1920</v>
      </c>
      <c r="T57" s="273">
        <f>T56/'01 - Dados de Entrada'!$C$233</f>
        <v>1920</v>
      </c>
      <c r="U57" s="273">
        <f>U56/'01 - Dados de Entrada'!$C$233</f>
        <v>1920</v>
      </c>
      <c r="V57" s="273">
        <f>V56/'01 - Dados de Entrada'!$C$233</f>
        <v>1920</v>
      </c>
      <c r="W57" s="273">
        <f>W56/'01 - Dados de Entrada'!$C$233</f>
        <v>1920</v>
      </c>
      <c r="X57" s="273">
        <f>X56/'01 - Dados de Entrada'!$C$233</f>
        <v>1920</v>
      </c>
      <c r="Y57" s="273">
        <f>Y56/'01 - Dados de Entrada'!$C$233</f>
        <v>1920</v>
      </c>
      <c r="Z57" s="273">
        <f>Z56/'01 - Dados de Entrada'!$C$233</f>
        <v>1920</v>
      </c>
      <c r="AA57" s="273">
        <f>AA56/'01 - Dados de Entrada'!$C$233</f>
        <v>1920</v>
      </c>
      <c r="AB57" s="273">
        <f>AB56/'01 - Dados de Entrada'!$C$233</f>
        <v>1920</v>
      </c>
      <c r="AC57" s="273">
        <f>AC56/'01 - Dados de Entrada'!$C$233</f>
        <v>1920</v>
      </c>
      <c r="AD57" s="273">
        <f>AD56/'01 - Dados de Entrada'!$C$233</f>
        <v>1920</v>
      </c>
      <c r="AE57" s="273">
        <f>AE56/'01 - Dados de Entrada'!$C$233</f>
        <v>1920</v>
      </c>
      <c r="AF57" s="273">
        <f>AF56/'01 - Dados de Entrada'!$C$233</f>
        <v>1920</v>
      </c>
      <c r="AG57" s="273">
        <f>AG56/'01 - Dados de Entrada'!$C$233</f>
        <v>1920</v>
      </c>
      <c r="AH57" s="273">
        <f>AH56/'01 - Dados de Entrada'!$C$233</f>
        <v>1920</v>
      </c>
      <c r="AI57" s="273">
        <f>AI56/'01 - Dados de Entrada'!$C$233</f>
        <v>1920</v>
      </c>
      <c r="AJ57" s="273">
        <f>AJ56/'01 - Dados de Entrada'!$C$233</f>
        <v>1920</v>
      </c>
      <c r="AK57" s="273">
        <f>AK56/'01 - Dados de Entrada'!$C$233</f>
        <v>1920</v>
      </c>
    </row>
    <row r="58" spans="1:37" s="152" customFormat="1" ht="13.15" customHeight="1" x14ac:dyDescent="0.2">
      <c r="A58" s="147" t="s">
        <v>938</v>
      </c>
      <c r="B58" s="272">
        <f t="shared" si="4"/>
        <v>395135.99999999983</v>
      </c>
      <c r="C58" s="148">
        <f>C57*'01 - Dados de Entrada'!$C$116</f>
        <v>11289.6</v>
      </c>
      <c r="D58" s="148">
        <f>D57*'01 - Dados de Entrada'!$C$116</f>
        <v>11289.6</v>
      </c>
      <c r="E58" s="148">
        <f>E57*'01 - Dados de Entrada'!$C$116</f>
        <v>11289.6</v>
      </c>
      <c r="F58" s="148">
        <f>F57*'01 - Dados de Entrada'!$C$116</f>
        <v>11289.6</v>
      </c>
      <c r="G58" s="148">
        <f>G57*'01 - Dados de Entrada'!$C$116</f>
        <v>11289.6</v>
      </c>
      <c r="H58" s="148">
        <f>H57*'01 - Dados de Entrada'!$C$116</f>
        <v>11289.6</v>
      </c>
      <c r="I58" s="148">
        <f>I57*'01 - Dados de Entrada'!$C$116</f>
        <v>11289.6</v>
      </c>
      <c r="J58" s="148">
        <f>J57*'01 - Dados de Entrada'!$C$116</f>
        <v>11289.6</v>
      </c>
      <c r="K58" s="148">
        <f>K57*'01 - Dados de Entrada'!$C$116</f>
        <v>11289.6</v>
      </c>
      <c r="L58" s="148">
        <f>L57*'01 - Dados de Entrada'!$C$116</f>
        <v>11289.6</v>
      </c>
      <c r="M58" s="148">
        <f>M57*'01 - Dados de Entrada'!$C$116</f>
        <v>11289.6</v>
      </c>
      <c r="N58" s="148">
        <f>N57*'01 - Dados de Entrada'!$C$116</f>
        <v>11289.6</v>
      </c>
      <c r="O58" s="148">
        <f>O57*'01 - Dados de Entrada'!$C$116</f>
        <v>11289.6</v>
      </c>
      <c r="P58" s="148">
        <f>P57*'01 - Dados de Entrada'!$C$116</f>
        <v>11289.6</v>
      </c>
      <c r="Q58" s="148">
        <f>Q57*'01 - Dados de Entrada'!$C$116</f>
        <v>11289.6</v>
      </c>
      <c r="R58" s="148">
        <f>R57*'01 - Dados de Entrada'!$C$116</f>
        <v>11289.6</v>
      </c>
      <c r="S58" s="148">
        <f>S57*'01 - Dados de Entrada'!$C$116</f>
        <v>11289.6</v>
      </c>
      <c r="T58" s="148">
        <f>T57*'01 - Dados de Entrada'!$C$116</f>
        <v>11289.6</v>
      </c>
      <c r="U58" s="148">
        <f>U57*'01 - Dados de Entrada'!$C$116</f>
        <v>11289.6</v>
      </c>
      <c r="V58" s="148">
        <f>V57*'01 - Dados de Entrada'!$C$116</f>
        <v>11289.6</v>
      </c>
      <c r="W58" s="148">
        <f>W57*'01 - Dados de Entrada'!$C$116</f>
        <v>11289.6</v>
      </c>
      <c r="X58" s="148">
        <f>X57*'01 - Dados de Entrada'!$C$116</f>
        <v>11289.6</v>
      </c>
      <c r="Y58" s="148">
        <f>Y57*'01 - Dados de Entrada'!$C$116</f>
        <v>11289.6</v>
      </c>
      <c r="Z58" s="148">
        <f>Z57*'01 - Dados de Entrada'!$C$116</f>
        <v>11289.6</v>
      </c>
      <c r="AA58" s="148">
        <f>AA57*'01 - Dados de Entrada'!$C$116</f>
        <v>11289.6</v>
      </c>
      <c r="AB58" s="148">
        <f>AB57*'01 - Dados de Entrada'!$C$116</f>
        <v>11289.6</v>
      </c>
      <c r="AC58" s="148">
        <f>AC57*'01 - Dados de Entrada'!$C$116</f>
        <v>11289.6</v>
      </c>
      <c r="AD58" s="148">
        <f>AD57*'01 - Dados de Entrada'!$C$116</f>
        <v>11289.6</v>
      </c>
      <c r="AE58" s="148">
        <f>AE57*'01 - Dados de Entrada'!$C$116</f>
        <v>11289.6</v>
      </c>
      <c r="AF58" s="148">
        <f>AF57*'01 - Dados de Entrada'!$C$116</f>
        <v>11289.6</v>
      </c>
      <c r="AG58" s="148">
        <f>AG57*'01 - Dados de Entrada'!$C$116</f>
        <v>11289.6</v>
      </c>
      <c r="AH58" s="148">
        <f>AH57*'01 - Dados de Entrada'!$C$116</f>
        <v>11289.6</v>
      </c>
      <c r="AI58" s="148">
        <f>AI57*'01 - Dados de Entrada'!$C$116</f>
        <v>11289.6</v>
      </c>
      <c r="AJ58" s="148">
        <f>AJ57*'01 - Dados de Entrada'!$C$116</f>
        <v>11289.6</v>
      </c>
      <c r="AK58" s="148">
        <f>AK57*'01 - Dados de Entrada'!$C$116</f>
        <v>11289.6</v>
      </c>
    </row>
    <row r="59" spans="1:37" s="152" customFormat="1" ht="13.15" customHeight="1" x14ac:dyDescent="0.2">
      <c r="A59" s="271" t="s">
        <v>952</v>
      </c>
      <c r="B59" s="272">
        <f t="shared" si="4"/>
        <v>0</v>
      </c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  <c r="Z59" s="274"/>
      <c r="AA59" s="274"/>
      <c r="AB59" s="274"/>
      <c r="AC59" s="274"/>
      <c r="AD59" s="274"/>
      <c r="AE59" s="274"/>
      <c r="AF59" s="274"/>
      <c r="AG59" s="274"/>
      <c r="AH59" s="274"/>
      <c r="AI59" s="274"/>
      <c r="AJ59" s="274"/>
      <c r="AK59" s="274"/>
    </row>
    <row r="60" spans="1:37" s="152" customFormat="1" ht="13.15" customHeight="1" x14ac:dyDescent="0.2">
      <c r="A60" s="147" t="s">
        <v>936</v>
      </c>
      <c r="B60" s="272">
        <f t="shared" si="4"/>
        <v>1680000</v>
      </c>
      <c r="C60" s="273">
        <f>12*'01 - Dados de Entrada'!$C$214*'04 - Veículos e Equipamentos'!B52</f>
        <v>48000</v>
      </c>
      <c r="D60" s="273">
        <f>12*'01 - Dados de Entrada'!$C$214*'04 - Veículos e Equipamentos'!C52</f>
        <v>48000</v>
      </c>
      <c r="E60" s="273">
        <f>12*'01 - Dados de Entrada'!$C$214*'04 - Veículos e Equipamentos'!D52</f>
        <v>48000</v>
      </c>
      <c r="F60" s="273">
        <f>12*'01 - Dados de Entrada'!$C$214*'04 - Veículos e Equipamentos'!E52</f>
        <v>48000</v>
      </c>
      <c r="G60" s="273">
        <f>12*'01 - Dados de Entrada'!$C$214*'04 - Veículos e Equipamentos'!F52</f>
        <v>48000</v>
      </c>
      <c r="H60" s="273">
        <f>12*'01 - Dados de Entrada'!$C$214*'04 - Veículos e Equipamentos'!G52</f>
        <v>48000</v>
      </c>
      <c r="I60" s="273">
        <f>12*'01 - Dados de Entrada'!$C$214*'04 - Veículos e Equipamentos'!H52</f>
        <v>48000</v>
      </c>
      <c r="J60" s="273">
        <f>12*'01 - Dados de Entrada'!$C$214*'04 - Veículos e Equipamentos'!I52</f>
        <v>48000</v>
      </c>
      <c r="K60" s="273">
        <f>12*'01 - Dados de Entrada'!$C$214*'04 - Veículos e Equipamentos'!J52</f>
        <v>48000</v>
      </c>
      <c r="L60" s="273">
        <f>12*'01 - Dados de Entrada'!$C$214*'04 - Veículos e Equipamentos'!K52</f>
        <v>48000</v>
      </c>
      <c r="M60" s="273">
        <f>12*'01 - Dados de Entrada'!$C$214*'04 - Veículos e Equipamentos'!L52</f>
        <v>48000</v>
      </c>
      <c r="N60" s="273">
        <f>12*'01 - Dados de Entrada'!$C$214*'04 - Veículos e Equipamentos'!M52</f>
        <v>48000</v>
      </c>
      <c r="O60" s="273">
        <f>12*'01 - Dados de Entrada'!$C$214*'04 - Veículos e Equipamentos'!N52</f>
        <v>48000</v>
      </c>
      <c r="P60" s="273">
        <f>12*'01 - Dados de Entrada'!$C$214*'04 - Veículos e Equipamentos'!O52</f>
        <v>48000</v>
      </c>
      <c r="Q60" s="273">
        <f>12*'01 - Dados de Entrada'!$C$214*'04 - Veículos e Equipamentos'!P52</f>
        <v>48000</v>
      </c>
      <c r="R60" s="273">
        <f>12*'01 - Dados de Entrada'!$C$214*'04 - Veículos e Equipamentos'!Q52</f>
        <v>48000</v>
      </c>
      <c r="S60" s="273">
        <f>12*'01 - Dados de Entrada'!$C$214*'04 - Veículos e Equipamentos'!R52</f>
        <v>48000</v>
      </c>
      <c r="T60" s="273">
        <f>12*'01 - Dados de Entrada'!$C$214*'04 - Veículos e Equipamentos'!S52</f>
        <v>48000</v>
      </c>
      <c r="U60" s="273">
        <f>12*'01 - Dados de Entrada'!$C$214*'04 - Veículos e Equipamentos'!T52</f>
        <v>48000</v>
      </c>
      <c r="V60" s="273">
        <f>12*'01 - Dados de Entrada'!$C$214*'04 - Veículos e Equipamentos'!U52</f>
        <v>48000</v>
      </c>
      <c r="W60" s="273">
        <f>12*'01 - Dados de Entrada'!$C$214*'04 - Veículos e Equipamentos'!V52</f>
        <v>48000</v>
      </c>
      <c r="X60" s="273">
        <f>12*'01 - Dados de Entrada'!$C$214*'04 - Veículos e Equipamentos'!W52</f>
        <v>48000</v>
      </c>
      <c r="Y60" s="273">
        <f>12*'01 - Dados de Entrada'!$C$214*'04 - Veículos e Equipamentos'!X52</f>
        <v>48000</v>
      </c>
      <c r="Z60" s="273">
        <f>12*'01 - Dados de Entrada'!$C$214*'04 - Veículos e Equipamentos'!Y52</f>
        <v>48000</v>
      </c>
      <c r="AA60" s="273">
        <f>12*'01 - Dados de Entrada'!$C$214*'04 - Veículos e Equipamentos'!Z52</f>
        <v>48000</v>
      </c>
      <c r="AB60" s="273">
        <f>12*'01 - Dados de Entrada'!$C$214*'04 - Veículos e Equipamentos'!AA52</f>
        <v>48000</v>
      </c>
      <c r="AC60" s="273">
        <f>12*'01 - Dados de Entrada'!$C$214*'04 - Veículos e Equipamentos'!AB52</f>
        <v>48000</v>
      </c>
      <c r="AD60" s="273">
        <f>12*'01 - Dados de Entrada'!$C$214*'04 - Veículos e Equipamentos'!AC52</f>
        <v>48000</v>
      </c>
      <c r="AE60" s="273">
        <f>12*'01 - Dados de Entrada'!$C$214*'04 - Veículos e Equipamentos'!AD52</f>
        <v>48000</v>
      </c>
      <c r="AF60" s="273">
        <f>12*'01 - Dados de Entrada'!$C$214*'04 - Veículos e Equipamentos'!AE52</f>
        <v>48000</v>
      </c>
      <c r="AG60" s="273">
        <f>12*'01 - Dados de Entrada'!$C$214*'04 - Veículos e Equipamentos'!AF52</f>
        <v>48000</v>
      </c>
      <c r="AH60" s="273">
        <f>12*'01 - Dados de Entrada'!$C$214*'04 - Veículos e Equipamentos'!AG52</f>
        <v>48000</v>
      </c>
      <c r="AI60" s="273">
        <f>12*'01 - Dados de Entrada'!$C$214*'04 - Veículos e Equipamentos'!AH52</f>
        <v>48000</v>
      </c>
      <c r="AJ60" s="273">
        <f>12*'01 - Dados de Entrada'!$C$214*'04 - Veículos e Equipamentos'!AI52</f>
        <v>48000</v>
      </c>
      <c r="AK60" s="273">
        <f>12*'01 - Dados de Entrada'!$C$214*'04 - Veículos e Equipamentos'!AJ52</f>
        <v>48000</v>
      </c>
    </row>
    <row r="61" spans="1:37" s="152" customFormat="1" ht="13.15" customHeight="1" x14ac:dyDescent="0.2">
      <c r="A61" s="147" t="s">
        <v>937</v>
      </c>
      <c r="B61" s="272">
        <f t="shared" si="4"/>
        <v>210000</v>
      </c>
      <c r="C61" s="273">
        <f>C60/'01 - Dados de Entrada'!$C$234</f>
        <v>6000</v>
      </c>
      <c r="D61" s="273">
        <f>D60/'01 - Dados de Entrada'!$C$234</f>
        <v>6000</v>
      </c>
      <c r="E61" s="273">
        <f>E60/'01 - Dados de Entrada'!$C$234</f>
        <v>6000</v>
      </c>
      <c r="F61" s="273">
        <f>F60/'01 - Dados de Entrada'!$C$234</f>
        <v>6000</v>
      </c>
      <c r="G61" s="273">
        <f>G60/'01 - Dados de Entrada'!$C$234</f>
        <v>6000</v>
      </c>
      <c r="H61" s="273">
        <f>H60/'01 - Dados de Entrada'!$C$234</f>
        <v>6000</v>
      </c>
      <c r="I61" s="273">
        <f>I60/'01 - Dados de Entrada'!$C$234</f>
        <v>6000</v>
      </c>
      <c r="J61" s="273">
        <f>J60/'01 - Dados de Entrada'!$C$234</f>
        <v>6000</v>
      </c>
      <c r="K61" s="273">
        <f>K60/'01 - Dados de Entrada'!$C$234</f>
        <v>6000</v>
      </c>
      <c r="L61" s="273">
        <f>L60/'01 - Dados de Entrada'!$C$234</f>
        <v>6000</v>
      </c>
      <c r="M61" s="273">
        <f>M60/'01 - Dados de Entrada'!$C$234</f>
        <v>6000</v>
      </c>
      <c r="N61" s="273">
        <f>N60/'01 - Dados de Entrada'!$C$234</f>
        <v>6000</v>
      </c>
      <c r="O61" s="273">
        <f>O60/'01 - Dados de Entrada'!$C$234</f>
        <v>6000</v>
      </c>
      <c r="P61" s="273">
        <f>P60/'01 - Dados de Entrada'!$C$234</f>
        <v>6000</v>
      </c>
      <c r="Q61" s="273">
        <f>Q60/'01 - Dados de Entrada'!$C$234</f>
        <v>6000</v>
      </c>
      <c r="R61" s="273">
        <f>R60/'01 - Dados de Entrada'!$C$234</f>
        <v>6000</v>
      </c>
      <c r="S61" s="273">
        <f>S60/'01 - Dados de Entrada'!$C$234</f>
        <v>6000</v>
      </c>
      <c r="T61" s="273">
        <f>T60/'01 - Dados de Entrada'!$C$234</f>
        <v>6000</v>
      </c>
      <c r="U61" s="273">
        <f>U60/'01 - Dados de Entrada'!$C$234</f>
        <v>6000</v>
      </c>
      <c r="V61" s="273">
        <f>V60/'01 - Dados de Entrada'!$C$234</f>
        <v>6000</v>
      </c>
      <c r="W61" s="273">
        <f>W60/'01 - Dados de Entrada'!$C$234</f>
        <v>6000</v>
      </c>
      <c r="X61" s="273">
        <f>X60/'01 - Dados de Entrada'!$C$234</f>
        <v>6000</v>
      </c>
      <c r="Y61" s="273">
        <f>Y60/'01 - Dados de Entrada'!$C$234</f>
        <v>6000</v>
      </c>
      <c r="Z61" s="273">
        <f>Z60/'01 - Dados de Entrada'!$C$234</f>
        <v>6000</v>
      </c>
      <c r="AA61" s="273">
        <f>AA60/'01 - Dados de Entrada'!$C$234</f>
        <v>6000</v>
      </c>
      <c r="AB61" s="273">
        <f>AB60/'01 - Dados de Entrada'!$C$234</f>
        <v>6000</v>
      </c>
      <c r="AC61" s="273">
        <f>AC60/'01 - Dados de Entrada'!$C$234</f>
        <v>6000</v>
      </c>
      <c r="AD61" s="273">
        <f>AD60/'01 - Dados de Entrada'!$C$234</f>
        <v>6000</v>
      </c>
      <c r="AE61" s="273">
        <f>AE60/'01 - Dados de Entrada'!$C$234</f>
        <v>6000</v>
      </c>
      <c r="AF61" s="273">
        <f>AF60/'01 - Dados de Entrada'!$C$234</f>
        <v>6000</v>
      </c>
      <c r="AG61" s="273">
        <f>AG60/'01 - Dados de Entrada'!$C$234</f>
        <v>6000</v>
      </c>
      <c r="AH61" s="273">
        <f>AH60/'01 - Dados de Entrada'!$C$234</f>
        <v>6000</v>
      </c>
      <c r="AI61" s="273">
        <f>AI60/'01 - Dados de Entrada'!$C$234</f>
        <v>6000</v>
      </c>
      <c r="AJ61" s="273">
        <f>AJ60/'01 - Dados de Entrada'!$C$234</f>
        <v>6000</v>
      </c>
      <c r="AK61" s="273">
        <f>AK60/'01 - Dados de Entrada'!$C$234</f>
        <v>6000</v>
      </c>
    </row>
    <row r="62" spans="1:37" s="152" customFormat="1" ht="13.15" customHeight="1" x14ac:dyDescent="0.2">
      <c r="A62" s="147" t="s">
        <v>938</v>
      </c>
      <c r="B62" s="272">
        <f t="shared" si="4"/>
        <v>1234800</v>
      </c>
      <c r="C62" s="148">
        <f>C61*'01 - Dados de Entrada'!$C$116</f>
        <v>35280</v>
      </c>
      <c r="D62" s="148">
        <f>D61*'01 - Dados de Entrada'!$C$116</f>
        <v>35280</v>
      </c>
      <c r="E62" s="148">
        <f>E61*'01 - Dados de Entrada'!$C$116</f>
        <v>35280</v>
      </c>
      <c r="F62" s="148">
        <f>F61*'01 - Dados de Entrada'!$C$116</f>
        <v>35280</v>
      </c>
      <c r="G62" s="148">
        <f>G61*'01 - Dados de Entrada'!$C$116</f>
        <v>35280</v>
      </c>
      <c r="H62" s="148">
        <f>H61*'01 - Dados de Entrada'!$C$116</f>
        <v>35280</v>
      </c>
      <c r="I62" s="148">
        <f>I61*'01 - Dados de Entrada'!$C$116</f>
        <v>35280</v>
      </c>
      <c r="J62" s="148">
        <f>J61*'01 - Dados de Entrada'!$C$116</f>
        <v>35280</v>
      </c>
      <c r="K62" s="148">
        <f>K61*'01 - Dados de Entrada'!$C$116</f>
        <v>35280</v>
      </c>
      <c r="L62" s="148">
        <f>L61*'01 - Dados de Entrada'!$C$116</f>
        <v>35280</v>
      </c>
      <c r="M62" s="148">
        <f>M61*'01 - Dados de Entrada'!$C$116</f>
        <v>35280</v>
      </c>
      <c r="N62" s="148">
        <f>N61*'01 - Dados de Entrada'!$C$116</f>
        <v>35280</v>
      </c>
      <c r="O62" s="148">
        <f>O61*'01 - Dados de Entrada'!$C$116</f>
        <v>35280</v>
      </c>
      <c r="P62" s="148">
        <f>P61*'01 - Dados de Entrada'!$C$116</f>
        <v>35280</v>
      </c>
      <c r="Q62" s="148">
        <f>Q61*'01 - Dados de Entrada'!$C$116</f>
        <v>35280</v>
      </c>
      <c r="R62" s="148">
        <f>R61*'01 - Dados de Entrada'!$C$116</f>
        <v>35280</v>
      </c>
      <c r="S62" s="148">
        <f>S61*'01 - Dados de Entrada'!$C$116</f>
        <v>35280</v>
      </c>
      <c r="T62" s="148">
        <f>T61*'01 - Dados de Entrada'!$C$116</f>
        <v>35280</v>
      </c>
      <c r="U62" s="148">
        <f>U61*'01 - Dados de Entrada'!$C$116</f>
        <v>35280</v>
      </c>
      <c r="V62" s="148">
        <f>V61*'01 - Dados de Entrada'!$C$116</f>
        <v>35280</v>
      </c>
      <c r="W62" s="148">
        <f>W61*'01 - Dados de Entrada'!$C$116</f>
        <v>35280</v>
      </c>
      <c r="X62" s="148">
        <f>X61*'01 - Dados de Entrada'!$C$116</f>
        <v>35280</v>
      </c>
      <c r="Y62" s="148">
        <f>Y61*'01 - Dados de Entrada'!$C$116</f>
        <v>35280</v>
      </c>
      <c r="Z62" s="148">
        <f>Z61*'01 - Dados de Entrada'!$C$116</f>
        <v>35280</v>
      </c>
      <c r="AA62" s="148">
        <f>AA61*'01 - Dados de Entrada'!$C$116</f>
        <v>35280</v>
      </c>
      <c r="AB62" s="148">
        <f>AB61*'01 - Dados de Entrada'!$C$116</f>
        <v>35280</v>
      </c>
      <c r="AC62" s="148">
        <f>AC61*'01 - Dados de Entrada'!$C$116</f>
        <v>35280</v>
      </c>
      <c r="AD62" s="148">
        <f>AD61*'01 - Dados de Entrada'!$C$116</f>
        <v>35280</v>
      </c>
      <c r="AE62" s="148">
        <f>AE61*'01 - Dados de Entrada'!$C$116</f>
        <v>35280</v>
      </c>
      <c r="AF62" s="148">
        <f>AF61*'01 - Dados de Entrada'!$C$116</f>
        <v>35280</v>
      </c>
      <c r="AG62" s="148">
        <f>AG61*'01 - Dados de Entrada'!$C$116</f>
        <v>35280</v>
      </c>
      <c r="AH62" s="148">
        <f>AH61*'01 - Dados de Entrada'!$C$116</f>
        <v>35280</v>
      </c>
      <c r="AI62" s="148">
        <f>AI61*'01 - Dados de Entrada'!$C$116</f>
        <v>35280</v>
      </c>
      <c r="AJ62" s="148">
        <f>AJ61*'01 - Dados de Entrada'!$C$116</f>
        <v>35280</v>
      </c>
      <c r="AK62" s="148">
        <f>AK61*'01 - Dados de Entrada'!$C$116</f>
        <v>35280</v>
      </c>
    </row>
    <row r="63" spans="1:37" s="152" customFormat="1" ht="13.15" customHeight="1" x14ac:dyDescent="0.2">
      <c r="A63" s="271" t="s">
        <v>953</v>
      </c>
      <c r="B63" s="272">
        <f t="shared" si="2"/>
        <v>0</v>
      </c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  <c r="Z63" s="274"/>
      <c r="AA63" s="274"/>
      <c r="AB63" s="274"/>
      <c r="AC63" s="274"/>
      <c r="AD63" s="274"/>
      <c r="AE63" s="274"/>
      <c r="AF63" s="274"/>
      <c r="AG63" s="274"/>
      <c r="AH63" s="274"/>
      <c r="AI63" s="274"/>
      <c r="AJ63" s="274"/>
      <c r="AK63" s="274"/>
    </row>
    <row r="64" spans="1:37" s="152" customFormat="1" ht="13.15" customHeight="1" x14ac:dyDescent="0.2">
      <c r="A64" s="147" t="s">
        <v>936</v>
      </c>
      <c r="B64" s="272">
        <f t="shared" si="2"/>
        <v>740040</v>
      </c>
      <c r="C64" s="273">
        <f>12*'01 - Dados de Entrada'!$C$215*'04 - Veículos e Equipamentos'!B53</f>
        <v>21144</v>
      </c>
      <c r="D64" s="273">
        <f>12*'01 - Dados de Entrada'!$C$215*'04 - Veículos e Equipamentos'!C53</f>
        <v>21144</v>
      </c>
      <c r="E64" s="273">
        <f>12*'01 - Dados de Entrada'!$C$215*'04 - Veículos e Equipamentos'!D53</f>
        <v>21144</v>
      </c>
      <c r="F64" s="273">
        <f>12*'01 - Dados de Entrada'!$C$215*'04 - Veículos e Equipamentos'!E53</f>
        <v>21144</v>
      </c>
      <c r="G64" s="273">
        <f>12*'01 - Dados de Entrada'!$C$215*'04 - Veículos e Equipamentos'!F53</f>
        <v>21144</v>
      </c>
      <c r="H64" s="273">
        <f>12*'01 - Dados de Entrada'!$C$215*'04 - Veículos e Equipamentos'!G53</f>
        <v>21144</v>
      </c>
      <c r="I64" s="273">
        <f>12*'01 - Dados de Entrada'!$C$215*'04 - Veículos e Equipamentos'!H53</f>
        <v>21144</v>
      </c>
      <c r="J64" s="273">
        <f>12*'01 - Dados de Entrada'!$C$215*'04 - Veículos e Equipamentos'!I53</f>
        <v>21144</v>
      </c>
      <c r="K64" s="273">
        <f>12*'01 - Dados de Entrada'!$C$215*'04 - Veículos e Equipamentos'!J53</f>
        <v>21144</v>
      </c>
      <c r="L64" s="273">
        <f>12*'01 - Dados de Entrada'!$C$215*'04 - Veículos e Equipamentos'!K53</f>
        <v>21144</v>
      </c>
      <c r="M64" s="273">
        <f>12*'01 - Dados de Entrada'!$C$215*'04 - Veículos e Equipamentos'!L53</f>
        <v>21144</v>
      </c>
      <c r="N64" s="273">
        <f>12*'01 - Dados de Entrada'!$C$215*'04 - Veículos e Equipamentos'!M53</f>
        <v>21144</v>
      </c>
      <c r="O64" s="273">
        <f>12*'01 - Dados de Entrada'!$C$215*'04 - Veículos e Equipamentos'!N53</f>
        <v>21144</v>
      </c>
      <c r="P64" s="273">
        <f>12*'01 - Dados de Entrada'!$C$215*'04 - Veículos e Equipamentos'!O53</f>
        <v>21144</v>
      </c>
      <c r="Q64" s="273">
        <f>12*'01 - Dados de Entrada'!$C$215*'04 - Veículos e Equipamentos'!P53</f>
        <v>21144</v>
      </c>
      <c r="R64" s="273">
        <f>12*'01 - Dados de Entrada'!$C$215*'04 - Veículos e Equipamentos'!Q53</f>
        <v>21144</v>
      </c>
      <c r="S64" s="273">
        <f>12*'01 - Dados de Entrada'!$C$215*'04 - Veículos e Equipamentos'!R53</f>
        <v>21144</v>
      </c>
      <c r="T64" s="273">
        <f>12*'01 - Dados de Entrada'!$C$215*'04 - Veículos e Equipamentos'!S53</f>
        <v>21144</v>
      </c>
      <c r="U64" s="273">
        <f>12*'01 - Dados de Entrada'!$C$215*'04 - Veículos e Equipamentos'!T53</f>
        <v>21144</v>
      </c>
      <c r="V64" s="273">
        <f>12*'01 - Dados de Entrada'!$C$215*'04 - Veículos e Equipamentos'!U53</f>
        <v>21144</v>
      </c>
      <c r="W64" s="273">
        <f>12*'01 - Dados de Entrada'!$C$215*'04 - Veículos e Equipamentos'!V53</f>
        <v>21144</v>
      </c>
      <c r="X64" s="273">
        <f>12*'01 - Dados de Entrada'!$C$215*'04 - Veículos e Equipamentos'!W53</f>
        <v>21144</v>
      </c>
      <c r="Y64" s="273">
        <f>12*'01 - Dados de Entrada'!$C$215*'04 - Veículos e Equipamentos'!X53</f>
        <v>21144</v>
      </c>
      <c r="Z64" s="273">
        <f>12*'01 - Dados de Entrada'!$C$215*'04 - Veículos e Equipamentos'!Y53</f>
        <v>21144</v>
      </c>
      <c r="AA64" s="273">
        <f>12*'01 - Dados de Entrada'!$C$215*'04 - Veículos e Equipamentos'!Z53</f>
        <v>21144</v>
      </c>
      <c r="AB64" s="273">
        <f>12*'01 - Dados de Entrada'!$C$215*'04 - Veículos e Equipamentos'!AA53</f>
        <v>21144</v>
      </c>
      <c r="AC64" s="273">
        <f>12*'01 - Dados de Entrada'!$C$215*'04 - Veículos e Equipamentos'!AB53</f>
        <v>21144</v>
      </c>
      <c r="AD64" s="273">
        <f>12*'01 - Dados de Entrada'!$C$215*'04 - Veículos e Equipamentos'!AC53</f>
        <v>21144</v>
      </c>
      <c r="AE64" s="273">
        <f>12*'01 - Dados de Entrada'!$C$215*'04 - Veículos e Equipamentos'!AD53</f>
        <v>21144</v>
      </c>
      <c r="AF64" s="273">
        <f>12*'01 - Dados de Entrada'!$C$215*'04 - Veículos e Equipamentos'!AE53</f>
        <v>21144</v>
      </c>
      <c r="AG64" s="273">
        <f>12*'01 - Dados de Entrada'!$C$215*'04 - Veículos e Equipamentos'!AF53</f>
        <v>21144</v>
      </c>
      <c r="AH64" s="273">
        <f>12*'01 - Dados de Entrada'!$C$215*'04 - Veículos e Equipamentos'!AG53</f>
        <v>21144</v>
      </c>
      <c r="AI64" s="273">
        <f>12*'01 - Dados de Entrada'!$C$215*'04 - Veículos e Equipamentos'!AH53</f>
        <v>21144</v>
      </c>
      <c r="AJ64" s="273">
        <f>12*'01 - Dados de Entrada'!$C$215*'04 - Veículos e Equipamentos'!AI53</f>
        <v>21144</v>
      </c>
      <c r="AK64" s="273">
        <f>12*'01 - Dados de Entrada'!$C$215*'04 - Veículos e Equipamentos'!AJ53</f>
        <v>21144</v>
      </c>
    </row>
    <row r="65" spans="1:37" s="152" customFormat="1" ht="13.15" customHeight="1" x14ac:dyDescent="0.2">
      <c r="A65" s="147" t="s">
        <v>937</v>
      </c>
      <c r="B65" s="272">
        <f t="shared" si="2"/>
        <v>40002.162162162182</v>
      </c>
      <c r="C65" s="273">
        <f>C64/'01 - Dados de Entrada'!$C$240</f>
        <v>1142.918918918919</v>
      </c>
      <c r="D65" s="273">
        <f>D64/'01 - Dados de Entrada'!$C$240</f>
        <v>1142.918918918919</v>
      </c>
      <c r="E65" s="273">
        <f>E64/'01 - Dados de Entrada'!$C$240</f>
        <v>1142.918918918919</v>
      </c>
      <c r="F65" s="273">
        <f>F64/'01 - Dados de Entrada'!$C$240</f>
        <v>1142.918918918919</v>
      </c>
      <c r="G65" s="273">
        <f>G64/'01 - Dados de Entrada'!$C$240</f>
        <v>1142.918918918919</v>
      </c>
      <c r="H65" s="273">
        <f>H64/'01 - Dados de Entrada'!$C$240</f>
        <v>1142.918918918919</v>
      </c>
      <c r="I65" s="273">
        <f>I64/'01 - Dados de Entrada'!$C$240</f>
        <v>1142.918918918919</v>
      </c>
      <c r="J65" s="273">
        <f>J64/'01 - Dados de Entrada'!$C$240</f>
        <v>1142.918918918919</v>
      </c>
      <c r="K65" s="273">
        <f>K64/'01 - Dados de Entrada'!$C$240</f>
        <v>1142.918918918919</v>
      </c>
      <c r="L65" s="273">
        <f>L64/'01 - Dados de Entrada'!$C$240</f>
        <v>1142.918918918919</v>
      </c>
      <c r="M65" s="273">
        <f>M64/'01 - Dados de Entrada'!$C$240</f>
        <v>1142.918918918919</v>
      </c>
      <c r="N65" s="273">
        <f>N64/'01 - Dados de Entrada'!$C$240</f>
        <v>1142.918918918919</v>
      </c>
      <c r="O65" s="273">
        <f>O64/'01 - Dados de Entrada'!$C$240</f>
        <v>1142.918918918919</v>
      </c>
      <c r="P65" s="273">
        <f>P64/'01 - Dados de Entrada'!$C$240</f>
        <v>1142.918918918919</v>
      </c>
      <c r="Q65" s="273">
        <f>Q64/'01 - Dados de Entrada'!$C$240</f>
        <v>1142.918918918919</v>
      </c>
      <c r="R65" s="273">
        <f>R64/'01 - Dados de Entrada'!$C$240</f>
        <v>1142.918918918919</v>
      </c>
      <c r="S65" s="273">
        <f>S64/'01 - Dados de Entrada'!$C$240</f>
        <v>1142.918918918919</v>
      </c>
      <c r="T65" s="273">
        <f>T64/'01 - Dados de Entrada'!$C$240</f>
        <v>1142.918918918919</v>
      </c>
      <c r="U65" s="273">
        <f>U64/'01 - Dados de Entrada'!$C$240</f>
        <v>1142.918918918919</v>
      </c>
      <c r="V65" s="273">
        <f>V64/'01 - Dados de Entrada'!$C$240</f>
        <v>1142.918918918919</v>
      </c>
      <c r="W65" s="273">
        <f>W64/'01 - Dados de Entrada'!$C$240</f>
        <v>1142.918918918919</v>
      </c>
      <c r="X65" s="273">
        <f>X64/'01 - Dados de Entrada'!$C$240</f>
        <v>1142.918918918919</v>
      </c>
      <c r="Y65" s="273">
        <f>Y64/'01 - Dados de Entrada'!$C$240</f>
        <v>1142.918918918919</v>
      </c>
      <c r="Z65" s="273">
        <f>Z64/'01 - Dados de Entrada'!$C$240</f>
        <v>1142.918918918919</v>
      </c>
      <c r="AA65" s="273">
        <f>AA64/'01 - Dados de Entrada'!$C$240</f>
        <v>1142.918918918919</v>
      </c>
      <c r="AB65" s="273">
        <f>AB64/'01 - Dados de Entrada'!$C$240</f>
        <v>1142.918918918919</v>
      </c>
      <c r="AC65" s="273">
        <f>AC64/'01 - Dados de Entrada'!$C$240</f>
        <v>1142.918918918919</v>
      </c>
      <c r="AD65" s="273">
        <f>AD64/'01 - Dados de Entrada'!$C$240</f>
        <v>1142.918918918919</v>
      </c>
      <c r="AE65" s="273">
        <f>AE64/'01 - Dados de Entrada'!$C$240</f>
        <v>1142.918918918919</v>
      </c>
      <c r="AF65" s="273">
        <f>AF64/'01 - Dados de Entrada'!$C$240</f>
        <v>1142.918918918919</v>
      </c>
      <c r="AG65" s="273">
        <f>AG64/'01 - Dados de Entrada'!$C$240</f>
        <v>1142.918918918919</v>
      </c>
      <c r="AH65" s="273">
        <f>AH64/'01 - Dados de Entrada'!$C$240</f>
        <v>1142.918918918919</v>
      </c>
      <c r="AI65" s="273">
        <f>AI64/'01 - Dados de Entrada'!$C$240</f>
        <v>1142.918918918919</v>
      </c>
      <c r="AJ65" s="273">
        <f>AJ64/'01 - Dados de Entrada'!$C$240</f>
        <v>1142.918918918919</v>
      </c>
      <c r="AK65" s="273">
        <f>AK64/'01 - Dados de Entrada'!$C$240</f>
        <v>1142.918918918919</v>
      </c>
    </row>
    <row r="66" spans="1:37" s="152" customFormat="1" ht="13.15" customHeight="1" x14ac:dyDescent="0.2">
      <c r="A66" s="147" t="s">
        <v>938</v>
      </c>
      <c r="B66" s="272">
        <f t="shared" si="2"/>
        <v>240412.9945945947</v>
      </c>
      <c r="C66" s="148">
        <f>C65*'01 - Dados de Entrada'!$C$117</f>
        <v>6868.9427027027023</v>
      </c>
      <c r="D66" s="148">
        <f>D65*'01 - Dados de Entrada'!$C$117</f>
        <v>6868.9427027027023</v>
      </c>
      <c r="E66" s="148">
        <f>E65*'01 - Dados de Entrada'!$C$117</f>
        <v>6868.9427027027023</v>
      </c>
      <c r="F66" s="148">
        <f>F65*'01 - Dados de Entrada'!$C$117</f>
        <v>6868.9427027027023</v>
      </c>
      <c r="G66" s="148">
        <f>G65*'01 - Dados de Entrada'!$C$117</f>
        <v>6868.9427027027023</v>
      </c>
      <c r="H66" s="148">
        <f>H65*'01 - Dados de Entrada'!$C$117</f>
        <v>6868.9427027027023</v>
      </c>
      <c r="I66" s="148">
        <f>I65*'01 - Dados de Entrada'!$C$117</f>
        <v>6868.9427027027023</v>
      </c>
      <c r="J66" s="148">
        <f>J65*'01 - Dados de Entrada'!$C$117</f>
        <v>6868.9427027027023</v>
      </c>
      <c r="K66" s="148">
        <f>K65*'01 - Dados de Entrada'!$C$117</f>
        <v>6868.9427027027023</v>
      </c>
      <c r="L66" s="148">
        <f>L65*'01 - Dados de Entrada'!$C$117</f>
        <v>6868.9427027027023</v>
      </c>
      <c r="M66" s="148">
        <f>M65*'01 - Dados de Entrada'!$C$117</f>
        <v>6868.9427027027023</v>
      </c>
      <c r="N66" s="148">
        <f>N65*'01 - Dados de Entrada'!$C$117</f>
        <v>6868.9427027027023</v>
      </c>
      <c r="O66" s="148">
        <f>O65*'01 - Dados de Entrada'!$C$117</f>
        <v>6868.9427027027023</v>
      </c>
      <c r="P66" s="148">
        <f>P65*'01 - Dados de Entrada'!$C$117</f>
        <v>6868.9427027027023</v>
      </c>
      <c r="Q66" s="148">
        <f>Q65*'01 - Dados de Entrada'!$C$117</f>
        <v>6868.9427027027023</v>
      </c>
      <c r="R66" s="148">
        <f>R65*'01 - Dados de Entrada'!$C$117</f>
        <v>6868.9427027027023</v>
      </c>
      <c r="S66" s="148">
        <f>S65*'01 - Dados de Entrada'!$C$117</f>
        <v>6868.9427027027023</v>
      </c>
      <c r="T66" s="148">
        <f>T65*'01 - Dados de Entrada'!$C$117</f>
        <v>6868.9427027027023</v>
      </c>
      <c r="U66" s="148">
        <f>U65*'01 - Dados de Entrada'!$C$117</f>
        <v>6868.9427027027023</v>
      </c>
      <c r="V66" s="148">
        <f>V65*'01 - Dados de Entrada'!$C$117</f>
        <v>6868.9427027027023</v>
      </c>
      <c r="W66" s="148">
        <f>W65*'01 - Dados de Entrada'!$C$117</f>
        <v>6868.9427027027023</v>
      </c>
      <c r="X66" s="148">
        <f>X65*'01 - Dados de Entrada'!$C$117</f>
        <v>6868.9427027027023</v>
      </c>
      <c r="Y66" s="148">
        <f>Y65*'01 - Dados de Entrada'!$C$117</f>
        <v>6868.9427027027023</v>
      </c>
      <c r="Z66" s="148">
        <f>Z65*'01 - Dados de Entrada'!$C$117</f>
        <v>6868.9427027027023</v>
      </c>
      <c r="AA66" s="148">
        <f>AA65*'01 - Dados de Entrada'!$C$117</f>
        <v>6868.9427027027023</v>
      </c>
      <c r="AB66" s="148">
        <f>AB65*'01 - Dados de Entrada'!$C$117</f>
        <v>6868.9427027027023</v>
      </c>
      <c r="AC66" s="148">
        <f>AC65*'01 - Dados de Entrada'!$C$117</f>
        <v>6868.9427027027023</v>
      </c>
      <c r="AD66" s="148">
        <f>AD65*'01 - Dados de Entrada'!$C$117</f>
        <v>6868.9427027027023</v>
      </c>
      <c r="AE66" s="148">
        <f>AE65*'01 - Dados de Entrada'!$C$117</f>
        <v>6868.9427027027023</v>
      </c>
      <c r="AF66" s="148">
        <f>AF65*'01 - Dados de Entrada'!$C$117</f>
        <v>6868.9427027027023</v>
      </c>
      <c r="AG66" s="148">
        <f>AG65*'01 - Dados de Entrada'!$C$117</f>
        <v>6868.9427027027023</v>
      </c>
      <c r="AH66" s="148">
        <f>AH65*'01 - Dados de Entrada'!$C$117</f>
        <v>6868.9427027027023</v>
      </c>
      <c r="AI66" s="148">
        <f>AI65*'01 - Dados de Entrada'!$C$117</f>
        <v>6868.9427027027023</v>
      </c>
      <c r="AJ66" s="148">
        <f>AJ65*'01 - Dados de Entrada'!$C$117</f>
        <v>6868.9427027027023</v>
      </c>
      <c r="AK66" s="148">
        <f>AK65*'01 - Dados de Entrada'!$C$117</f>
        <v>6868.9427027027023</v>
      </c>
    </row>
    <row r="67" spans="1:37" s="152" customFormat="1" ht="13.15" customHeight="1" x14ac:dyDescent="0.2">
      <c r="A67" s="271" t="s">
        <v>954</v>
      </c>
      <c r="B67" s="272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48"/>
    </row>
    <row r="68" spans="1:37" s="152" customFormat="1" ht="13.15" customHeight="1" x14ac:dyDescent="0.2">
      <c r="A68" s="147" t="s">
        <v>936</v>
      </c>
      <c r="B68" s="272">
        <f t="shared" si="2"/>
        <v>840000</v>
      </c>
      <c r="C68" s="273">
        <f>12*'01 - Dados de Entrada'!$C$216*'04 - Veículos e Equipamentos'!B55</f>
        <v>24000</v>
      </c>
      <c r="D68" s="273">
        <f>12*'01 - Dados de Entrada'!$C$216*'04 - Veículos e Equipamentos'!C55</f>
        <v>24000</v>
      </c>
      <c r="E68" s="273">
        <f>12*'01 - Dados de Entrada'!$C$216*'04 - Veículos e Equipamentos'!D55</f>
        <v>24000</v>
      </c>
      <c r="F68" s="273">
        <f>12*'01 - Dados de Entrada'!$C$216*'04 - Veículos e Equipamentos'!E55</f>
        <v>24000</v>
      </c>
      <c r="G68" s="273">
        <f>12*'01 - Dados de Entrada'!$C$216*'04 - Veículos e Equipamentos'!F55</f>
        <v>24000</v>
      </c>
      <c r="H68" s="273">
        <f>12*'01 - Dados de Entrada'!$C$216*'04 - Veículos e Equipamentos'!G55</f>
        <v>24000</v>
      </c>
      <c r="I68" s="273">
        <f>12*'01 - Dados de Entrada'!$C$216*'04 - Veículos e Equipamentos'!H55</f>
        <v>24000</v>
      </c>
      <c r="J68" s="273">
        <f>12*'01 - Dados de Entrada'!$C$216*'04 - Veículos e Equipamentos'!I55</f>
        <v>24000</v>
      </c>
      <c r="K68" s="273">
        <f>12*'01 - Dados de Entrada'!$C$216*'04 - Veículos e Equipamentos'!J55</f>
        <v>24000</v>
      </c>
      <c r="L68" s="273">
        <f>12*'01 - Dados de Entrada'!$C$216*'04 - Veículos e Equipamentos'!K55</f>
        <v>24000</v>
      </c>
      <c r="M68" s="273">
        <f>12*'01 - Dados de Entrada'!$C$216*'04 - Veículos e Equipamentos'!L55</f>
        <v>24000</v>
      </c>
      <c r="N68" s="273">
        <f>12*'01 - Dados de Entrada'!$C$216*'04 - Veículos e Equipamentos'!M55</f>
        <v>24000</v>
      </c>
      <c r="O68" s="273">
        <f>12*'01 - Dados de Entrada'!$C$216*'04 - Veículos e Equipamentos'!N55</f>
        <v>24000</v>
      </c>
      <c r="P68" s="273">
        <f>12*'01 - Dados de Entrada'!$C$216*'04 - Veículos e Equipamentos'!O55</f>
        <v>24000</v>
      </c>
      <c r="Q68" s="273">
        <f>12*'01 - Dados de Entrada'!$C$216*'04 - Veículos e Equipamentos'!P55</f>
        <v>24000</v>
      </c>
      <c r="R68" s="273">
        <f>12*'01 - Dados de Entrada'!$C$216*'04 - Veículos e Equipamentos'!Q55</f>
        <v>24000</v>
      </c>
      <c r="S68" s="273">
        <f>12*'01 - Dados de Entrada'!$C$216*'04 - Veículos e Equipamentos'!R55</f>
        <v>24000</v>
      </c>
      <c r="T68" s="273">
        <f>12*'01 - Dados de Entrada'!$C$216*'04 - Veículos e Equipamentos'!S55</f>
        <v>24000</v>
      </c>
      <c r="U68" s="273">
        <f>12*'01 - Dados de Entrada'!$C$216*'04 - Veículos e Equipamentos'!T55</f>
        <v>24000</v>
      </c>
      <c r="V68" s="273">
        <f>12*'01 - Dados de Entrada'!$C$216*'04 - Veículos e Equipamentos'!U55</f>
        <v>24000</v>
      </c>
      <c r="W68" s="273">
        <f>12*'01 - Dados de Entrada'!$C$216*'04 - Veículos e Equipamentos'!V55</f>
        <v>24000</v>
      </c>
      <c r="X68" s="273">
        <f>12*'01 - Dados de Entrada'!$C$216*'04 - Veículos e Equipamentos'!W55</f>
        <v>24000</v>
      </c>
      <c r="Y68" s="273">
        <f>12*'01 - Dados de Entrada'!$C$216*'04 - Veículos e Equipamentos'!X55</f>
        <v>24000</v>
      </c>
      <c r="Z68" s="273">
        <f>12*'01 - Dados de Entrada'!$C$216*'04 - Veículos e Equipamentos'!Y55</f>
        <v>24000</v>
      </c>
      <c r="AA68" s="273">
        <f>12*'01 - Dados de Entrada'!$C$216*'04 - Veículos e Equipamentos'!Z55</f>
        <v>24000</v>
      </c>
      <c r="AB68" s="273">
        <f>12*'01 - Dados de Entrada'!$C$216*'04 - Veículos e Equipamentos'!AA55</f>
        <v>24000</v>
      </c>
      <c r="AC68" s="273">
        <f>12*'01 - Dados de Entrada'!$C$216*'04 - Veículos e Equipamentos'!AB55</f>
        <v>24000</v>
      </c>
      <c r="AD68" s="273">
        <f>12*'01 - Dados de Entrada'!$C$216*'04 - Veículos e Equipamentos'!AC55</f>
        <v>24000</v>
      </c>
      <c r="AE68" s="273">
        <f>12*'01 - Dados de Entrada'!$C$216*'04 - Veículos e Equipamentos'!AD55</f>
        <v>24000</v>
      </c>
      <c r="AF68" s="273">
        <f>12*'01 - Dados de Entrada'!$C$216*'04 - Veículos e Equipamentos'!AE55</f>
        <v>24000</v>
      </c>
      <c r="AG68" s="273">
        <f>12*'01 - Dados de Entrada'!$C$216*'04 - Veículos e Equipamentos'!AF55</f>
        <v>24000</v>
      </c>
      <c r="AH68" s="273">
        <f>12*'01 - Dados de Entrada'!$C$216*'04 - Veículos e Equipamentos'!AG55</f>
        <v>24000</v>
      </c>
      <c r="AI68" s="273">
        <f>12*'01 - Dados de Entrada'!$C$216*'04 - Veículos e Equipamentos'!AH55</f>
        <v>24000</v>
      </c>
      <c r="AJ68" s="273">
        <f>12*'01 - Dados de Entrada'!$C$216*'04 - Veículos e Equipamentos'!AI55</f>
        <v>24000</v>
      </c>
      <c r="AK68" s="273">
        <f>12*'01 - Dados de Entrada'!$C$216*'04 - Veículos e Equipamentos'!AJ55</f>
        <v>24000</v>
      </c>
    </row>
    <row r="69" spans="1:37" s="152" customFormat="1" ht="13.15" customHeight="1" x14ac:dyDescent="0.2">
      <c r="A69" s="147" t="s">
        <v>937</v>
      </c>
      <c r="B69" s="272">
        <f t="shared" si="2"/>
        <v>280000</v>
      </c>
      <c r="C69" s="273">
        <f>C68/'01 - Dados de Entrada'!$C$228</f>
        <v>8000</v>
      </c>
      <c r="D69" s="273">
        <f>D68/'01 - Dados de Entrada'!$C$228</f>
        <v>8000</v>
      </c>
      <c r="E69" s="273">
        <f>E68/'01 - Dados de Entrada'!$C$228</f>
        <v>8000</v>
      </c>
      <c r="F69" s="273">
        <f>F68/'01 - Dados de Entrada'!$C$228</f>
        <v>8000</v>
      </c>
      <c r="G69" s="273">
        <f>G68/'01 - Dados de Entrada'!$C$228</f>
        <v>8000</v>
      </c>
      <c r="H69" s="273">
        <f>H68/'01 - Dados de Entrada'!$C$228</f>
        <v>8000</v>
      </c>
      <c r="I69" s="273">
        <f>I68/'01 - Dados de Entrada'!$C$228</f>
        <v>8000</v>
      </c>
      <c r="J69" s="273">
        <f>J68/'01 - Dados de Entrada'!$C$228</f>
        <v>8000</v>
      </c>
      <c r="K69" s="273">
        <f>K68/'01 - Dados de Entrada'!$C$228</f>
        <v>8000</v>
      </c>
      <c r="L69" s="273">
        <f>L68/'01 - Dados de Entrada'!$C$228</f>
        <v>8000</v>
      </c>
      <c r="M69" s="273">
        <f>M68/'01 - Dados de Entrada'!$C$228</f>
        <v>8000</v>
      </c>
      <c r="N69" s="273">
        <f>N68/'01 - Dados de Entrada'!$C$228</f>
        <v>8000</v>
      </c>
      <c r="O69" s="273">
        <f>O68/'01 - Dados de Entrada'!$C$228</f>
        <v>8000</v>
      </c>
      <c r="P69" s="273">
        <f>P68/'01 - Dados de Entrada'!$C$228</f>
        <v>8000</v>
      </c>
      <c r="Q69" s="273">
        <f>Q68/'01 - Dados de Entrada'!$C$228</f>
        <v>8000</v>
      </c>
      <c r="R69" s="273">
        <f>R68/'01 - Dados de Entrada'!$C$228</f>
        <v>8000</v>
      </c>
      <c r="S69" s="273">
        <f>S68/'01 - Dados de Entrada'!$C$228</f>
        <v>8000</v>
      </c>
      <c r="T69" s="273">
        <f>T68/'01 - Dados de Entrada'!$C$228</f>
        <v>8000</v>
      </c>
      <c r="U69" s="273">
        <f>U68/'01 - Dados de Entrada'!$C$228</f>
        <v>8000</v>
      </c>
      <c r="V69" s="273">
        <f>V68/'01 - Dados de Entrada'!$C$228</f>
        <v>8000</v>
      </c>
      <c r="W69" s="273">
        <f>W68/'01 - Dados de Entrada'!$C$228</f>
        <v>8000</v>
      </c>
      <c r="X69" s="273">
        <f>X68/'01 - Dados de Entrada'!$C$228</f>
        <v>8000</v>
      </c>
      <c r="Y69" s="273">
        <f>Y68/'01 - Dados de Entrada'!$C$228</f>
        <v>8000</v>
      </c>
      <c r="Z69" s="273">
        <f>Z68/'01 - Dados de Entrada'!$C$228</f>
        <v>8000</v>
      </c>
      <c r="AA69" s="273">
        <f>AA68/'01 - Dados de Entrada'!$C$228</f>
        <v>8000</v>
      </c>
      <c r="AB69" s="273">
        <f>AB68/'01 - Dados de Entrada'!$C$228</f>
        <v>8000</v>
      </c>
      <c r="AC69" s="273">
        <f>AC68/'01 - Dados de Entrada'!$C$228</f>
        <v>8000</v>
      </c>
      <c r="AD69" s="273">
        <f>AD68/'01 - Dados de Entrada'!$C$228</f>
        <v>8000</v>
      </c>
      <c r="AE69" s="273">
        <f>AE68/'01 - Dados de Entrada'!$C$228</f>
        <v>8000</v>
      </c>
      <c r="AF69" s="273">
        <f>AF68/'01 - Dados de Entrada'!$C$228</f>
        <v>8000</v>
      </c>
      <c r="AG69" s="273">
        <f>AG68/'01 - Dados de Entrada'!$C$228</f>
        <v>8000</v>
      </c>
      <c r="AH69" s="273">
        <f>AH68/'01 - Dados de Entrada'!$C$228</f>
        <v>8000</v>
      </c>
      <c r="AI69" s="273">
        <f>AI68/'01 - Dados de Entrada'!$C$228</f>
        <v>8000</v>
      </c>
      <c r="AJ69" s="273">
        <f>AJ68/'01 - Dados de Entrada'!$C$228</f>
        <v>8000</v>
      </c>
      <c r="AK69" s="273">
        <f>AK68/'01 - Dados de Entrada'!$C$228</f>
        <v>8000</v>
      </c>
    </row>
    <row r="70" spans="1:37" s="152" customFormat="1" ht="13.15" customHeight="1" x14ac:dyDescent="0.2">
      <c r="A70" s="147" t="s">
        <v>938</v>
      </c>
      <c r="B70" s="272">
        <f t="shared" si="2"/>
        <v>1646400</v>
      </c>
      <c r="C70" s="148">
        <f>C69*'01 - Dados de Entrada'!$C$116</f>
        <v>47040</v>
      </c>
      <c r="D70" s="148">
        <f>D69*'01 - Dados de Entrada'!$C$116</f>
        <v>47040</v>
      </c>
      <c r="E70" s="148">
        <f>E69*'01 - Dados de Entrada'!$C$116</f>
        <v>47040</v>
      </c>
      <c r="F70" s="148">
        <f>F69*'01 - Dados de Entrada'!$C$116</f>
        <v>47040</v>
      </c>
      <c r="G70" s="148">
        <f>G69*'01 - Dados de Entrada'!$C$116</f>
        <v>47040</v>
      </c>
      <c r="H70" s="148">
        <f>H69*'01 - Dados de Entrada'!$C$116</f>
        <v>47040</v>
      </c>
      <c r="I70" s="148">
        <f>I69*'01 - Dados de Entrada'!$C$116</f>
        <v>47040</v>
      </c>
      <c r="J70" s="148">
        <f>J69*'01 - Dados de Entrada'!$C$116</f>
        <v>47040</v>
      </c>
      <c r="K70" s="148">
        <f>K69*'01 - Dados de Entrada'!$C$116</f>
        <v>47040</v>
      </c>
      <c r="L70" s="148">
        <f>L69*'01 - Dados de Entrada'!$C$116</f>
        <v>47040</v>
      </c>
      <c r="M70" s="148">
        <f>M69*'01 - Dados de Entrada'!$C$116</f>
        <v>47040</v>
      </c>
      <c r="N70" s="148">
        <f>N69*'01 - Dados de Entrada'!$C$116</f>
        <v>47040</v>
      </c>
      <c r="O70" s="148">
        <f>O69*'01 - Dados de Entrada'!$C$116</f>
        <v>47040</v>
      </c>
      <c r="P70" s="148">
        <f>P69*'01 - Dados de Entrada'!$C$116</f>
        <v>47040</v>
      </c>
      <c r="Q70" s="148">
        <f>Q69*'01 - Dados de Entrada'!$C$116</f>
        <v>47040</v>
      </c>
      <c r="R70" s="148">
        <f>R69*'01 - Dados de Entrada'!$C$116</f>
        <v>47040</v>
      </c>
      <c r="S70" s="148">
        <f>S69*'01 - Dados de Entrada'!$C$116</f>
        <v>47040</v>
      </c>
      <c r="T70" s="148">
        <f>T69*'01 - Dados de Entrada'!$C$116</f>
        <v>47040</v>
      </c>
      <c r="U70" s="148">
        <f>U69*'01 - Dados de Entrada'!$C$116</f>
        <v>47040</v>
      </c>
      <c r="V70" s="148">
        <f>V69*'01 - Dados de Entrada'!$C$116</f>
        <v>47040</v>
      </c>
      <c r="W70" s="148">
        <f>W69*'01 - Dados de Entrada'!$C$116</f>
        <v>47040</v>
      </c>
      <c r="X70" s="148">
        <f>X69*'01 - Dados de Entrada'!$C$116</f>
        <v>47040</v>
      </c>
      <c r="Y70" s="148">
        <f>Y69*'01 - Dados de Entrada'!$C$116</f>
        <v>47040</v>
      </c>
      <c r="Z70" s="148">
        <f>Z69*'01 - Dados de Entrada'!$C$116</f>
        <v>47040</v>
      </c>
      <c r="AA70" s="148">
        <f>AA69*'01 - Dados de Entrada'!$C$116</f>
        <v>47040</v>
      </c>
      <c r="AB70" s="148">
        <f>AB69*'01 - Dados de Entrada'!$C$116</f>
        <v>47040</v>
      </c>
      <c r="AC70" s="148">
        <f>AC69*'01 - Dados de Entrada'!$C$116</f>
        <v>47040</v>
      </c>
      <c r="AD70" s="148">
        <f>AD69*'01 - Dados de Entrada'!$C$116</f>
        <v>47040</v>
      </c>
      <c r="AE70" s="148">
        <f>AE69*'01 - Dados de Entrada'!$C$116</f>
        <v>47040</v>
      </c>
      <c r="AF70" s="148">
        <f>AF69*'01 - Dados de Entrada'!$C$116</f>
        <v>47040</v>
      </c>
      <c r="AG70" s="148">
        <f>AG69*'01 - Dados de Entrada'!$C$116</f>
        <v>47040</v>
      </c>
      <c r="AH70" s="148">
        <f>AH69*'01 - Dados de Entrada'!$C$116</f>
        <v>47040</v>
      </c>
      <c r="AI70" s="148">
        <f>AI69*'01 - Dados de Entrada'!$C$116</f>
        <v>47040</v>
      </c>
      <c r="AJ70" s="148">
        <f>AJ69*'01 - Dados de Entrada'!$C$116</f>
        <v>47040</v>
      </c>
      <c r="AK70" s="148">
        <f>AK69*'01 - Dados de Entrada'!$C$116</f>
        <v>47040</v>
      </c>
    </row>
    <row r="71" spans="1:37" s="152" customFormat="1" ht="13.15" customHeight="1" x14ac:dyDescent="0.2">
      <c r="A71" s="271" t="s">
        <v>955</v>
      </c>
      <c r="B71" s="272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48"/>
      <c r="AK71" s="148"/>
    </row>
    <row r="72" spans="1:37" s="152" customFormat="1" ht="13.15" customHeight="1" x14ac:dyDescent="0.2">
      <c r="A72" s="147" t="s">
        <v>956</v>
      </c>
      <c r="B72" s="272">
        <f t="shared" si="2"/>
        <v>740040</v>
      </c>
      <c r="C72" s="273">
        <f>12*'01 - Dados de Entrada'!$C$217*'04 - Veículos e Equipamentos'!B56</f>
        <v>21144</v>
      </c>
      <c r="D72" s="273">
        <f>12*'01 - Dados de Entrada'!$C$217*'04 - Veículos e Equipamentos'!C56</f>
        <v>21144</v>
      </c>
      <c r="E72" s="273">
        <f>12*'01 - Dados de Entrada'!$C$217*'04 - Veículos e Equipamentos'!D56</f>
        <v>21144</v>
      </c>
      <c r="F72" s="273">
        <f>12*'01 - Dados de Entrada'!$C$217*'04 - Veículos e Equipamentos'!E56</f>
        <v>21144</v>
      </c>
      <c r="G72" s="273">
        <f>12*'01 - Dados de Entrada'!$C$217*'04 - Veículos e Equipamentos'!F56</f>
        <v>21144</v>
      </c>
      <c r="H72" s="273">
        <f>12*'01 - Dados de Entrada'!$C$217*'04 - Veículos e Equipamentos'!G56</f>
        <v>21144</v>
      </c>
      <c r="I72" s="273">
        <f>12*'01 - Dados de Entrada'!$C$217*'04 - Veículos e Equipamentos'!H56</f>
        <v>21144</v>
      </c>
      <c r="J72" s="273">
        <f>12*'01 - Dados de Entrada'!$C$217*'04 - Veículos e Equipamentos'!I56</f>
        <v>21144</v>
      </c>
      <c r="K72" s="273">
        <f>12*'01 - Dados de Entrada'!$C$217*'04 - Veículos e Equipamentos'!J56</f>
        <v>21144</v>
      </c>
      <c r="L72" s="273">
        <f>12*'01 - Dados de Entrada'!$C$217*'04 - Veículos e Equipamentos'!K56</f>
        <v>21144</v>
      </c>
      <c r="M72" s="273">
        <f>12*'01 - Dados de Entrada'!$C$217*'04 - Veículos e Equipamentos'!L56</f>
        <v>21144</v>
      </c>
      <c r="N72" s="273">
        <f>12*'01 - Dados de Entrada'!$C$217*'04 - Veículos e Equipamentos'!M56</f>
        <v>21144</v>
      </c>
      <c r="O72" s="273">
        <f>12*'01 - Dados de Entrada'!$C$217*'04 - Veículos e Equipamentos'!N56</f>
        <v>21144</v>
      </c>
      <c r="P72" s="273">
        <f>12*'01 - Dados de Entrada'!$C$217*'04 - Veículos e Equipamentos'!O56</f>
        <v>21144</v>
      </c>
      <c r="Q72" s="273">
        <f>12*'01 - Dados de Entrada'!$C$217*'04 - Veículos e Equipamentos'!P56</f>
        <v>21144</v>
      </c>
      <c r="R72" s="273">
        <f>12*'01 - Dados de Entrada'!$C$217*'04 - Veículos e Equipamentos'!Q56</f>
        <v>21144</v>
      </c>
      <c r="S72" s="273">
        <f>12*'01 - Dados de Entrada'!$C$217*'04 - Veículos e Equipamentos'!R56</f>
        <v>21144</v>
      </c>
      <c r="T72" s="273">
        <f>12*'01 - Dados de Entrada'!$C$217*'04 - Veículos e Equipamentos'!S56</f>
        <v>21144</v>
      </c>
      <c r="U72" s="273">
        <f>12*'01 - Dados de Entrada'!$C$217*'04 - Veículos e Equipamentos'!T56</f>
        <v>21144</v>
      </c>
      <c r="V72" s="273">
        <f>12*'01 - Dados de Entrada'!$C$217*'04 - Veículos e Equipamentos'!U56</f>
        <v>21144</v>
      </c>
      <c r="W72" s="273">
        <f>12*'01 - Dados de Entrada'!$C$217*'04 - Veículos e Equipamentos'!V56</f>
        <v>21144</v>
      </c>
      <c r="X72" s="273">
        <f>12*'01 - Dados de Entrada'!$C$217*'04 - Veículos e Equipamentos'!W56</f>
        <v>21144</v>
      </c>
      <c r="Y72" s="273">
        <f>12*'01 - Dados de Entrada'!$C$217*'04 - Veículos e Equipamentos'!X56</f>
        <v>21144</v>
      </c>
      <c r="Z72" s="273">
        <f>12*'01 - Dados de Entrada'!$C$217*'04 - Veículos e Equipamentos'!Y56</f>
        <v>21144</v>
      </c>
      <c r="AA72" s="273">
        <f>12*'01 - Dados de Entrada'!$C$217*'04 - Veículos e Equipamentos'!Z56</f>
        <v>21144</v>
      </c>
      <c r="AB72" s="273">
        <f>12*'01 - Dados de Entrada'!$C$217*'04 - Veículos e Equipamentos'!AA56</f>
        <v>21144</v>
      </c>
      <c r="AC72" s="273">
        <f>12*'01 - Dados de Entrada'!$C$217*'04 - Veículos e Equipamentos'!AB56</f>
        <v>21144</v>
      </c>
      <c r="AD72" s="273">
        <f>12*'01 - Dados de Entrada'!$C$217*'04 - Veículos e Equipamentos'!AC56</f>
        <v>21144</v>
      </c>
      <c r="AE72" s="273">
        <f>12*'01 - Dados de Entrada'!$C$217*'04 - Veículos e Equipamentos'!AD56</f>
        <v>21144</v>
      </c>
      <c r="AF72" s="273">
        <f>12*'01 - Dados de Entrada'!$C$217*'04 - Veículos e Equipamentos'!AE56</f>
        <v>21144</v>
      </c>
      <c r="AG72" s="273">
        <f>12*'01 - Dados de Entrada'!$C$217*'04 - Veículos e Equipamentos'!AF56</f>
        <v>21144</v>
      </c>
      <c r="AH72" s="273">
        <f>12*'01 - Dados de Entrada'!$C$217*'04 - Veículos e Equipamentos'!AG56</f>
        <v>21144</v>
      </c>
      <c r="AI72" s="273">
        <f>12*'01 - Dados de Entrada'!$C$217*'04 - Veículos e Equipamentos'!AH56</f>
        <v>21144</v>
      </c>
      <c r="AJ72" s="273">
        <f>12*'01 - Dados de Entrada'!$C$217*'04 - Veículos e Equipamentos'!AI56</f>
        <v>21144</v>
      </c>
      <c r="AK72" s="273">
        <f>12*'01 - Dados de Entrada'!$C$217*'04 - Veículos e Equipamentos'!AJ56</f>
        <v>21144</v>
      </c>
    </row>
    <row r="73" spans="1:37" s="152" customFormat="1" ht="13.15" customHeight="1" x14ac:dyDescent="0.2">
      <c r="A73" s="147" t="s">
        <v>957</v>
      </c>
      <c r="B73" s="272">
        <f t="shared" si="2"/>
        <v>92505</v>
      </c>
      <c r="C73" s="273">
        <f>C72/'01 - Dados de Entrada'!$C$234</f>
        <v>2643</v>
      </c>
      <c r="D73" s="273">
        <f>D72/'01 - Dados de Entrada'!$C$234</f>
        <v>2643</v>
      </c>
      <c r="E73" s="273">
        <f>E72/'01 - Dados de Entrada'!$C$234</f>
        <v>2643</v>
      </c>
      <c r="F73" s="273">
        <f>F72/'01 - Dados de Entrada'!$C$234</f>
        <v>2643</v>
      </c>
      <c r="G73" s="273">
        <f>G72/'01 - Dados de Entrada'!$C$234</f>
        <v>2643</v>
      </c>
      <c r="H73" s="273">
        <f>H72/'01 - Dados de Entrada'!$C$234</f>
        <v>2643</v>
      </c>
      <c r="I73" s="273">
        <f>I72/'01 - Dados de Entrada'!$C$234</f>
        <v>2643</v>
      </c>
      <c r="J73" s="273">
        <f>J72/'01 - Dados de Entrada'!$C$234</f>
        <v>2643</v>
      </c>
      <c r="K73" s="273">
        <f>K72/'01 - Dados de Entrada'!$C$234</f>
        <v>2643</v>
      </c>
      <c r="L73" s="273">
        <f>L72/'01 - Dados de Entrada'!$C$234</f>
        <v>2643</v>
      </c>
      <c r="M73" s="273">
        <f>M72/'01 - Dados de Entrada'!$C$234</f>
        <v>2643</v>
      </c>
      <c r="N73" s="273">
        <f>N72/'01 - Dados de Entrada'!$C$234</f>
        <v>2643</v>
      </c>
      <c r="O73" s="273">
        <f>O72/'01 - Dados de Entrada'!$C$234</f>
        <v>2643</v>
      </c>
      <c r="P73" s="273">
        <f>P72/'01 - Dados de Entrada'!$C$234</f>
        <v>2643</v>
      </c>
      <c r="Q73" s="273">
        <f>Q72/'01 - Dados de Entrada'!$C$234</f>
        <v>2643</v>
      </c>
      <c r="R73" s="273">
        <f>R72/'01 - Dados de Entrada'!$C$234</f>
        <v>2643</v>
      </c>
      <c r="S73" s="273">
        <f>S72/'01 - Dados de Entrada'!$C$234</f>
        <v>2643</v>
      </c>
      <c r="T73" s="273">
        <f>T72/'01 - Dados de Entrada'!$C$234</f>
        <v>2643</v>
      </c>
      <c r="U73" s="273">
        <f>U72/'01 - Dados de Entrada'!$C$234</f>
        <v>2643</v>
      </c>
      <c r="V73" s="273">
        <f>V72/'01 - Dados de Entrada'!$C$234</f>
        <v>2643</v>
      </c>
      <c r="W73" s="273">
        <f>W72/'01 - Dados de Entrada'!$C$234</f>
        <v>2643</v>
      </c>
      <c r="X73" s="273">
        <f>X72/'01 - Dados de Entrada'!$C$234</f>
        <v>2643</v>
      </c>
      <c r="Y73" s="273">
        <f>Y72/'01 - Dados de Entrada'!$C$234</f>
        <v>2643</v>
      </c>
      <c r="Z73" s="273">
        <f>Z72/'01 - Dados de Entrada'!$C$234</f>
        <v>2643</v>
      </c>
      <c r="AA73" s="273">
        <f>AA72/'01 - Dados de Entrada'!$C$234</f>
        <v>2643</v>
      </c>
      <c r="AB73" s="273">
        <f>AB72/'01 - Dados de Entrada'!$C$234</f>
        <v>2643</v>
      </c>
      <c r="AC73" s="273">
        <f>AC72/'01 - Dados de Entrada'!$C$234</f>
        <v>2643</v>
      </c>
      <c r="AD73" s="273">
        <f>AD72/'01 - Dados de Entrada'!$C$234</f>
        <v>2643</v>
      </c>
      <c r="AE73" s="273">
        <f>AE72/'01 - Dados de Entrada'!$C$234</f>
        <v>2643</v>
      </c>
      <c r="AF73" s="273">
        <f>AF72/'01 - Dados de Entrada'!$C$234</f>
        <v>2643</v>
      </c>
      <c r="AG73" s="273">
        <f>AG72/'01 - Dados de Entrada'!$C$234</f>
        <v>2643</v>
      </c>
      <c r="AH73" s="273">
        <f>AH72/'01 - Dados de Entrada'!$C$234</f>
        <v>2643</v>
      </c>
      <c r="AI73" s="273">
        <f>AI72/'01 - Dados de Entrada'!$C$234</f>
        <v>2643</v>
      </c>
      <c r="AJ73" s="273">
        <f>AJ72/'01 - Dados de Entrada'!$C$234</f>
        <v>2643</v>
      </c>
      <c r="AK73" s="273">
        <f>AK72/'01 - Dados de Entrada'!$C$234</f>
        <v>2643</v>
      </c>
    </row>
    <row r="74" spans="1:37" s="152" customFormat="1" ht="13.15" customHeight="1" x14ac:dyDescent="0.2">
      <c r="A74" s="147" t="s">
        <v>938</v>
      </c>
      <c r="B74" s="272">
        <f t="shared" si="2"/>
        <v>543929.40000000037</v>
      </c>
      <c r="C74" s="148">
        <f>C73*'01 - Dados de Entrada'!$C$116</f>
        <v>15540.84</v>
      </c>
      <c r="D74" s="148">
        <f>D73*'01 - Dados de Entrada'!$C$116</f>
        <v>15540.84</v>
      </c>
      <c r="E74" s="148">
        <f>E73*'01 - Dados de Entrada'!$C$116</f>
        <v>15540.84</v>
      </c>
      <c r="F74" s="148">
        <f>F73*'01 - Dados de Entrada'!$C$116</f>
        <v>15540.84</v>
      </c>
      <c r="G74" s="148">
        <f>G73*'01 - Dados de Entrada'!$C$116</f>
        <v>15540.84</v>
      </c>
      <c r="H74" s="148">
        <f>H73*'01 - Dados de Entrada'!$C$116</f>
        <v>15540.84</v>
      </c>
      <c r="I74" s="148">
        <f>I73*'01 - Dados de Entrada'!$C$116</f>
        <v>15540.84</v>
      </c>
      <c r="J74" s="148">
        <f>J73*'01 - Dados de Entrada'!$C$116</f>
        <v>15540.84</v>
      </c>
      <c r="K74" s="148">
        <f>K73*'01 - Dados de Entrada'!$C$116</f>
        <v>15540.84</v>
      </c>
      <c r="L74" s="148">
        <f>L73*'01 - Dados de Entrada'!$C$116</f>
        <v>15540.84</v>
      </c>
      <c r="M74" s="148">
        <f>M73*'01 - Dados de Entrada'!$C$116</f>
        <v>15540.84</v>
      </c>
      <c r="N74" s="148">
        <f>N73*'01 - Dados de Entrada'!$C$116</f>
        <v>15540.84</v>
      </c>
      <c r="O74" s="148">
        <f>O73*'01 - Dados de Entrada'!$C$116</f>
        <v>15540.84</v>
      </c>
      <c r="P74" s="148">
        <f>P73*'01 - Dados de Entrada'!$C$116</f>
        <v>15540.84</v>
      </c>
      <c r="Q74" s="148">
        <f>Q73*'01 - Dados de Entrada'!$C$116</f>
        <v>15540.84</v>
      </c>
      <c r="R74" s="148">
        <f>R73*'01 - Dados de Entrada'!$C$116</f>
        <v>15540.84</v>
      </c>
      <c r="S74" s="148">
        <f>S73*'01 - Dados de Entrada'!$C$116</f>
        <v>15540.84</v>
      </c>
      <c r="T74" s="148">
        <f>T73*'01 - Dados de Entrada'!$C$116</f>
        <v>15540.84</v>
      </c>
      <c r="U74" s="148">
        <f>U73*'01 - Dados de Entrada'!$C$116</f>
        <v>15540.84</v>
      </c>
      <c r="V74" s="148">
        <f>V73*'01 - Dados de Entrada'!$C$116</f>
        <v>15540.84</v>
      </c>
      <c r="W74" s="148">
        <f>W73*'01 - Dados de Entrada'!$C$116</f>
        <v>15540.84</v>
      </c>
      <c r="X74" s="148">
        <f>X73*'01 - Dados de Entrada'!$C$116</f>
        <v>15540.84</v>
      </c>
      <c r="Y74" s="148">
        <f>Y73*'01 - Dados de Entrada'!$C$116</f>
        <v>15540.84</v>
      </c>
      <c r="Z74" s="148">
        <f>Z73*'01 - Dados de Entrada'!$C$116</f>
        <v>15540.84</v>
      </c>
      <c r="AA74" s="148">
        <f>AA73*'01 - Dados de Entrada'!$C$116</f>
        <v>15540.84</v>
      </c>
      <c r="AB74" s="148">
        <f>AB73*'01 - Dados de Entrada'!$C$116</f>
        <v>15540.84</v>
      </c>
      <c r="AC74" s="148">
        <f>AC73*'01 - Dados de Entrada'!$C$116</f>
        <v>15540.84</v>
      </c>
      <c r="AD74" s="148">
        <f>AD73*'01 - Dados de Entrada'!$C$116</f>
        <v>15540.84</v>
      </c>
      <c r="AE74" s="148">
        <f>AE73*'01 - Dados de Entrada'!$C$116</f>
        <v>15540.84</v>
      </c>
      <c r="AF74" s="148">
        <f>AF73*'01 - Dados de Entrada'!$C$116</f>
        <v>15540.84</v>
      </c>
      <c r="AG74" s="148">
        <f>AG73*'01 - Dados de Entrada'!$C$116</f>
        <v>15540.84</v>
      </c>
      <c r="AH74" s="148">
        <f>AH73*'01 - Dados de Entrada'!$C$116</f>
        <v>15540.84</v>
      </c>
      <c r="AI74" s="148">
        <f>AI73*'01 - Dados de Entrada'!$C$116</f>
        <v>15540.84</v>
      </c>
      <c r="AJ74" s="148">
        <f>AJ73*'01 - Dados de Entrada'!$C$116</f>
        <v>15540.84</v>
      </c>
      <c r="AK74" s="148">
        <f>AK73*'01 - Dados de Entrada'!$C$116</f>
        <v>15540.84</v>
      </c>
    </row>
    <row r="75" spans="1:37" s="152" customFormat="1" ht="13.15" customHeight="1" x14ac:dyDescent="0.2">
      <c r="A75" s="271" t="s">
        <v>958</v>
      </c>
      <c r="B75" s="272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48"/>
      <c r="AH75" s="148"/>
      <c r="AI75" s="148"/>
      <c r="AJ75" s="148"/>
      <c r="AK75" s="148"/>
    </row>
    <row r="76" spans="1:37" s="152" customFormat="1" ht="13.15" customHeight="1" x14ac:dyDescent="0.2">
      <c r="A76" s="147" t="s">
        <v>936</v>
      </c>
      <c r="B76" s="272">
        <f t="shared" si="2"/>
        <v>370020</v>
      </c>
      <c r="C76" s="273">
        <f>12*'01 - Dados de Entrada'!$C$218*'04 - Veículos e Equipamentos'!B57</f>
        <v>10572</v>
      </c>
      <c r="D76" s="273">
        <f>12*'01 - Dados de Entrada'!$C$218*'04 - Veículos e Equipamentos'!C57</f>
        <v>10572</v>
      </c>
      <c r="E76" s="273">
        <f>12*'01 - Dados de Entrada'!$C$218*'04 - Veículos e Equipamentos'!D57</f>
        <v>10572</v>
      </c>
      <c r="F76" s="273">
        <f>12*'01 - Dados de Entrada'!$C$218*'04 - Veículos e Equipamentos'!E57</f>
        <v>10572</v>
      </c>
      <c r="G76" s="273">
        <f>12*'01 - Dados de Entrada'!$C$218*'04 - Veículos e Equipamentos'!F57</f>
        <v>10572</v>
      </c>
      <c r="H76" s="273">
        <f>12*'01 - Dados de Entrada'!$C$218*'04 - Veículos e Equipamentos'!G57</f>
        <v>10572</v>
      </c>
      <c r="I76" s="273">
        <f>12*'01 - Dados de Entrada'!$C$218*'04 - Veículos e Equipamentos'!H57</f>
        <v>10572</v>
      </c>
      <c r="J76" s="273">
        <f>12*'01 - Dados de Entrada'!$C$218*'04 - Veículos e Equipamentos'!I57</f>
        <v>10572</v>
      </c>
      <c r="K76" s="273">
        <f>12*'01 - Dados de Entrada'!$C$218*'04 - Veículos e Equipamentos'!J57</f>
        <v>10572</v>
      </c>
      <c r="L76" s="273">
        <f>12*'01 - Dados de Entrada'!$C$218*'04 - Veículos e Equipamentos'!K57</f>
        <v>10572</v>
      </c>
      <c r="M76" s="273">
        <f>12*'01 - Dados de Entrada'!$C$218*'04 - Veículos e Equipamentos'!L57</f>
        <v>10572</v>
      </c>
      <c r="N76" s="273">
        <f>12*'01 - Dados de Entrada'!$C$218*'04 - Veículos e Equipamentos'!M57</f>
        <v>10572</v>
      </c>
      <c r="O76" s="273">
        <f>12*'01 - Dados de Entrada'!$C$218*'04 - Veículos e Equipamentos'!N57</f>
        <v>10572</v>
      </c>
      <c r="P76" s="273">
        <f>12*'01 - Dados de Entrada'!$C$218*'04 - Veículos e Equipamentos'!O57</f>
        <v>10572</v>
      </c>
      <c r="Q76" s="273">
        <f>12*'01 - Dados de Entrada'!$C$218*'04 - Veículos e Equipamentos'!P57</f>
        <v>10572</v>
      </c>
      <c r="R76" s="273">
        <f>12*'01 - Dados de Entrada'!$C$218*'04 - Veículos e Equipamentos'!Q57</f>
        <v>10572</v>
      </c>
      <c r="S76" s="273">
        <f>12*'01 - Dados de Entrada'!$C$218*'04 - Veículos e Equipamentos'!R57</f>
        <v>10572</v>
      </c>
      <c r="T76" s="273">
        <f>12*'01 - Dados de Entrada'!$C$218*'04 - Veículos e Equipamentos'!S57</f>
        <v>10572</v>
      </c>
      <c r="U76" s="273">
        <f>12*'01 - Dados de Entrada'!$C$218*'04 - Veículos e Equipamentos'!T57</f>
        <v>10572</v>
      </c>
      <c r="V76" s="273">
        <f>12*'01 - Dados de Entrada'!$C$218*'04 - Veículos e Equipamentos'!U57</f>
        <v>10572</v>
      </c>
      <c r="W76" s="273">
        <f>12*'01 - Dados de Entrada'!$C$218*'04 - Veículos e Equipamentos'!V57</f>
        <v>10572</v>
      </c>
      <c r="X76" s="273">
        <f>12*'01 - Dados de Entrada'!$C$218*'04 - Veículos e Equipamentos'!W57</f>
        <v>10572</v>
      </c>
      <c r="Y76" s="273">
        <f>12*'01 - Dados de Entrada'!$C$218*'04 - Veículos e Equipamentos'!X57</f>
        <v>10572</v>
      </c>
      <c r="Z76" s="273">
        <f>12*'01 - Dados de Entrada'!$C$218*'04 - Veículos e Equipamentos'!Y57</f>
        <v>10572</v>
      </c>
      <c r="AA76" s="273">
        <f>12*'01 - Dados de Entrada'!$C$218*'04 - Veículos e Equipamentos'!Z57</f>
        <v>10572</v>
      </c>
      <c r="AB76" s="273">
        <f>12*'01 - Dados de Entrada'!$C$218*'04 - Veículos e Equipamentos'!AA57</f>
        <v>10572</v>
      </c>
      <c r="AC76" s="273">
        <f>12*'01 - Dados de Entrada'!$C$218*'04 - Veículos e Equipamentos'!AB57</f>
        <v>10572</v>
      </c>
      <c r="AD76" s="273">
        <f>12*'01 - Dados de Entrada'!$C$218*'04 - Veículos e Equipamentos'!AC57</f>
        <v>10572</v>
      </c>
      <c r="AE76" s="273">
        <f>12*'01 - Dados de Entrada'!$C$218*'04 - Veículos e Equipamentos'!AD57</f>
        <v>10572</v>
      </c>
      <c r="AF76" s="273">
        <f>12*'01 - Dados de Entrada'!$C$218*'04 - Veículos e Equipamentos'!AE57</f>
        <v>10572</v>
      </c>
      <c r="AG76" s="273">
        <f>12*'01 - Dados de Entrada'!$C$218*'04 - Veículos e Equipamentos'!AF57</f>
        <v>10572</v>
      </c>
      <c r="AH76" s="273">
        <f>12*'01 - Dados de Entrada'!$C$218*'04 - Veículos e Equipamentos'!AG57</f>
        <v>10572</v>
      </c>
      <c r="AI76" s="273">
        <f>12*'01 - Dados de Entrada'!$C$218*'04 - Veículos e Equipamentos'!AH57</f>
        <v>10572</v>
      </c>
      <c r="AJ76" s="273">
        <f>12*'01 - Dados de Entrada'!$C$218*'04 - Veículos e Equipamentos'!AI57</f>
        <v>10572</v>
      </c>
      <c r="AK76" s="273">
        <f>12*'01 - Dados de Entrada'!$C$218*'04 - Veículos e Equipamentos'!AJ57</f>
        <v>10572</v>
      </c>
    </row>
    <row r="77" spans="1:37" s="152" customFormat="1" ht="13.15" customHeight="1" x14ac:dyDescent="0.2">
      <c r="A77" s="147" t="s">
        <v>937</v>
      </c>
      <c r="B77" s="272">
        <f t="shared" si="2"/>
        <v>20001.081081081091</v>
      </c>
      <c r="C77" s="273">
        <f>C76/'01 - Dados de Entrada'!$C$240</f>
        <v>571.45945945945948</v>
      </c>
      <c r="D77" s="273">
        <f>D76/'01 - Dados de Entrada'!$C$240</f>
        <v>571.45945945945948</v>
      </c>
      <c r="E77" s="273">
        <f>E76/'01 - Dados de Entrada'!$C$240</f>
        <v>571.45945945945948</v>
      </c>
      <c r="F77" s="273">
        <f>F76/'01 - Dados de Entrada'!$C$240</f>
        <v>571.45945945945948</v>
      </c>
      <c r="G77" s="273">
        <f>G76/'01 - Dados de Entrada'!$C$240</f>
        <v>571.45945945945948</v>
      </c>
      <c r="H77" s="273">
        <f>H76/'01 - Dados de Entrada'!$C$240</f>
        <v>571.45945945945948</v>
      </c>
      <c r="I77" s="273">
        <f>I76/'01 - Dados de Entrada'!$C$240</f>
        <v>571.45945945945948</v>
      </c>
      <c r="J77" s="273">
        <f>J76/'01 - Dados de Entrada'!$C$240</f>
        <v>571.45945945945948</v>
      </c>
      <c r="K77" s="273">
        <f>K76/'01 - Dados de Entrada'!$C$240</f>
        <v>571.45945945945948</v>
      </c>
      <c r="L77" s="273">
        <f>L76/'01 - Dados de Entrada'!$C$240</f>
        <v>571.45945945945948</v>
      </c>
      <c r="M77" s="273">
        <f>M76/'01 - Dados de Entrada'!$C$240</f>
        <v>571.45945945945948</v>
      </c>
      <c r="N77" s="273">
        <f>N76/'01 - Dados de Entrada'!$C$240</f>
        <v>571.45945945945948</v>
      </c>
      <c r="O77" s="273">
        <f>O76/'01 - Dados de Entrada'!$C$240</f>
        <v>571.45945945945948</v>
      </c>
      <c r="P77" s="273">
        <f>P76/'01 - Dados de Entrada'!$C$240</f>
        <v>571.45945945945948</v>
      </c>
      <c r="Q77" s="273">
        <f>Q76/'01 - Dados de Entrada'!$C$240</f>
        <v>571.45945945945948</v>
      </c>
      <c r="R77" s="273">
        <f>R76/'01 - Dados de Entrada'!$C$240</f>
        <v>571.45945945945948</v>
      </c>
      <c r="S77" s="273">
        <f>S76/'01 - Dados de Entrada'!$C$240</f>
        <v>571.45945945945948</v>
      </c>
      <c r="T77" s="273">
        <f>T76/'01 - Dados de Entrada'!$C$240</f>
        <v>571.45945945945948</v>
      </c>
      <c r="U77" s="273">
        <f>U76/'01 - Dados de Entrada'!$C$240</f>
        <v>571.45945945945948</v>
      </c>
      <c r="V77" s="273">
        <f>V76/'01 - Dados de Entrada'!$C$240</f>
        <v>571.45945945945948</v>
      </c>
      <c r="W77" s="273">
        <f>W76/'01 - Dados de Entrada'!$C$240</f>
        <v>571.45945945945948</v>
      </c>
      <c r="X77" s="273">
        <f>X76/'01 - Dados de Entrada'!$C$240</f>
        <v>571.45945945945948</v>
      </c>
      <c r="Y77" s="273">
        <f>Y76/'01 - Dados de Entrada'!$C$240</f>
        <v>571.45945945945948</v>
      </c>
      <c r="Z77" s="273">
        <f>Z76/'01 - Dados de Entrada'!$C$240</f>
        <v>571.45945945945948</v>
      </c>
      <c r="AA77" s="273">
        <f>AA76/'01 - Dados de Entrada'!$C$240</f>
        <v>571.45945945945948</v>
      </c>
      <c r="AB77" s="273">
        <f>AB76/'01 - Dados de Entrada'!$C$240</f>
        <v>571.45945945945948</v>
      </c>
      <c r="AC77" s="273">
        <f>AC76/'01 - Dados de Entrada'!$C$240</f>
        <v>571.45945945945948</v>
      </c>
      <c r="AD77" s="273">
        <f>AD76/'01 - Dados de Entrada'!$C$240</f>
        <v>571.45945945945948</v>
      </c>
      <c r="AE77" s="273">
        <f>AE76/'01 - Dados de Entrada'!$C$240</f>
        <v>571.45945945945948</v>
      </c>
      <c r="AF77" s="273">
        <f>AF76/'01 - Dados de Entrada'!$C$240</f>
        <v>571.45945945945948</v>
      </c>
      <c r="AG77" s="273">
        <f>AG76/'01 - Dados de Entrada'!$C$240</f>
        <v>571.45945945945948</v>
      </c>
      <c r="AH77" s="273">
        <f>AH76/'01 - Dados de Entrada'!$C$240</f>
        <v>571.45945945945948</v>
      </c>
      <c r="AI77" s="273">
        <f>AI76/'01 - Dados de Entrada'!$C$240</f>
        <v>571.45945945945948</v>
      </c>
      <c r="AJ77" s="273">
        <f>AJ76/'01 - Dados de Entrada'!$C$240</f>
        <v>571.45945945945948</v>
      </c>
      <c r="AK77" s="273">
        <f>AK76/'01 - Dados de Entrada'!$C$240</f>
        <v>571.45945945945948</v>
      </c>
    </row>
    <row r="78" spans="1:37" s="152" customFormat="1" ht="13.15" customHeight="1" x14ac:dyDescent="0.2">
      <c r="A78" s="147" t="s">
        <v>938</v>
      </c>
      <c r="B78" s="272">
        <f t="shared" si="2"/>
        <v>120206.49729729735</v>
      </c>
      <c r="C78" s="148">
        <f>C77*'01 - Dados de Entrada'!$C$117</f>
        <v>3434.4713513513511</v>
      </c>
      <c r="D78" s="148">
        <f>D77*'01 - Dados de Entrada'!$C$117</f>
        <v>3434.4713513513511</v>
      </c>
      <c r="E78" s="148">
        <f>E77*'01 - Dados de Entrada'!$C$117</f>
        <v>3434.4713513513511</v>
      </c>
      <c r="F78" s="148">
        <f>F77*'01 - Dados de Entrada'!$C$117</f>
        <v>3434.4713513513511</v>
      </c>
      <c r="G78" s="148">
        <f>G77*'01 - Dados de Entrada'!$C$117</f>
        <v>3434.4713513513511</v>
      </c>
      <c r="H78" s="148">
        <f>H77*'01 - Dados de Entrada'!$C$117</f>
        <v>3434.4713513513511</v>
      </c>
      <c r="I78" s="148">
        <f>I77*'01 - Dados de Entrada'!$C$117</f>
        <v>3434.4713513513511</v>
      </c>
      <c r="J78" s="148">
        <f>J77*'01 - Dados de Entrada'!$C$117</f>
        <v>3434.4713513513511</v>
      </c>
      <c r="K78" s="148">
        <f>K77*'01 - Dados de Entrada'!$C$117</f>
        <v>3434.4713513513511</v>
      </c>
      <c r="L78" s="148">
        <f>L77*'01 - Dados de Entrada'!$C$117</f>
        <v>3434.4713513513511</v>
      </c>
      <c r="M78" s="148">
        <f>M77*'01 - Dados de Entrada'!$C$117</f>
        <v>3434.4713513513511</v>
      </c>
      <c r="N78" s="148">
        <f>N77*'01 - Dados de Entrada'!$C$117</f>
        <v>3434.4713513513511</v>
      </c>
      <c r="O78" s="148">
        <f>O77*'01 - Dados de Entrada'!$C$117</f>
        <v>3434.4713513513511</v>
      </c>
      <c r="P78" s="148">
        <f>P77*'01 - Dados de Entrada'!$C$117</f>
        <v>3434.4713513513511</v>
      </c>
      <c r="Q78" s="148">
        <f>Q77*'01 - Dados de Entrada'!$C$117</f>
        <v>3434.4713513513511</v>
      </c>
      <c r="R78" s="148">
        <f>R77*'01 - Dados de Entrada'!$C$117</f>
        <v>3434.4713513513511</v>
      </c>
      <c r="S78" s="148">
        <f>S77*'01 - Dados de Entrada'!$C$117</f>
        <v>3434.4713513513511</v>
      </c>
      <c r="T78" s="148">
        <f>T77*'01 - Dados de Entrada'!$C$117</f>
        <v>3434.4713513513511</v>
      </c>
      <c r="U78" s="148">
        <f>U77*'01 - Dados de Entrada'!$C$117</f>
        <v>3434.4713513513511</v>
      </c>
      <c r="V78" s="148">
        <f>V77*'01 - Dados de Entrada'!$C$117</f>
        <v>3434.4713513513511</v>
      </c>
      <c r="W78" s="148">
        <f>W77*'01 - Dados de Entrada'!$C$117</f>
        <v>3434.4713513513511</v>
      </c>
      <c r="X78" s="148">
        <f>X77*'01 - Dados de Entrada'!$C$117</f>
        <v>3434.4713513513511</v>
      </c>
      <c r="Y78" s="148">
        <f>Y77*'01 - Dados de Entrada'!$C$117</f>
        <v>3434.4713513513511</v>
      </c>
      <c r="Z78" s="148">
        <f>Z77*'01 - Dados de Entrada'!$C$117</f>
        <v>3434.4713513513511</v>
      </c>
      <c r="AA78" s="148">
        <f>AA77*'01 - Dados de Entrada'!$C$117</f>
        <v>3434.4713513513511</v>
      </c>
      <c r="AB78" s="148">
        <f>AB77*'01 - Dados de Entrada'!$C$117</f>
        <v>3434.4713513513511</v>
      </c>
      <c r="AC78" s="148">
        <f>AC77*'01 - Dados de Entrada'!$C$117</f>
        <v>3434.4713513513511</v>
      </c>
      <c r="AD78" s="148">
        <f>AD77*'01 - Dados de Entrada'!$C$117</f>
        <v>3434.4713513513511</v>
      </c>
      <c r="AE78" s="148">
        <f>AE77*'01 - Dados de Entrada'!$C$117</f>
        <v>3434.4713513513511</v>
      </c>
      <c r="AF78" s="148">
        <f>AF77*'01 - Dados de Entrada'!$C$117</f>
        <v>3434.4713513513511</v>
      </c>
      <c r="AG78" s="148">
        <f>AG77*'01 - Dados de Entrada'!$C$117</f>
        <v>3434.4713513513511</v>
      </c>
      <c r="AH78" s="148">
        <f>AH77*'01 - Dados de Entrada'!$C$117</f>
        <v>3434.4713513513511</v>
      </c>
      <c r="AI78" s="148">
        <f>AI77*'01 - Dados de Entrada'!$C$117</f>
        <v>3434.4713513513511</v>
      </c>
      <c r="AJ78" s="148">
        <f>AJ77*'01 - Dados de Entrada'!$C$117</f>
        <v>3434.4713513513511</v>
      </c>
      <c r="AK78" s="148">
        <f>AK77*'01 - Dados de Entrada'!$C$117</f>
        <v>3434.4713513513511</v>
      </c>
    </row>
    <row r="79" spans="1:37" s="152" customFormat="1" ht="13.15" customHeight="1" x14ac:dyDescent="0.2">
      <c r="A79" s="271" t="s">
        <v>959</v>
      </c>
      <c r="B79" s="272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8"/>
      <c r="Z79" s="148"/>
      <c r="AA79" s="148"/>
      <c r="AB79" s="148"/>
      <c r="AC79" s="148"/>
      <c r="AD79" s="148"/>
      <c r="AE79" s="148"/>
      <c r="AF79" s="148"/>
      <c r="AG79" s="148"/>
      <c r="AH79" s="148"/>
      <c r="AI79" s="148"/>
      <c r="AJ79" s="148"/>
      <c r="AK79" s="148"/>
    </row>
    <row r="80" spans="1:37" customFormat="1" ht="13.15" customHeight="1" x14ac:dyDescent="0.2">
      <c r="A80" s="147" t="s">
        <v>947</v>
      </c>
      <c r="B80" s="272">
        <f>SUM(C80:AK80)</f>
        <v>63000</v>
      </c>
      <c r="C80" s="273">
        <f>12*'01 - Dados de Entrada'!$C$203*'04 - Veículos e Equipamentos'!B58</f>
        <v>1800</v>
      </c>
      <c r="D80" s="273">
        <f>12*'01 - Dados de Entrada'!$C$203*'04 - Veículos e Equipamentos'!C58</f>
        <v>1800</v>
      </c>
      <c r="E80" s="273">
        <f>12*'01 - Dados de Entrada'!$C$203*'04 - Veículos e Equipamentos'!D58</f>
        <v>1800</v>
      </c>
      <c r="F80" s="273">
        <f>12*'01 - Dados de Entrada'!$C$203*'04 - Veículos e Equipamentos'!E58</f>
        <v>1800</v>
      </c>
      <c r="G80" s="273">
        <f>12*'01 - Dados de Entrada'!$C$203*'04 - Veículos e Equipamentos'!F58</f>
        <v>1800</v>
      </c>
      <c r="H80" s="273">
        <f>12*'01 - Dados de Entrada'!$C$203*'04 - Veículos e Equipamentos'!G58</f>
        <v>1800</v>
      </c>
      <c r="I80" s="273">
        <f>12*'01 - Dados de Entrada'!$C$203*'04 - Veículos e Equipamentos'!H58</f>
        <v>1800</v>
      </c>
      <c r="J80" s="273">
        <f>12*'01 - Dados de Entrada'!$C$203*'04 - Veículos e Equipamentos'!I58</f>
        <v>1800</v>
      </c>
      <c r="K80" s="273">
        <f>12*'01 - Dados de Entrada'!$C$203*'04 - Veículos e Equipamentos'!J58</f>
        <v>1800</v>
      </c>
      <c r="L80" s="273">
        <f>12*'01 - Dados de Entrada'!$C$203*'04 - Veículos e Equipamentos'!K58</f>
        <v>1800</v>
      </c>
      <c r="M80" s="273">
        <f>12*'01 - Dados de Entrada'!$C$203*'04 - Veículos e Equipamentos'!L58</f>
        <v>1800</v>
      </c>
      <c r="N80" s="273">
        <f>12*'01 - Dados de Entrada'!$C$203*'04 - Veículos e Equipamentos'!M58</f>
        <v>1800</v>
      </c>
      <c r="O80" s="273">
        <f>12*'01 - Dados de Entrada'!$C$203*'04 - Veículos e Equipamentos'!N58</f>
        <v>1800</v>
      </c>
      <c r="P80" s="273">
        <f>12*'01 - Dados de Entrada'!$C$203*'04 - Veículos e Equipamentos'!O58</f>
        <v>1800</v>
      </c>
      <c r="Q80" s="273">
        <f>12*'01 - Dados de Entrada'!$C$203*'04 - Veículos e Equipamentos'!P58</f>
        <v>1800</v>
      </c>
      <c r="R80" s="273">
        <f>12*'01 - Dados de Entrada'!$C$203*'04 - Veículos e Equipamentos'!Q58</f>
        <v>1800</v>
      </c>
      <c r="S80" s="273">
        <f>12*'01 - Dados de Entrada'!$C$203*'04 - Veículos e Equipamentos'!R58</f>
        <v>1800</v>
      </c>
      <c r="T80" s="273">
        <f>12*'01 - Dados de Entrada'!$C$203*'04 - Veículos e Equipamentos'!S58</f>
        <v>1800</v>
      </c>
      <c r="U80" s="273">
        <f>12*'01 - Dados de Entrada'!$C$203*'04 - Veículos e Equipamentos'!T58</f>
        <v>1800</v>
      </c>
      <c r="V80" s="273">
        <f>12*'01 - Dados de Entrada'!$C$203*'04 - Veículos e Equipamentos'!U58</f>
        <v>1800</v>
      </c>
      <c r="W80" s="273">
        <f>12*'01 - Dados de Entrada'!$C$203*'04 - Veículos e Equipamentos'!V58</f>
        <v>1800</v>
      </c>
      <c r="X80" s="273">
        <f>12*'01 - Dados de Entrada'!$C$203*'04 - Veículos e Equipamentos'!W58</f>
        <v>1800</v>
      </c>
      <c r="Y80" s="273">
        <f>12*'01 - Dados de Entrada'!$C$203*'04 - Veículos e Equipamentos'!X58</f>
        <v>1800</v>
      </c>
      <c r="Z80" s="273">
        <f>12*'01 - Dados de Entrada'!$C$203*'04 - Veículos e Equipamentos'!Y58</f>
        <v>1800</v>
      </c>
      <c r="AA80" s="273">
        <f>12*'01 - Dados de Entrada'!$C$203*'04 - Veículos e Equipamentos'!Z58</f>
        <v>1800</v>
      </c>
      <c r="AB80" s="273">
        <f>12*'01 - Dados de Entrada'!$C$203*'04 - Veículos e Equipamentos'!AA58</f>
        <v>1800</v>
      </c>
      <c r="AC80" s="273">
        <f>12*'01 - Dados de Entrada'!$C$203*'04 - Veículos e Equipamentos'!AB58</f>
        <v>1800</v>
      </c>
      <c r="AD80" s="273">
        <f>12*'01 - Dados de Entrada'!$C$203*'04 - Veículos e Equipamentos'!AC58</f>
        <v>1800</v>
      </c>
      <c r="AE80" s="273">
        <f>12*'01 - Dados de Entrada'!$C$203*'04 - Veículos e Equipamentos'!AD58</f>
        <v>1800</v>
      </c>
      <c r="AF80" s="273">
        <f>12*'01 - Dados de Entrada'!$C$203*'04 - Veículos e Equipamentos'!AE58</f>
        <v>1800</v>
      </c>
      <c r="AG80" s="273">
        <f>12*'01 - Dados de Entrada'!$C$203*'04 - Veículos e Equipamentos'!AF58</f>
        <v>1800</v>
      </c>
      <c r="AH80" s="273">
        <f>12*'01 - Dados de Entrada'!$C$203*'04 - Veículos e Equipamentos'!AG58</f>
        <v>1800</v>
      </c>
      <c r="AI80" s="273">
        <f>12*'01 - Dados de Entrada'!$C$203*'04 - Veículos e Equipamentos'!AH58</f>
        <v>1800</v>
      </c>
      <c r="AJ80" s="273">
        <f>12*'01 - Dados de Entrada'!$C$203*'04 - Veículos e Equipamentos'!AI58</f>
        <v>1800</v>
      </c>
      <c r="AK80" s="273">
        <f>12*'01 - Dados de Entrada'!$C$203*'04 - Veículos e Equipamentos'!AJ58</f>
        <v>1800</v>
      </c>
    </row>
    <row r="81" spans="1:37" customFormat="1" ht="13.15" customHeight="1" x14ac:dyDescent="0.2">
      <c r="A81" s="147" t="s">
        <v>937</v>
      </c>
      <c r="B81" s="272">
        <f t="shared" ref="B81:B82" si="5">SUM(C81:AK81)</f>
        <v>315000</v>
      </c>
      <c r="C81" s="653">
        <f>C80/'01 - Dados de Entrada'!$C$229</f>
        <v>9000</v>
      </c>
      <c r="D81" s="653">
        <f>D80/'01 - Dados de Entrada'!$C$229</f>
        <v>9000</v>
      </c>
      <c r="E81" s="653">
        <f>E80/'01 - Dados de Entrada'!$C$229</f>
        <v>9000</v>
      </c>
      <c r="F81" s="653">
        <f>F80/'01 - Dados de Entrada'!$C$229</f>
        <v>9000</v>
      </c>
      <c r="G81" s="653">
        <f>G80/'01 - Dados de Entrada'!$C$229</f>
        <v>9000</v>
      </c>
      <c r="H81" s="653">
        <f>H80/'01 - Dados de Entrada'!$C$229</f>
        <v>9000</v>
      </c>
      <c r="I81" s="653">
        <f>I80/'01 - Dados de Entrada'!$C$229</f>
        <v>9000</v>
      </c>
      <c r="J81" s="653">
        <f>J80/'01 - Dados de Entrada'!$C$229</f>
        <v>9000</v>
      </c>
      <c r="K81" s="653">
        <f>K80/'01 - Dados de Entrada'!$C$229</f>
        <v>9000</v>
      </c>
      <c r="L81" s="653">
        <f>L80/'01 - Dados de Entrada'!$C$229</f>
        <v>9000</v>
      </c>
      <c r="M81" s="653">
        <f>M80/'01 - Dados de Entrada'!$C$229</f>
        <v>9000</v>
      </c>
      <c r="N81" s="653">
        <f>N80/'01 - Dados de Entrada'!$C$229</f>
        <v>9000</v>
      </c>
      <c r="O81" s="653">
        <f>O80/'01 - Dados de Entrada'!$C$229</f>
        <v>9000</v>
      </c>
      <c r="P81" s="653">
        <f>P80/'01 - Dados de Entrada'!$C$229</f>
        <v>9000</v>
      </c>
      <c r="Q81" s="653">
        <f>Q80/'01 - Dados de Entrada'!$C$229</f>
        <v>9000</v>
      </c>
      <c r="R81" s="653">
        <f>R80/'01 - Dados de Entrada'!$C$229</f>
        <v>9000</v>
      </c>
      <c r="S81" s="653">
        <f>S80/'01 - Dados de Entrada'!$C$229</f>
        <v>9000</v>
      </c>
      <c r="T81" s="653">
        <f>T80/'01 - Dados de Entrada'!$C$229</f>
        <v>9000</v>
      </c>
      <c r="U81" s="653">
        <f>U80/'01 - Dados de Entrada'!$C$229</f>
        <v>9000</v>
      </c>
      <c r="V81" s="653">
        <f>V80/'01 - Dados de Entrada'!$C$229</f>
        <v>9000</v>
      </c>
      <c r="W81" s="653">
        <f>W80/'01 - Dados de Entrada'!$C$229</f>
        <v>9000</v>
      </c>
      <c r="X81" s="653">
        <f>X80/'01 - Dados de Entrada'!$C$229</f>
        <v>9000</v>
      </c>
      <c r="Y81" s="653">
        <f>Y80/'01 - Dados de Entrada'!$C$229</f>
        <v>9000</v>
      </c>
      <c r="Z81" s="653">
        <f>Z80/'01 - Dados de Entrada'!$C$229</f>
        <v>9000</v>
      </c>
      <c r="AA81" s="653">
        <f>AA80/'01 - Dados de Entrada'!$C$229</f>
        <v>9000</v>
      </c>
      <c r="AB81" s="653">
        <f>AB80/'01 - Dados de Entrada'!$C$229</f>
        <v>9000</v>
      </c>
      <c r="AC81" s="653">
        <f>AC80/'01 - Dados de Entrada'!$C$229</f>
        <v>9000</v>
      </c>
      <c r="AD81" s="653">
        <f>AD80/'01 - Dados de Entrada'!$C$229</f>
        <v>9000</v>
      </c>
      <c r="AE81" s="653">
        <f>AE80/'01 - Dados de Entrada'!$C$229</f>
        <v>9000</v>
      </c>
      <c r="AF81" s="653">
        <f>AF80/'01 - Dados de Entrada'!$C$229</f>
        <v>9000</v>
      </c>
      <c r="AG81" s="653">
        <f>AG80/'01 - Dados de Entrada'!$C$229</f>
        <v>9000</v>
      </c>
      <c r="AH81" s="653">
        <f>AH80/'01 - Dados de Entrada'!$C$229</f>
        <v>9000</v>
      </c>
      <c r="AI81" s="653">
        <f>AI80/'01 - Dados de Entrada'!$C$229</f>
        <v>9000</v>
      </c>
      <c r="AJ81" s="653">
        <f>AJ80/'01 - Dados de Entrada'!$C$229</f>
        <v>9000</v>
      </c>
      <c r="AK81" s="653">
        <f>AK80/'01 - Dados de Entrada'!$C$229</f>
        <v>9000</v>
      </c>
    </row>
    <row r="82" spans="1:37" customFormat="1" ht="13.15" customHeight="1" x14ac:dyDescent="0.2">
      <c r="A82" s="147" t="s">
        <v>938</v>
      </c>
      <c r="B82" s="272">
        <f t="shared" si="5"/>
        <v>1893150</v>
      </c>
      <c r="C82" s="148">
        <f>C81*'01 - Dados de Entrada'!$C$117</f>
        <v>54090</v>
      </c>
      <c r="D82" s="148">
        <f>D81*'01 - Dados de Entrada'!$C$117</f>
        <v>54090</v>
      </c>
      <c r="E82" s="148">
        <f>E81*'01 - Dados de Entrada'!$C$117</f>
        <v>54090</v>
      </c>
      <c r="F82" s="148">
        <f>F81*'01 - Dados de Entrada'!$C$117</f>
        <v>54090</v>
      </c>
      <c r="G82" s="148">
        <f>G81*'01 - Dados de Entrada'!$C$117</f>
        <v>54090</v>
      </c>
      <c r="H82" s="148">
        <f>H81*'01 - Dados de Entrada'!$C$117</f>
        <v>54090</v>
      </c>
      <c r="I82" s="148">
        <f>I81*'01 - Dados de Entrada'!$C$117</f>
        <v>54090</v>
      </c>
      <c r="J82" s="148">
        <f>J81*'01 - Dados de Entrada'!$C$117</f>
        <v>54090</v>
      </c>
      <c r="K82" s="148">
        <f>K81*'01 - Dados de Entrada'!$C$117</f>
        <v>54090</v>
      </c>
      <c r="L82" s="148">
        <f>L81*'01 - Dados de Entrada'!$C$117</f>
        <v>54090</v>
      </c>
      <c r="M82" s="148">
        <f>M81*'01 - Dados de Entrada'!$C$117</f>
        <v>54090</v>
      </c>
      <c r="N82" s="148">
        <f>N81*'01 - Dados de Entrada'!$C$117</f>
        <v>54090</v>
      </c>
      <c r="O82" s="148">
        <f>O81*'01 - Dados de Entrada'!$C$117</f>
        <v>54090</v>
      </c>
      <c r="P82" s="148">
        <f>P81*'01 - Dados de Entrada'!$C$117</f>
        <v>54090</v>
      </c>
      <c r="Q82" s="148">
        <f>Q81*'01 - Dados de Entrada'!$C$117</f>
        <v>54090</v>
      </c>
      <c r="R82" s="148">
        <f>R81*'01 - Dados de Entrada'!$C$117</f>
        <v>54090</v>
      </c>
      <c r="S82" s="148">
        <f>S81*'01 - Dados de Entrada'!$C$117</f>
        <v>54090</v>
      </c>
      <c r="T82" s="148">
        <f>T81*'01 - Dados de Entrada'!$C$117</f>
        <v>54090</v>
      </c>
      <c r="U82" s="148">
        <f>U81*'01 - Dados de Entrada'!$C$117</f>
        <v>54090</v>
      </c>
      <c r="V82" s="148">
        <f>V81*'01 - Dados de Entrada'!$C$117</f>
        <v>54090</v>
      </c>
      <c r="W82" s="148">
        <f>W81*'01 - Dados de Entrada'!$C$117</f>
        <v>54090</v>
      </c>
      <c r="X82" s="148">
        <f>X81*'01 - Dados de Entrada'!$C$117</f>
        <v>54090</v>
      </c>
      <c r="Y82" s="148">
        <f>Y81*'01 - Dados de Entrada'!$C$117</f>
        <v>54090</v>
      </c>
      <c r="Z82" s="148">
        <f>Z81*'01 - Dados de Entrada'!$C$117</f>
        <v>54090</v>
      </c>
      <c r="AA82" s="148">
        <f>AA81*'01 - Dados de Entrada'!$C$117</f>
        <v>54090</v>
      </c>
      <c r="AB82" s="148">
        <f>AB81*'01 - Dados de Entrada'!$C$117</f>
        <v>54090</v>
      </c>
      <c r="AC82" s="148">
        <f>AC81*'01 - Dados de Entrada'!$C$117</f>
        <v>54090</v>
      </c>
      <c r="AD82" s="148">
        <f>AD81*'01 - Dados de Entrada'!$C$117</f>
        <v>54090</v>
      </c>
      <c r="AE82" s="148">
        <f>AE81*'01 - Dados de Entrada'!$C$117</f>
        <v>54090</v>
      </c>
      <c r="AF82" s="148">
        <f>AF81*'01 - Dados de Entrada'!$C$117</f>
        <v>54090</v>
      </c>
      <c r="AG82" s="148">
        <f>AG81*'01 - Dados de Entrada'!$C$117</f>
        <v>54090</v>
      </c>
      <c r="AH82" s="148">
        <f>AH81*'01 - Dados de Entrada'!$C$117</f>
        <v>54090</v>
      </c>
      <c r="AI82" s="148">
        <f>AI81*'01 - Dados de Entrada'!$C$117</f>
        <v>54090</v>
      </c>
      <c r="AJ82" s="148">
        <f>AJ81*'01 - Dados de Entrada'!$C$117</f>
        <v>54090</v>
      </c>
      <c r="AK82" s="148">
        <f>AK81*'01 - Dados de Entrada'!$C$117</f>
        <v>54090</v>
      </c>
    </row>
    <row r="83" spans="1:37" s="152" customFormat="1" ht="13.15" customHeight="1" x14ac:dyDescent="0.2">
      <c r="A83" s="271" t="s">
        <v>960</v>
      </c>
      <c r="B83" s="272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  <c r="W83" s="148"/>
      <c r="X83" s="148"/>
      <c r="Y83" s="148"/>
      <c r="Z83" s="148"/>
      <c r="AA83" s="148"/>
      <c r="AB83" s="148"/>
      <c r="AC83" s="148"/>
      <c r="AD83" s="148"/>
      <c r="AE83" s="148"/>
      <c r="AF83" s="148"/>
      <c r="AG83" s="148"/>
      <c r="AH83" s="148"/>
      <c r="AI83" s="148"/>
      <c r="AJ83" s="148"/>
      <c r="AK83" s="148"/>
    </row>
    <row r="84" spans="1:37" customFormat="1" ht="13.15" customHeight="1" x14ac:dyDescent="0.2">
      <c r="A84" s="147" t="s">
        <v>947</v>
      </c>
      <c r="B84" s="272">
        <f>SUM(C84:AK84)</f>
        <v>945000</v>
      </c>
      <c r="C84" s="273">
        <f>12*'01 - Dados de Entrada'!$C$205*'04 - Veículos e Equipamentos'!B60</f>
        <v>27000</v>
      </c>
      <c r="D84" s="273">
        <f>12*'01 - Dados de Entrada'!$C$205*'04 - Veículos e Equipamentos'!C60</f>
        <v>27000</v>
      </c>
      <c r="E84" s="273">
        <f>12*'01 - Dados de Entrada'!$C$205*'04 - Veículos e Equipamentos'!D60</f>
        <v>27000</v>
      </c>
      <c r="F84" s="273">
        <f>12*'01 - Dados de Entrada'!$C$205*'04 - Veículos e Equipamentos'!E60</f>
        <v>27000</v>
      </c>
      <c r="G84" s="273">
        <f>12*'01 - Dados de Entrada'!$C$205*'04 - Veículos e Equipamentos'!F60</f>
        <v>27000</v>
      </c>
      <c r="H84" s="273">
        <f>12*'01 - Dados de Entrada'!$C$205*'04 - Veículos e Equipamentos'!G60</f>
        <v>27000</v>
      </c>
      <c r="I84" s="273">
        <f>12*'01 - Dados de Entrada'!$C$205*'04 - Veículos e Equipamentos'!H60</f>
        <v>27000</v>
      </c>
      <c r="J84" s="273">
        <f>12*'01 - Dados de Entrada'!$C$205*'04 - Veículos e Equipamentos'!I60</f>
        <v>27000</v>
      </c>
      <c r="K84" s="273">
        <f>12*'01 - Dados de Entrada'!$C$205*'04 - Veículos e Equipamentos'!J60</f>
        <v>27000</v>
      </c>
      <c r="L84" s="273">
        <f>12*'01 - Dados de Entrada'!$C$205*'04 - Veículos e Equipamentos'!K60</f>
        <v>27000</v>
      </c>
      <c r="M84" s="273">
        <f>12*'01 - Dados de Entrada'!$C$205*'04 - Veículos e Equipamentos'!L60</f>
        <v>27000</v>
      </c>
      <c r="N84" s="273">
        <f>12*'01 - Dados de Entrada'!$C$205*'04 - Veículos e Equipamentos'!M60</f>
        <v>27000</v>
      </c>
      <c r="O84" s="273">
        <f>12*'01 - Dados de Entrada'!$C$205*'04 - Veículos e Equipamentos'!N60</f>
        <v>27000</v>
      </c>
      <c r="P84" s="273">
        <f>12*'01 - Dados de Entrada'!$C$205*'04 - Veículos e Equipamentos'!O60</f>
        <v>27000</v>
      </c>
      <c r="Q84" s="273">
        <f>12*'01 - Dados de Entrada'!$C$205*'04 - Veículos e Equipamentos'!P60</f>
        <v>27000</v>
      </c>
      <c r="R84" s="273">
        <f>12*'01 - Dados de Entrada'!$C$205*'04 - Veículos e Equipamentos'!Q60</f>
        <v>27000</v>
      </c>
      <c r="S84" s="273">
        <f>12*'01 - Dados de Entrada'!$C$205*'04 - Veículos e Equipamentos'!R60</f>
        <v>27000</v>
      </c>
      <c r="T84" s="273">
        <f>12*'01 - Dados de Entrada'!$C$205*'04 - Veículos e Equipamentos'!S60</f>
        <v>27000</v>
      </c>
      <c r="U84" s="273">
        <f>12*'01 - Dados de Entrada'!$C$205*'04 - Veículos e Equipamentos'!T60</f>
        <v>27000</v>
      </c>
      <c r="V84" s="273">
        <f>12*'01 - Dados de Entrada'!$C$205*'04 - Veículos e Equipamentos'!U60</f>
        <v>27000</v>
      </c>
      <c r="W84" s="273">
        <f>12*'01 - Dados de Entrada'!$C$205*'04 - Veículos e Equipamentos'!V60</f>
        <v>27000</v>
      </c>
      <c r="X84" s="273">
        <f>12*'01 - Dados de Entrada'!$C$205*'04 - Veículos e Equipamentos'!W60</f>
        <v>27000</v>
      </c>
      <c r="Y84" s="273">
        <f>12*'01 - Dados de Entrada'!$C$205*'04 - Veículos e Equipamentos'!X60</f>
        <v>27000</v>
      </c>
      <c r="Z84" s="273">
        <f>12*'01 - Dados de Entrada'!$C$205*'04 - Veículos e Equipamentos'!Y60</f>
        <v>27000</v>
      </c>
      <c r="AA84" s="273">
        <f>12*'01 - Dados de Entrada'!$C$205*'04 - Veículos e Equipamentos'!Z60</f>
        <v>27000</v>
      </c>
      <c r="AB84" s="273">
        <f>12*'01 - Dados de Entrada'!$C$205*'04 - Veículos e Equipamentos'!AA60</f>
        <v>27000</v>
      </c>
      <c r="AC84" s="273">
        <f>12*'01 - Dados de Entrada'!$C$205*'04 - Veículos e Equipamentos'!AB60</f>
        <v>27000</v>
      </c>
      <c r="AD84" s="273">
        <f>12*'01 - Dados de Entrada'!$C$205*'04 - Veículos e Equipamentos'!AC60</f>
        <v>27000</v>
      </c>
      <c r="AE84" s="273">
        <f>12*'01 - Dados de Entrada'!$C$205*'04 - Veículos e Equipamentos'!AD60</f>
        <v>27000</v>
      </c>
      <c r="AF84" s="273">
        <f>12*'01 - Dados de Entrada'!$C$205*'04 - Veículos e Equipamentos'!AE60</f>
        <v>27000</v>
      </c>
      <c r="AG84" s="273">
        <f>12*'01 - Dados de Entrada'!$C$205*'04 - Veículos e Equipamentos'!AF60</f>
        <v>27000</v>
      </c>
      <c r="AH84" s="273">
        <f>12*'01 - Dados de Entrada'!$C$205*'04 - Veículos e Equipamentos'!AG60</f>
        <v>27000</v>
      </c>
      <c r="AI84" s="273">
        <f>12*'01 - Dados de Entrada'!$C$205*'04 - Veículos e Equipamentos'!AH60</f>
        <v>27000</v>
      </c>
      <c r="AJ84" s="273">
        <f>12*'01 - Dados de Entrada'!$C$205*'04 - Veículos e Equipamentos'!AI60</f>
        <v>27000</v>
      </c>
      <c r="AK84" s="273">
        <f>12*'01 - Dados de Entrada'!$C$205*'04 - Veículos e Equipamentos'!AJ60</f>
        <v>27000</v>
      </c>
    </row>
    <row r="85" spans="1:37" s="152" customFormat="1" ht="13.15" customHeight="1" x14ac:dyDescent="0.2">
      <c r="A85" s="147" t="s">
        <v>937</v>
      </c>
      <c r="B85" s="272">
        <f t="shared" ref="B85:B86" si="6">SUM(C85:AK85)</f>
        <v>1417500</v>
      </c>
      <c r="C85" s="148">
        <f>C84/'01 - Dados de Entrada'!$C$231</f>
        <v>40500</v>
      </c>
      <c r="D85" s="148">
        <f>D84/'01 - Dados de Entrada'!$C$231</f>
        <v>40500</v>
      </c>
      <c r="E85" s="148">
        <f>E84/'01 - Dados de Entrada'!$C$231</f>
        <v>40500</v>
      </c>
      <c r="F85" s="148">
        <f>F84/'01 - Dados de Entrada'!$C$231</f>
        <v>40500</v>
      </c>
      <c r="G85" s="148">
        <f>G84/'01 - Dados de Entrada'!$C$231</f>
        <v>40500</v>
      </c>
      <c r="H85" s="148">
        <f>H84/'01 - Dados de Entrada'!$C$231</f>
        <v>40500</v>
      </c>
      <c r="I85" s="148">
        <f>I84/'01 - Dados de Entrada'!$C$231</f>
        <v>40500</v>
      </c>
      <c r="J85" s="148">
        <f>J84/'01 - Dados de Entrada'!$C$231</f>
        <v>40500</v>
      </c>
      <c r="K85" s="148">
        <f>K84/'01 - Dados de Entrada'!$C$231</f>
        <v>40500</v>
      </c>
      <c r="L85" s="148">
        <f>L84/'01 - Dados de Entrada'!$C$231</f>
        <v>40500</v>
      </c>
      <c r="M85" s="148">
        <f>M84/'01 - Dados de Entrada'!$C$231</f>
        <v>40500</v>
      </c>
      <c r="N85" s="148">
        <f>N84/'01 - Dados de Entrada'!$C$231</f>
        <v>40500</v>
      </c>
      <c r="O85" s="148">
        <f>O84/'01 - Dados de Entrada'!$C$231</f>
        <v>40500</v>
      </c>
      <c r="P85" s="148">
        <f>P84/'01 - Dados de Entrada'!$C$231</f>
        <v>40500</v>
      </c>
      <c r="Q85" s="148">
        <f>Q84/'01 - Dados de Entrada'!$C$231</f>
        <v>40500</v>
      </c>
      <c r="R85" s="148">
        <f>R84/'01 - Dados de Entrada'!$C$231</f>
        <v>40500</v>
      </c>
      <c r="S85" s="148">
        <f>S84/'01 - Dados de Entrada'!$C$231</f>
        <v>40500</v>
      </c>
      <c r="T85" s="148">
        <f>T84/'01 - Dados de Entrada'!$C$231</f>
        <v>40500</v>
      </c>
      <c r="U85" s="148">
        <f>U84/'01 - Dados de Entrada'!$C$231</f>
        <v>40500</v>
      </c>
      <c r="V85" s="148">
        <f>V84/'01 - Dados de Entrada'!$C$231</f>
        <v>40500</v>
      </c>
      <c r="W85" s="148">
        <f>W84/'01 - Dados de Entrada'!$C$231</f>
        <v>40500</v>
      </c>
      <c r="X85" s="148">
        <f>X84/'01 - Dados de Entrada'!$C$231</f>
        <v>40500</v>
      </c>
      <c r="Y85" s="148">
        <f>Y84/'01 - Dados de Entrada'!$C$231</f>
        <v>40500</v>
      </c>
      <c r="Z85" s="148">
        <f>Z84/'01 - Dados de Entrada'!$C$231</f>
        <v>40500</v>
      </c>
      <c r="AA85" s="148">
        <f>AA84/'01 - Dados de Entrada'!$C$231</f>
        <v>40500</v>
      </c>
      <c r="AB85" s="148">
        <f>AB84/'01 - Dados de Entrada'!$C$231</f>
        <v>40500</v>
      </c>
      <c r="AC85" s="148">
        <f>AC84/'01 - Dados de Entrada'!$C$231</f>
        <v>40500</v>
      </c>
      <c r="AD85" s="148">
        <f>AD84/'01 - Dados de Entrada'!$C$231</f>
        <v>40500</v>
      </c>
      <c r="AE85" s="148">
        <f>AE84/'01 - Dados de Entrada'!$C$231</f>
        <v>40500</v>
      </c>
      <c r="AF85" s="148">
        <f>AF84/'01 - Dados de Entrada'!$C$231</f>
        <v>40500</v>
      </c>
      <c r="AG85" s="148">
        <f>AG84/'01 - Dados de Entrada'!$C$231</f>
        <v>40500</v>
      </c>
      <c r="AH85" s="148">
        <f>AH84/'01 - Dados de Entrada'!$C$231</f>
        <v>40500</v>
      </c>
      <c r="AI85" s="148">
        <f>AI84/'01 - Dados de Entrada'!$C$231</f>
        <v>40500</v>
      </c>
      <c r="AJ85" s="148">
        <f>AJ84/'01 - Dados de Entrada'!$C$231</f>
        <v>40500</v>
      </c>
      <c r="AK85" s="148">
        <f>AK84/'01 - Dados de Entrada'!$C$231</f>
        <v>40500</v>
      </c>
    </row>
    <row r="86" spans="1:37" s="152" customFormat="1" ht="13.15" customHeight="1" x14ac:dyDescent="0.2">
      <c r="A86" s="147" t="s">
        <v>938</v>
      </c>
      <c r="B86" s="272">
        <f t="shared" si="6"/>
        <v>8519175</v>
      </c>
      <c r="C86" s="148">
        <f>C85*'01 - Dados de Entrada'!$C$117</f>
        <v>243405</v>
      </c>
      <c r="D86" s="148">
        <f>D85*'01 - Dados de Entrada'!$C$117</f>
        <v>243405</v>
      </c>
      <c r="E86" s="148">
        <f>E85*'01 - Dados de Entrada'!$C$117</f>
        <v>243405</v>
      </c>
      <c r="F86" s="148">
        <f>F85*'01 - Dados de Entrada'!$C$117</f>
        <v>243405</v>
      </c>
      <c r="G86" s="148">
        <f>G85*'01 - Dados de Entrada'!$C$117</f>
        <v>243405</v>
      </c>
      <c r="H86" s="148">
        <f>H85*'01 - Dados de Entrada'!$C$117</f>
        <v>243405</v>
      </c>
      <c r="I86" s="148">
        <f>I85*'01 - Dados de Entrada'!$C$117</f>
        <v>243405</v>
      </c>
      <c r="J86" s="148">
        <f>J85*'01 - Dados de Entrada'!$C$117</f>
        <v>243405</v>
      </c>
      <c r="K86" s="148">
        <f>K85*'01 - Dados de Entrada'!$C$117</f>
        <v>243405</v>
      </c>
      <c r="L86" s="148">
        <f>L85*'01 - Dados de Entrada'!$C$117</f>
        <v>243405</v>
      </c>
      <c r="M86" s="148">
        <f>M85*'01 - Dados de Entrada'!$C$117</f>
        <v>243405</v>
      </c>
      <c r="N86" s="148">
        <f>N85*'01 - Dados de Entrada'!$C$117</f>
        <v>243405</v>
      </c>
      <c r="O86" s="148">
        <f>O85*'01 - Dados de Entrada'!$C$117</f>
        <v>243405</v>
      </c>
      <c r="P86" s="148">
        <f>P85*'01 - Dados de Entrada'!$C$117</f>
        <v>243405</v>
      </c>
      <c r="Q86" s="148">
        <f>Q85*'01 - Dados de Entrada'!$C$117</f>
        <v>243405</v>
      </c>
      <c r="R86" s="148">
        <f>R85*'01 - Dados de Entrada'!$C$117</f>
        <v>243405</v>
      </c>
      <c r="S86" s="148">
        <f>S85*'01 - Dados de Entrada'!$C$117</f>
        <v>243405</v>
      </c>
      <c r="T86" s="148">
        <f>T85*'01 - Dados de Entrada'!$C$117</f>
        <v>243405</v>
      </c>
      <c r="U86" s="148">
        <f>U85*'01 - Dados de Entrada'!$C$117</f>
        <v>243405</v>
      </c>
      <c r="V86" s="148">
        <f>V85*'01 - Dados de Entrada'!$C$117</f>
        <v>243405</v>
      </c>
      <c r="W86" s="148">
        <f>W85*'01 - Dados de Entrada'!$C$117</f>
        <v>243405</v>
      </c>
      <c r="X86" s="148">
        <f>X85*'01 - Dados de Entrada'!$C$117</f>
        <v>243405</v>
      </c>
      <c r="Y86" s="148">
        <f>Y85*'01 - Dados de Entrada'!$C$117</f>
        <v>243405</v>
      </c>
      <c r="Z86" s="148">
        <f>Z85*'01 - Dados de Entrada'!$C$117</f>
        <v>243405</v>
      </c>
      <c r="AA86" s="148">
        <f>AA85*'01 - Dados de Entrada'!$C$117</f>
        <v>243405</v>
      </c>
      <c r="AB86" s="148">
        <f>AB85*'01 - Dados de Entrada'!$C$117</f>
        <v>243405</v>
      </c>
      <c r="AC86" s="148">
        <f>AC85*'01 - Dados de Entrada'!$C$117</f>
        <v>243405</v>
      </c>
      <c r="AD86" s="148">
        <f>AD85*'01 - Dados de Entrada'!$C$117</f>
        <v>243405</v>
      </c>
      <c r="AE86" s="148">
        <f>AE85*'01 - Dados de Entrada'!$C$117</f>
        <v>243405</v>
      </c>
      <c r="AF86" s="148">
        <f>AF85*'01 - Dados de Entrada'!$C$117</f>
        <v>243405</v>
      </c>
      <c r="AG86" s="148">
        <f>AG85*'01 - Dados de Entrada'!$C$117</f>
        <v>243405</v>
      </c>
      <c r="AH86" s="148">
        <f>AH85*'01 - Dados de Entrada'!$C$117</f>
        <v>243405</v>
      </c>
      <c r="AI86" s="148">
        <f>AI85*'01 - Dados de Entrada'!$C$117</f>
        <v>243405</v>
      </c>
      <c r="AJ86" s="148">
        <f>AJ85*'01 - Dados de Entrada'!$C$117</f>
        <v>243405</v>
      </c>
      <c r="AK86" s="148">
        <f>AK85*'01 - Dados de Entrada'!$C$117</f>
        <v>243405</v>
      </c>
    </row>
    <row r="87" spans="1:37" s="152" customFormat="1" ht="13.15" customHeight="1" x14ac:dyDescent="0.2">
      <c r="A87" s="271" t="s">
        <v>961</v>
      </c>
      <c r="B87" s="272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  <c r="W87" s="148"/>
      <c r="X87" s="148"/>
      <c r="Y87" s="148"/>
      <c r="Z87" s="148"/>
      <c r="AA87" s="148"/>
      <c r="AB87" s="148"/>
      <c r="AC87" s="148"/>
      <c r="AD87" s="148"/>
      <c r="AE87" s="148"/>
      <c r="AF87" s="148"/>
      <c r="AG87" s="148"/>
      <c r="AH87" s="148"/>
      <c r="AI87" s="148"/>
      <c r="AJ87" s="148"/>
      <c r="AK87" s="148"/>
    </row>
    <row r="88" spans="1:37" s="152" customFormat="1" ht="13.15" customHeight="1" x14ac:dyDescent="0.2">
      <c r="A88" s="147" t="s">
        <v>947</v>
      </c>
      <c r="B88" s="272">
        <f>SUM(C88:AK88)</f>
        <v>126000</v>
      </c>
      <c r="C88" s="148">
        <f>12*'01 - Dados de Entrada'!$C$206*'04 - Veículos e Equipamentos'!B62</f>
        <v>3600</v>
      </c>
      <c r="D88" s="148">
        <f>12*'01 - Dados de Entrada'!$C$206*'04 - Veículos e Equipamentos'!C62</f>
        <v>3600</v>
      </c>
      <c r="E88" s="148">
        <f>12*'01 - Dados de Entrada'!$C$206*'04 - Veículos e Equipamentos'!D62</f>
        <v>3600</v>
      </c>
      <c r="F88" s="148">
        <f>12*'01 - Dados de Entrada'!$C$206*'04 - Veículos e Equipamentos'!E62</f>
        <v>3600</v>
      </c>
      <c r="G88" s="148">
        <f>12*'01 - Dados de Entrada'!$C$206*'04 - Veículos e Equipamentos'!F62</f>
        <v>3600</v>
      </c>
      <c r="H88" s="148">
        <f>12*'01 - Dados de Entrada'!$C$206*'04 - Veículos e Equipamentos'!G62</f>
        <v>3600</v>
      </c>
      <c r="I88" s="148">
        <f>12*'01 - Dados de Entrada'!$C$206*'04 - Veículos e Equipamentos'!H62</f>
        <v>3600</v>
      </c>
      <c r="J88" s="148">
        <f>12*'01 - Dados de Entrada'!$C$206*'04 - Veículos e Equipamentos'!I62</f>
        <v>3600</v>
      </c>
      <c r="K88" s="148">
        <f>12*'01 - Dados de Entrada'!$C$206*'04 - Veículos e Equipamentos'!J62</f>
        <v>3600</v>
      </c>
      <c r="L88" s="148">
        <f>12*'01 - Dados de Entrada'!$C$206*'04 - Veículos e Equipamentos'!K62</f>
        <v>3600</v>
      </c>
      <c r="M88" s="148">
        <f>12*'01 - Dados de Entrada'!$C$206*'04 - Veículos e Equipamentos'!L62</f>
        <v>3600</v>
      </c>
      <c r="N88" s="148">
        <f>12*'01 - Dados de Entrada'!$C$206*'04 - Veículos e Equipamentos'!M62</f>
        <v>3600</v>
      </c>
      <c r="O88" s="148">
        <f>12*'01 - Dados de Entrada'!$C$206*'04 - Veículos e Equipamentos'!N62</f>
        <v>3600</v>
      </c>
      <c r="P88" s="148">
        <f>12*'01 - Dados de Entrada'!$C$206*'04 - Veículos e Equipamentos'!O62</f>
        <v>3600</v>
      </c>
      <c r="Q88" s="148">
        <f>12*'01 - Dados de Entrada'!$C$206*'04 - Veículos e Equipamentos'!P62</f>
        <v>3600</v>
      </c>
      <c r="R88" s="148">
        <f>12*'01 - Dados de Entrada'!$C$206*'04 - Veículos e Equipamentos'!Q62</f>
        <v>3600</v>
      </c>
      <c r="S88" s="148">
        <f>12*'01 - Dados de Entrada'!$C$206*'04 - Veículos e Equipamentos'!R62</f>
        <v>3600</v>
      </c>
      <c r="T88" s="148">
        <f>12*'01 - Dados de Entrada'!$C$206*'04 - Veículos e Equipamentos'!S62</f>
        <v>3600</v>
      </c>
      <c r="U88" s="148">
        <f>12*'01 - Dados de Entrada'!$C$206*'04 - Veículos e Equipamentos'!T62</f>
        <v>3600</v>
      </c>
      <c r="V88" s="148">
        <f>12*'01 - Dados de Entrada'!$C$206*'04 - Veículos e Equipamentos'!U62</f>
        <v>3600</v>
      </c>
      <c r="W88" s="148">
        <f>12*'01 - Dados de Entrada'!$C$206*'04 - Veículos e Equipamentos'!V62</f>
        <v>3600</v>
      </c>
      <c r="X88" s="148">
        <f>12*'01 - Dados de Entrada'!$C$206*'04 - Veículos e Equipamentos'!W62</f>
        <v>3600</v>
      </c>
      <c r="Y88" s="148">
        <f>12*'01 - Dados de Entrada'!$C$206*'04 - Veículos e Equipamentos'!X62</f>
        <v>3600</v>
      </c>
      <c r="Z88" s="148">
        <f>12*'01 - Dados de Entrada'!$C$206*'04 - Veículos e Equipamentos'!Y62</f>
        <v>3600</v>
      </c>
      <c r="AA88" s="148">
        <f>12*'01 - Dados de Entrada'!$C$206*'04 - Veículos e Equipamentos'!Z62</f>
        <v>3600</v>
      </c>
      <c r="AB88" s="148">
        <f>12*'01 - Dados de Entrada'!$C$206*'04 - Veículos e Equipamentos'!AA62</f>
        <v>3600</v>
      </c>
      <c r="AC88" s="148">
        <f>12*'01 - Dados de Entrada'!$C$206*'04 - Veículos e Equipamentos'!AB62</f>
        <v>3600</v>
      </c>
      <c r="AD88" s="148">
        <f>12*'01 - Dados de Entrada'!$C$206*'04 - Veículos e Equipamentos'!AC62</f>
        <v>3600</v>
      </c>
      <c r="AE88" s="148">
        <f>12*'01 - Dados de Entrada'!$C$206*'04 - Veículos e Equipamentos'!AD62</f>
        <v>3600</v>
      </c>
      <c r="AF88" s="148">
        <f>12*'01 - Dados de Entrada'!$C$206*'04 - Veículos e Equipamentos'!AE62</f>
        <v>3600</v>
      </c>
      <c r="AG88" s="148">
        <f>12*'01 - Dados de Entrada'!$C$206*'04 - Veículos e Equipamentos'!AF62</f>
        <v>3600</v>
      </c>
      <c r="AH88" s="148">
        <f>12*'01 - Dados de Entrada'!$C$206*'04 - Veículos e Equipamentos'!AG62</f>
        <v>3600</v>
      </c>
      <c r="AI88" s="148">
        <f>12*'01 - Dados de Entrada'!$C$206*'04 - Veículos e Equipamentos'!AH62</f>
        <v>3600</v>
      </c>
      <c r="AJ88" s="148">
        <f>12*'01 - Dados de Entrada'!$C$206*'04 - Veículos e Equipamentos'!AI62</f>
        <v>3600</v>
      </c>
      <c r="AK88" s="148">
        <f>12*'01 - Dados de Entrada'!$C$206*'04 - Veículos e Equipamentos'!AJ62</f>
        <v>3600</v>
      </c>
    </row>
    <row r="89" spans="1:37" s="152" customFormat="1" ht="13.15" customHeight="1" x14ac:dyDescent="0.2">
      <c r="A89" s="147" t="s">
        <v>937</v>
      </c>
      <c r="B89" s="272">
        <f t="shared" ref="B89:B90" si="7">SUM(C89:AK89)</f>
        <v>151200</v>
      </c>
      <c r="C89" s="148">
        <f>C88/'01 - Dados de Entrada'!$C$232</f>
        <v>4320</v>
      </c>
      <c r="D89" s="148">
        <f>D88/'01 - Dados de Entrada'!$C$232</f>
        <v>4320</v>
      </c>
      <c r="E89" s="148">
        <f>E88/'01 - Dados de Entrada'!$C$232</f>
        <v>4320</v>
      </c>
      <c r="F89" s="148">
        <f>F88/'01 - Dados de Entrada'!$C$232</f>
        <v>4320</v>
      </c>
      <c r="G89" s="148">
        <f>G88/'01 - Dados de Entrada'!$C$232</f>
        <v>4320</v>
      </c>
      <c r="H89" s="148">
        <f>H88/'01 - Dados de Entrada'!$C$232</f>
        <v>4320</v>
      </c>
      <c r="I89" s="148">
        <f>I88/'01 - Dados de Entrada'!$C$232</f>
        <v>4320</v>
      </c>
      <c r="J89" s="148">
        <f>J88/'01 - Dados de Entrada'!$C$232</f>
        <v>4320</v>
      </c>
      <c r="K89" s="148">
        <f>K88/'01 - Dados de Entrada'!$C$232</f>
        <v>4320</v>
      </c>
      <c r="L89" s="148">
        <f>L88/'01 - Dados de Entrada'!$C$232</f>
        <v>4320</v>
      </c>
      <c r="M89" s="148">
        <f>M88/'01 - Dados de Entrada'!$C$232</f>
        <v>4320</v>
      </c>
      <c r="N89" s="148">
        <f>N88/'01 - Dados de Entrada'!$C$232</f>
        <v>4320</v>
      </c>
      <c r="O89" s="148">
        <f>O88/'01 - Dados de Entrada'!$C$232</f>
        <v>4320</v>
      </c>
      <c r="P89" s="148">
        <f>P88/'01 - Dados de Entrada'!$C$232</f>
        <v>4320</v>
      </c>
      <c r="Q89" s="148">
        <f>Q88/'01 - Dados de Entrada'!$C$232</f>
        <v>4320</v>
      </c>
      <c r="R89" s="148">
        <f>R88/'01 - Dados de Entrada'!$C$232</f>
        <v>4320</v>
      </c>
      <c r="S89" s="148">
        <f>S88/'01 - Dados de Entrada'!$C$232</f>
        <v>4320</v>
      </c>
      <c r="T89" s="148">
        <f>T88/'01 - Dados de Entrada'!$C$232</f>
        <v>4320</v>
      </c>
      <c r="U89" s="148">
        <f>U88/'01 - Dados de Entrada'!$C$232</f>
        <v>4320</v>
      </c>
      <c r="V89" s="148">
        <f>V88/'01 - Dados de Entrada'!$C$232</f>
        <v>4320</v>
      </c>
      <c r="W89" s="148">
        <f>W88/'01 - Dados de Entrada'!$C$232</f>
        <v>4320</v>
      </c>
      <c r="X89" s="148">
        <f>X88/'01 - Dados de Entrada'!$C$232</f>
        <v>4320</v>
      </c>
      <c r="Y89" s="148">
        <f>Y88/'01 - Dados de Entrada'!$C$232</f>
        <v>4320</v>
      </c>
      <c r="Z89" s="148">
        <f>Z88/'01 - Dados de Entrada'!$C$232</f>
        <v>4320</v>
      </c>
      <c r="AA89" s="148">
        <f>AA88/'01 - Dados de Entrada'!$C$232</f>
        <v>4320</v>
      </c>
      <c r="AB89" s="148">
        <f>AB88/'01 - Dados de Entrada'!$C$232</f>
        <v>4320</v>
      </c>
      <c r="AC89" s="148">
        <f>AC88/'01 - Dados de Entrada'!$C$232</f>
        <v>4320</v>
      </c>
      <c r="AD89" s="148">
        <f>AD88/'01 - Dados de Entrada'!$C$232</f>
        <v>4320</v>
      </c>
      <c r="AE89" s="148">
        <f>AE88/'01 - Dados de Entrada'!$C$232</f>
        <v>4320</v>
      </c>
      <c r="AF89" s="148">
        <f>AF88/'01 - Dados de Entrada'!$C$232</f>
        <v>4320</v>
      </c>
      <c r="AG89" s="148">
        <f>AG88/'01 - Dados de Entrada'!$C$232</f>
        <v>4320</v>
      </c>
      <c r="AH89" s="148">
        <f>AH88/'01 - Dados de Entrada'!$C$232</f>
        <v>4320</v>
      </c>
      <c r="AI89" s="148">
        <f>AI88/'01 - Dados de Entrada'!$C$232</f>
        <v>4320</v>
      </c>
      <c r="AJ89" s="148">
        <f>AJ88/'01 - Dados de Entrada'!$C$232</f>
        <v>4320</v>
      </c>
      <c r="AK89" s="148">
        <f>AK88/'01 - Dados de Entrada'!$C$232</f>
        <v>4320</v>
      </c>
    </row>
    <row r="90" spans="1:37" s="152" customFormat="1" ht="13.15" customHeight="1" x14ac:dyDescent="0.2">
      <c r="A90" s="147" t="s">
        <v>938</v>
      </c>
      <c r="B90" s="272">
        <f t="shared" si="7"/>
        <v>908711.99999999953</v>
      </c>
      <c r="C90" s="148">
        <f>C89*'01 - Dados de Entrada'!$C$117</f>
        <v>25963.200000000001</v>
      </c>
      <c r="D90" s="148">
        <f>D89*'01 - Dados de Entrada'!$C$117</f>
        <v>25963.200000000001</v>
      </c>
      <c r="E90" s="148">
        <f>E89*'01 - Dados de Entrada'!$C$117</f>
        <v>25963.200000000001</v>
      </c>
      <c r="F90" s="148">
        <f>F89*'01 - Dados de Entrada'!$C$117</f>
        <v>25963.200000000001</v>
      </c>
      <c r="G90" s="148">
        <f>G89*'01 - Dados de Entrada'!$C$117</f>
        <v>25963.200000000001</v>
      </c>
      <c r="H90" s="148">
        <f>H89*'01 - Dados de Entrada'!$C$117</f>
        <v>25963.200000000001</v>
      </c>
      <c r="I90" s="148">
        <f>I89*'01 - Dados de Entrada'!$C$117</f>
        <v>25963.200000000001</v>
      </c>
      <c r="J90" s="148">
        <f>J89*'01 - Dados de Entrada'!$C$117</f>
        <v>25963.200000000001</v>
      </c>
      <c r="K90" s="148">
        <f>K89*'01 - Dados de Entrada'!$C$117</f>
        <v>25963.200000000001</v>
      </c>
      <c r="L90" s="148">
        <f>L89*'01 - Dados de Entrada'!$C$117</f>
        <v>25963.200000000001</v>
      </c>
      <c r="M90" s="148">
        <f>M89*'01 - Dados de Entrada'!$C$117</f>
        <v>25963.200000000001</v>
      </c>
      <c r="N90" s="148">
        <f>N89*'01 - Dados de Entrada'!$C$117</f>
        <v>25963.200000000001</v>
      </c>
      <c r="O90" s="148">
        <f>O89*'01 - Dados de Entrada'!$C$117</f>
        <v>25963.200000000001</v>
      </c>
      <c r="P90" s="148">
        <f>P89*'01 - Dados de Entrada'!$C$117</f>
        <v>25963.200000000001</v>
      </c>
      <c r="Q90" s="148">
        <f>Q89*'01 - Dados de Entrada'!$C$117</f>
        <v>25963.200000000001</v>
      </c>
      <c r="R90" s="148">
        <f>R89*'01 - Dados de Entrada'!$C$117</f>
        <v>25963.200000000001</v>
      </c>
      <c r="S90" s="148">
        <f>S89*'01 - Dados de Entrada'!$C$117</f>
        <v>25963.200000000001</v>
      </c>
      <c r="T90" s="148">
        <f>T89*'01 - Dados de Entrada'!$C$117</f>
        <v>25963.200000000001</v>
      </c>
      <c r="U90" s="148">
        <f>U89*'01 - Dados de Entrada'!$C$117</f>
        <v>25963.200000000001</v>
      </c>
      <c r="V90" s="148">
        <f>V89*'01 - Dados de Entrada'!$C$117</f>
        <v>25963.200000000001</v>
      </c>
      <c r="W90" s="148">
        <f>W89*'01 - Dados de Entrada'!$C$117</f>
        <v>25963.200000000001</v>
      </c>
      <c r="X90" s="148">
        <f>X89*'01 - Dados de Entrada'!$C$117</f>
        <v>25963.200000000001</v>
      </c>
      <c r="Y90" s="148">
        <f>Y89*'01 - Dados de Entrada'!$C$117</f>
        <v>25963.200000000001</v>
      </c>
      <c r="Z90" s="148">
        <f>Z89*'01 - Dados de Entrada'!$C$117</f>
        <v>25963.200000000001</v>
      </c>
      <c r="AA90" s="148">
        <f>AA89*'01 - Dados de Entrada'!$C$117</f>
        <v>25963.200000000001</v>
      </c>
      <c r="AB90" s="148">
        <f>AB89*'01 - Dados de Entrada'!$C$117</f>
        <v>25963.200000000001</v>
      </c>
      <c r="AC90" s="148">
        <f>AC89*'01 - Dados de Entrada'!$C$117</f>
        <v>25963.200000000001</v>
      </c>
      <c r="AD90" s="148">
        <f>AD89*'01 - Dados de Entrada'!$C$117</f>
        <v>25963.200000000001</v>
      </c>
      <c r="AE90" s="148">
        <f>AE89*'01 - Dados de Entrada'!$C$117</f>
        <v>25963.200000000001</v>
      </c>
      <c r="AF90" s="148">
        <f>AF89*'01 - Dados de Entrada'!$C$117</f>
        <v>25963.200000000001</v>
      </c>
      <c r="AG90" s="148">
        <f>AG89*'01 - Dados de Entrada'!$C$117</f>
        <v>25963.200000000001</v>
      </c>
      <c r="AH90" s="148">
        <f>AH89*'01 - Dados de Entrada'!$C$117</f>
        <v>25963.200000000001</v>
      </c>
      <c r="AI90" s="148">
        <f>AI89*'01 - Dados de Entrada'!$C$117</f>
        <v>25963.200000000001</v>
      </c>
      <c r="AJ90" s="148">
        <f>AJ89*'01 - Dados de Entrada'!$C$117</f>
        <v>25963.200000000001</v>
      </c>
      <c r="AK90" s="148">
        <f>AK89*'01 - Dados de Entrada'!$C$117</f>
        <v>25963.200000000001</v>
      </c>
    </row>
    <row r="91" spans="1:37" s="152" customFormat="1" ht="13.15" customHeight="1" x14ac:dyDescent="0.2">
      <c r="A91" s="271" t="s">
        <v>962</v>
      </c>
      <c r="B91" s="272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148"/>
      <c r="Z91" s="148"/>
      <c r="AA91" s="148"/>
      <c r="AB91" s="148"/>
      <c r="AC91" s="148"/>
      <c r="AD91" s="148"/>
      <c r="AE91" s="148"/>
      <c r="AF91" s="148"/>
      <c r="AG91" s="148"/>
      <c r="AH91" s="148"/>
      <c r="AI91" s="148"/>
      <c r="AJ91" s="148"/>
      <c r="AK91" s="148"/>
    </row>
    <row r="92" spans="1:37" s="152" customFormat="1" ht="13.15" customHeight="1" x14ac:dyDescent="0.2">
      <c r="A92" s="147" t="s">
        <v>936</v>
      </c>
      <c r="B92" s="272">
        <f t="shared" si="2"/>
        <v>735000</v>
      </c>
      <c r="C92" s="273">
        <f>12*'01 - Dados de Entrada'!$C$219*'04 - Veículos e Equipamentos'!B65</f>
        <v>21000</v>
      </c>
      <c r="D92" s="273">
        <f>12*'01 - Dados de Entrada'!$C$219*'04 - Veículos e Equipamentos'!C65</f>
        <v>21000</v>
      </c>
      <c r="E92" s="273">
        <f>12*'01 - Dados de Entrada'!$C$219*'04 - Veículos e Equipamentos'!D65</f>
        <v>21000</v>
      </c>
      <c r="F92" s="273">
        <f>12*'01 - Dados de Entrada'!$C$219*'04 - Veículos e Equipamentos'!E65</f>
        <v>21000</v>
      </c>
      <c r="G92" s="273">
        <f>12*'01 - Dados de Entrada'!$C$219*'04 - Veículos e Equipamentos'!F65</f>
        <v>21000</v>
      </c>
      <c r="H92" s="273">
        <f>12*'01 - Dados de Entrada'!$C$219*'04 - Veículos e Equipamentos'!G65</f>
        <v>21000</v>
      </c>
      <c r="I92" s="273">
        <f>12*'01 - Dados de Entrada'!$C$219*'04 - Veículos e Equipamentos'!H65</f>
        <v>21000</v>
      </c>
      <c r="J92" s="273">
        <f>12*'01 - Dados de Entrada'!$C$219*'04 - Veículos e Equipamentos'!I65</f>
        <v>21000</v>
      </c>
      <c r="K92" s="273">
        <f>12*'01 - Dados de Entrada'!$C$219*'04 - Veículos e Equipamentos'!J65</f>
        <v>21000</v>
      </c>
      <c r="L92" s="273">
        <f>12*'01 - Dados de Entrada'!$C$219*'04 - Veículos e Equipamentos'!K65</f>
        <v>21000</v>
      </c>
      <c r="M92" s="273">
        <f>12*'01 - Dados de Entrada'!$C$219*'04 - Veículos e Equipamentos'!L65</f>
        <v>21000</v>
      </c>
      <c r="N92" s="273">
        <f>12*'01 - Dados de Entrada'!$C$219*'04 - Veículos e Equipamentos'!M65</f>
        <v>21000</v>
      </c>
      <c r="O92" s="273">
        <f>12*'01 - Dados de Entrada'!$C$219*'04 - Veículos e Equipamentos'!N65</f>
        <v>21000</v>
      </c>
      <c r="P92" s="273">
        <f>12*'01 - Dados de Entrada'!$C$219*'04 - Veículos e Equipamentos'!O65</f>
        <v>21000</v>
      </c>
      <c r="Q92" s="273">
        <f>12*'01 - Dados de Entrada'!$C$219*'04 - Veículos e Equipamentos'!P65</f>
        <v>21000</v>
      </c>
      <c r="R92" s="273">
        <f>12*'01 - Dados de Entrada'!$C$219*'04 - Veículos e Equipamentos'!Q65</f>
        <v>21000</v>
      </c>
      <c r="S92" s="273">
        <f>12*'01 - Dados de Entrada'!$C$219*'04 - Veículos e Equipamentos'!R65</f>
        <v>21000</v>
      </c>
      <c r="T92" s="273">
        <f>12*'01 - Dados de Entrada'!$C$219*'04 - Veículos e Equipamentos'!S65</f>
        <v>21000</v>
      </c>
      <c r="U92" s="273">
        <f>12*'01 - Dados de Entrada'!$C$219*'04 - Veículos e Equipamentos'!T65</f>
        <v>21000</v>
      </c>
      <c r="V92" s="273">
        <f>12*'01 - Dados de Entrada'!$C$219*'04 - Veículos e Equipamentos'!U65</f>
        <v>21000</v>
      </c>
      <c r="W92" s="273">
        <f>12*'01 - Dados de Entrada'!$C$219*'04 - Veículos e Equipamentos'!V65</f>
        <v>21000</v>
      </c>
      <c r="X92" s="273">
        <f>12*'01 - Dados de Entrada'!$C$219*'04 - Veículos e Equipamentos'!W65</f>
        <v>21000</v>
      </c>
      <c r="Y92" s="273">
        <f>12*'01 - Dados de Entrada'!$C$219*'04 - Veículos e Equipamentos'!X65</f>
        <v>21000</v>
      </c>
      <c r="Z92" s="273">
        <f>12*'01 - Dados de Entrada'!$C$219*'04 - Veículos e Equipamentos'!Y65</f>
        <v>21000</v>
      </c>
      <c r="AA92" s="273">
        <f>12*'01 - Dados de Entrada'!$C$219*'04 - Veículos e Equipamentos'!Z65</f>
        <v>21000</v>
      </c>
      <c r="AB92" s="273">
        <f>12*'01 - Dados de Entrada'!$C$219*'04 - Veículos e Equipamentos'!AA65</f>
        <v>21000</v>
      </c>
      <c r="AC92" s="273">
        <f>12*'01 - Dados de Entrada'!$C$219*'04 - Veículos e Equipamentos'!AB65</f>
        <v>21000</v>
      </c>
      <c r="AD92" s="273">
        <f>12*'01 - Dados de Entrada'!$C$219*'04 - Veículos e Equipamentos'!AC65</f>
        <v>21000</v>
      </c>
      <c r="AE92" s="273">
        <f>12*'01 - Dados de Entrada'!$C$219*'04 - Veículos e Equipamentos'!AD65</f>
        <v>21000</v>
      </c>
      <c r="AF92" s="273">
        <f>12*'01 - Dados de Entrada'!$C$219*'04 - Veículos e Equipamentos'!AE65</f>
        <v>21000</v>
      </c>
      <c r="AG92" s="273">
        <f>12*'01 - Dados de Entrada'!$C$219*'04 - Veículos e Equipamentos'!AF65</f>
        <v>21000</v>
      </c>
      <c r="AH92" s="273">
        <f>12*'01 - Dados de Entrada'!$C$219*'04 - Veículos e Equipamentos'!AG65</f>
        <v>21000</v>
      </c>
      <c r="AI92" s="273">
        <f>12*'01 - Dados de Entrada'!$C$219*'04 - Veículos e Equipamentos'!AH65</f>
        <v>21000</v>
      </c>
      <c r="AJ92" s="273">
        <f>12*'01 - Dados de Entrada'!$C$219*'04 - Veículos e Equipamentos'!AI65</f>
        <v>21000</v>
      </c>
      <c r="AK92" s="273">
        <f>12*'01 - Dados de Entrada'!$C$219*'04 - Veículos e Equipamentos'!AJ65</f>
        <v>21000</v>
      </c>
    </row>
    <row r="93" spans="1:37" s="152" customFormat="1" ht="13.15" customHeight="1" x14ac:dyDescent="0.2">
      <c r="A93" s="147" t="s">
        <v>937</v>
      </c>
      <c r="B93" s="272">
        <f t="shared" si="2"/>
        <v>245000</v>
      </c>
      <c r="C93" s="273">
        <f>C92/'01 - Dados de Entrada'!$C$228</f>
        <v>7000</v>
      </c>
      <c r="D93" s="273">
        <f>D92/'01 - Dados de Entrada'!$C$228</f>
        <v>7000</v>
      </c>
      <c r="E93" s="273">
        <f>E92/'01 - Dados de Entrada'!$C$228</f>
        <v>7000</v>
      </c>
      <c r="F93" s="273">
        <f>F92/'01 - Dados de Entrada'!$C$228</f>
        <v>7000</v>
      </c>
      <c r="G93" s="273">
        <f>G92/'01 - Dados de Entrada'!$C$228</f>
        <v>7000</v>
      </c>
      <c r="H93" s="273">
        <f>H92/'01 - Dados de Entrada'!$C$228</f>
        <v>7000</v>
      </c>
      <c r="I93" s="273">
        <f>I92/'01 - Dados de Entrada'!$C$228</f>
        <v>7000</v>
      </c>
      <c r="J93" s="273">
        <f>J92/'01 - Dados de Entrada'!$C$228</f>
        <v>7000</v>
      </c>
      <c r="K93" s="273">
        <f>K92/'01 - Dados de Entrada'!$C$228</f>
        <v>7000</v>
      </c>
      <c r="L93" s="273">
        <f>L92/'01 - Dados de Entrada'!$C$228</f>
        <v>7000</v>
      </c>
      <c r="M93" s="273">
        <f>M92/'01 - Dados de Entrada'!$C$228</f>
        <v>7000</v>
      </c>
      <c r="N93" s="273">
        <f>N92/'01 - Dados de Entrada'!$C$228</f>
        <v>7000</v>
      </c>
      <c r="O93" s="273">
        <f>O92/'01 - Dados de Entrada'!$C$228</f>
        <v>7000</v>
      </c>
      <c r="P93" s="273">
        <f>P92/'01 - Dados de Entrada'!$C$228</f>
        <v>7000</v>
      </c>
      <c r="Q93" s="273">
        <f>Q92/'01 - Dados de Entrada'!$C$228</f>
        <v>7000</v>
      </c>
      <c r="R93" s="273">
        <f>R92/'01 - Dados de Entrada'!$C$228</f>
        <v>7000</v>
      </c>
      <c r="S93" s="273">
        <f>S92/'01 - Dados de Entrada'!$C$228</f>
        <v>7000</v>
      </c>
      <c r="T93" s="273">
        <f>T92/'01 - Dados de Entrada'!$C$228</f>
        <v>7000</v>
      </c>
      <c r="U93" s="273">
        <f>U92/'01 - Dados de Entrada'!$C$228</f>
        <v>7000</v>
      </c>
      <c r="V93" s="273">
        <f>V92/'01 - Dados de Entrada'!$C$228</f>
        <v>7000</v>
      </c>
      <c r="W93" s="273">
        <f>W92/'01 - Dados de Entrada'!$C$228</f>
        <v>7000</v>
      </c>
      <c r="X93" s="273">
        <f>X92/'01 - Dados de Entrada'!$C$228</f>
        <v>7000</v>
      </c>
      <c r="Y93" s="273">
        <f>Y92/'01 - Dados de Entrada'!$C$228</f>
        <v>7000</v>
      </c>
      <c r="Z93" s="273">
        <f>Z92/'01 - Dados de Entrada'!$C$228</f>
        <v>7000</v>
      </c>
      <c r="AA93" s="273">
        <f>AA92/'01 - Dados de Entrada'!$C$228</f>
        <v>7000</v>
      </c>
      <c r="AB93" s="273">
        <f>AB92/'01 - Dados de Entrada'!$C$228</f>
        <v>7000</v>
      </c>
      <c r="AC93" s="273">
        <f>AC92/'01 - Dados de Entrada'!$C$228</f>
        <v>7000</v>
      </c>
      <c r="AD93" s="273">
        <f>AD92/'01 - Dados de Entrada'!$C$228</f>
        <v>7000</v>
      </c>
      <c r="AE93" s="273">
        <f>AE92/'01 - Dados de Entrada'!$C$228</f>
        <v>7000</v>
      </c>
      <c r="AF93" s="273">
        <f>AF92/'01 - Dados de Entrada'!$C$228</f>
        <v>7000</v>
      </c>
      <c r="AG93" s="273">
        <f>AG92/'01 - Dados de Entrada'!$C$228</f>
        <v>7000</v>
      </c>
      <c r="AH93" s="273">
        <f>AH92/'01 - Dados de Entrada'!$C$228</f>
        <v>7000</v>
      </c>
      <c r="AI93" s="273">
        <f>AI92/'01 - Dados de Entrada'!$C$228</f>
        <v>7000</v>
      </c>
      <c r="AJ93" s="273">
        <f>AJ92/'01 - Dados de Entrada'!$C$228</f>
        <v>7000</v>
      </c>
      <c r="AK93" s="273">
        <f>AK92/'01 - Dados de Entrada'!$C$228</f>
        <v>7000</v>
      </c>
    </row>
    <row r="94" spans="1:37" s="152" customFormat="1" ht="13.15" customHeight="1" x14ac:dyDescent="0.2">
      <c r="A94" s="147" t="s">
        <v>938</v>
      </c>
      <c r="B94" s="272">
        <f t="shared" si="2"/>
        <v>1440600</v>
      </c>
      <c r="C94" s="148">
        <f>C93*'01 - Dados de Entrada'!$C$116</f>
        <v>41160</v>
      </c>
      <c r="D94" s="148">
        <f>D93*'01 - Dados de Entrada'!$C$116</f>
        <v>41160</v>
      </c>
      <c r="E94" s="148">
        <f>E93*'01 - Dados de Entrada'!$C$116</f>
        <v>41160</v>
      </c>
      <c r="F94" s="148">
        <f>F93*'01 - Dados de Entrada'!$C$116</f>
        <v>41160</v>
      </c>
      <c r="G94" s="148">
        <f>G93*'01 - Dados de Entrada'!$C$116</f>
        <v>41160</v>
      </c>
      <c r="H94" s="148">
        <f>H93*'01 - Dados de Entrada'!$C$116</f>
        <v>41160</v>
      </c>
      <c r="I94" s="148">
        <f>I93*'01 - Dados de Entrada'!$C$116</f>
        <v>41160</v>
      </c>
      <c r="J94" s="148">
        <f>J93*'01 - Dados de Entrada'!$C$116</f>
        <v>41160</v>
      </c>
      <c r="K94" s="148">
        <f>K93*'01 - Dados de Entrada'!$C$116</f>
        <v>41160</v>
      </c>
      <c r="L94" s="148">
        <f>L93*'01 - Dados de Entrada'!$C$116</f>
        <v>41160</v>
      </c>
      <c r="M94" s="148">
        <f>M93*'01 - Dados de Entrada'!$C$116</f>
        <v>41160</v>
      </c>
      <c r="N94" s="148">
        <f>N93*'01 - Dados de Entrada'!$C$116</f>
        <v>41160</v>
      </c>
      <c r="O94" s="148">
        <f>O93*'01 - Dados de Entrada'!$C$116</f>
        <v>41160</v>
      </c>
      <c r="P94" s="148">
        <f>P93*'01 - Dados de Entrada'!$C$116</f>
        <v>41160</v>
      </c>
      <c r="Q94" s="148">
        <f>Q93*'01 - Dados de Entrada'!$C$116</f>
        <v>41160</v>
      </c>
      <c r="R94" s="148">
        <f>R93*'01 - Dados de Entrada'!$C$116</f>
        <v>41160</v>
      </c>
      <c r="S94" s="148">
        <f>S93*'01 - Dados de Entrada'!$C$116</f>
        <v>41160</v>
      </c>
      <c r="T94" s="148">
        <f>T93*'01 - Dados de Entrada'!$C$116</f>
        <v>41160</v>
      </c>
      <c r="U94" s="148">
        <f>U93*'01 - Dados de Entrada'!$C$116</f>
        <v>41160</v>
      </c>
      <c r="V94" s="148">
        <f>V93*'01 - Dados de Entrada'!$C$116</f>
        <v>41160</v>
      </c>
      <c r="W94" s="148">
        <f>W93*'01 - Dados de Entrada'!$C$116</f>
        <v>41160</v>
      </c>
      <c r="X94" s="148">
        <f>X93*'01 - Dados de Entrada'!$C$116</f>
        <v>41160</v>
      </c>
      <c r="Y94" s="148">
        <f>Y93*'01 - Dados de Entrada'!$C$116</f>
        <v>41160</v>
      </c>
      <c r="Z94" s="148">
        <f>Z93*'01 - Dados de Entrada'!$C$116</f>
        <v>41160</v>
      </c>
      <c r="AA94" s="148">
        <f>AA93*'01 - Dados de Entrada'!$C$116</f>
        <v>41160</v>
      </c>
      <c r="AB94" s="148">
        <f>AB93*'01 - Dados de Entrada'!$C$116</f>
        <v>41160</v>
      </c>
      <c r="AC94" s="148">
        <f>AC93*'01 - Dados de Entrada'!$C$116</f>
        <v>41160</v>
      </c>
      <c r="AD94" s="148">
        <f>AD93*'01 - Dados de Entrada'!$C$116</f>
        <v>41160</v>
      </c>
      <c r="AE94" s="148">
        <f>AE93*'01 - Dados de Entrada'!$C$116</f>
        <v>41160</v>
      </c>
      <c r="AF94" s="148">
        <f>AF93*'01 - Dados de Entrada'!$C$116</f>
        <v>41160</v>
      </c>
      <c r="AG94" s="148">
        <f>AG93*'01 - Dados de Entrada'!$C$116</f>
        <v>41160</v>
      </c>
      <c r="AH94" s="148">
        <f>AH93*'01 - Dados de Entrada'!$C$116</f>
        <v>41160</v>
      </c>
      <c r="AI94" s="148">
        <f>AI93*'01 - Dados de Entrada'!$C$116</f>
        <v>41160</v>
      </c>
      <c r="AJ94" s="148">
        <f>AJ93*'01 - Dados de Entrada'!$C$116</f>
        <v>41160</v>
      </c>
      <c r="AK94" s="148">
        <f>AK93*'01 - Dados de Entrada'!$C$116</f>
        <v>41160</v>
      </c>
    </row>
    <row r="95" spans="1:37" s="152" customFormat="1" ht="13.15" customHeight="1" x14ac:dyDescent="0.2">
      <c r="A95" s="271" t="s">
        <v>963</v>
      </c>
      <c r="B95" s="272"/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48"/>
      <c r="AF95" s="148"/>
      <c r="AG95" s="148"/>
      <c r="AH95" s="148"/>
      <c r="AI95" s="148"/>
      <c r="AJ95" s="148"/>
      <c r="AK95" s="148"/>
    </row>
    <row r="96" spans="1:37" s="152" customFormat="1" ht="13.15" customHeight="1" x14ac:dyDescent="0.2">
      <c r="A96" s="147" t="s">
        <v>936</v>
      </c>
      <c r="B96" s="272">
        <f t="shared" si="2"/>
        <v>740040</v>
      </c>
      <c r="C96" s="273">
        <f>12*'01 - Dados de Entrada'!$C$220*'04 - Veículos e Equipamentos'!B66</f>
        <v>21144</v>
      </c>
      <c r="D96" s="273">
        <f>12*'01 - Dados de Entrada'!$C$220*'04 - Veículos e Equipamentos'!C66</f>
        <v>21144</v>
      </c>
      <c r="E96" s="273">
        <f>12*'01 - Dados de Entrada'!$C$220*'04 - Veículos e Equipamentos'!D66</f>
        <v>21144</v>
      </c>
      <c r="F96" s="273">
        <f>12*'01 - Dados de Entrada'!$C$220*'04 - Veículos e Equipamentos'!E66</f>
        <v>21144</v>
      </c>
      <c r="G96" s="273">
        <f>12*'01 - Dados de Entrada'!$C$220*'04 - Veículos e Equipamentos'!F66</f>
        <v>21144</v>
      </c>
      <c r="H96" s="273">
        <f>12*'01 - Dados de Entrada'!$C$220*'04 - Veículos e Equipamentos'!G66</f>
        <v>21144</v>
      </c>
      <c r="I96" s="273">
        <f>12*'01 - Dados de Entrada'!$C$220*'04 - Veículos e Equipamentos'!H66</f>
        <v>21144</v>
      </c>
      <c r="J96" s="273">
        <f>12*'01 - Dados de Entrada'!$C$220*'04 - Veículos e Equipamentos'!I66</f>
        <v>21144</v>
      </c>
      <c r="K96" s="273">
        <f>12*'01 - Dados de Entrada'!$C$220*'04 - Veículos e Equipamentos'!J66</f>
        <v>21144</v>
      </c>
      <c r="L96" s="273">
        <f>12*'01 - Dados de Entrada'!$C$220*'04 - Veículos e Equipamentos'!K66</f>
        <v>21144</v>
      </c>
      <c r="M96" s="273">
        <f>12*'01 - Dados de Entrada'!$C$220*'04 - Veículos e Equipamentos'!L66</f>
        <v>21144</v>
      </c>
      <c r="N96" s="273">
        <f>12*'01 - Dados de Entrada'!$C$220*'04 - Veículos e Equipamentos'!M66</f>
        <v>21144</v>
      </c>
      <c r="O96" s="273">
        <f>12*'01 - Dados de Entrada'!$C$220*'04 - Veículos e Equipamentos'!N66</f>
        <v>21144</v>
      </c>
      <c r="P96" s="273">
        <f>12*'01 - Dados de Entrada'!$C$220*'04 - Veículos e Equipamentos'!O66</f>
        <v>21144</v>
      </c>
      <c r="Q96" s="273">
        <f>12*'01 - Dados de Entrada'!$C$220*'04 - Veículos e Equipamentos'!P66</f>
        <v>21144</v>
      </c>
      <c r="R96" s="273">
        <f>12*'01 - Dados de Entrada'!$C$220*'04 - Veículos e Equipamentos'!Q66</f>
        <v>21144</v>
      </c>
      <c r="S96" s="273">
        <f>12*'01 - Dados de Entrada'!$C$220*'04 - Veículos e Equipamentos'!R66</f>
        <v>21144</v>
      </c>
      <c r="T96" s="273">
        <f>12*'01 - Dados de Entrada'!$C$220*'04 - Veículos e Equipamentos'!S66</f>
        <v>21144</v>
      </c>
      <c r="U96" s="273">
        <f>12*'01 - Dados de Entrada'!$C$220*'04 - Veículos e Equipamentos'!T66</f>
        <v>21144</v>
      </c>
      <c r="V96" s="273">
        <f>12*'01 - Dados de Entrada'!$C$220*'04 - Veículos e Equipamentos'!U66</f>
        <v>21144</v>
      </c>
      <c r="W96" s="273">
        <f>12*'01 - Dados de Entrada'!$C$220*'04 - Veículos e Equipamentos'!V66</f>
        <v>21144</v>
      </c>
      <c r="X96" s="273">
        <f>12*'01 - Dados de Entrada'!$C$220*'04 - Veículos e Equipamentos'!W66</f>
        <v>21144</v>
      </c>
      <c r="Y96" s="273">
        <f>12*'01 - Dados de Entrada'!$C$220*'04 - Veículos e Equipamentos'!X66</f>
        <v>21144</v>
      </c>
      <c r="Z96" s="273">
        <f>12*'01 - Dados de Entrada'!$C$220*'04 - Veículos e Equipamentos'!Y66</f>
        <v>21144</v>
      </c>
      <c r="AA96" s="273">
        <f>12*'01 - Dados de Entrada'!$C$220*'04 - Veículos e Equipamentos'!Z66</f>
        <v>21144</v>
      </c>
      <c r="AB96" s="273">
        <f>12*'01 - Dados de Entrada'!$C$220*'04 - Veículos e Equipamentos'!AA66</f>
        <v>21144</v>
      </c>
      <c r="AC96" s="273">
        <f>12*'01 - Dados de Entrada'!$C$220*'04 - Veículos e Equipamentos'!AB66</f>
        <v>21144</v>
      </c>
      <c r="AD96" s="273">
        <f>12*'01 - Dados de Entrada'!$C$220*'04 - Veículos e Equipamentos'!AC66</f>
        <v>21144</v>
      </c>
      <c r="AE96" s="273">
        <f>12*'01 - Dados de Entrada'!$C$220*'04 - Veículos e Equipamentos'!AD66</f>
        <v>21144</v>
      </c>
      <c r="AF96" s="273">
        <f>12*'01 - Dados de Entrada'!$C$220*'04 - Veículos e Equipamentos'!AE66</f>
        <v>21144</v>
      </c>
      <c r="AG96" s="273">
        <f>12*'01 - Dados de Entrada'!$C$220*'04 - Veículos e Equipamentos'!AF66</f>
        <v>21144</v>
      </c>
      <c r="AH96" s="273">
        <f>12*'01 - Dados de Entrada'!$C$220*'04 - Veículos e Equipamentos'!AG66</f>
        <v>21144</v>
      </c>
      <c r="AI96" s="273">
        <f>12*'01 - Dados de Entrada'!$C$220*'04 - Veículos e Equipamentos'!AH66</f>
        <v>21144</v>
      </c>
      <c r="AJ96" s="273">
        <f>12*'01 - Dados de Entrada'!$C$220*'04 - Veículos e Equipamentos'!AI66</f>
        <v>21144</v>
      </c>
      <c r="AK96" s="273">
        <f>12*'01 - Dados de Entrada'!$C$220*'04 - Veículos e Equipamentos'!AJ66</f>
        <v>21144</v>
      </c>
    </row>
    <row r="97" spans="1:37" s="152" customFormat="1" ht="13.15" customHeight="1" x14ac:dyDescent="0.2">
      <c r="A97" s="147" t="s">
        <v>937</v>
      </c>
      <c r="B97" s="272">
        <f t="shared" si="2"/>
        <v>40002.162162162182</v>
      </c>
      <c r="C97" s="273">
        <f>C96/'01 - Dados de Entrada'!$C$240</f>
        <v>1142.918918918919</v>
      </c>
      <c r="D97" s="273">
        <f>D96/'01 - Dados de Entrada'!$C$240</f>
        <v>1142.918918918919</v>
      </c>
      <c r="E97" s="273">
        <f>E96/'01 - Dados de Entrada'!$C$240</f>
        <v>1142.918918918919</v>
      </c>
      <c r="F97" s="273">
        <f>F96/'01 - Dados de Entrada'!$C$240</f>
        <v>1142.918918918919</v>
      </c>
      <c r="G97" s="273">
        <f>G96/'01 - Dados de Entrada'!$C$240</f>
        <v>1142.918918918919</v>
      </c>
      <c r="H97" s="273">
        <f>H96/'01 - Dados de Entrada'!$C$240</f>
        <v>1142.918918918919</v>
      </c>
      <c r="I97" s="273">
        <f>I96/'01 - Dados de Entrada'!$C$240</f>
        <v>1142.918918918919</v>
      </c>
      <c r="J97" s="273">
        <f>J96/'01 - Dados de Entrada'!$C$240</f>
        <v>1142.918918918919</v>
      </c>
      <c r="K97" s="273">
        <f>K96/'01 - Dados de Entrada'!$C$240</f>
        <v>1142.918918918919</v>
      </c>
      <c r="L97" s="273">
        <f>L96/'01 - Dados de Entrada'!$C$240</f>
        <v>1142.918918918919</v>
      </c>
      <c r="M97" s="273">
        <f>M96/'01 - Dados de Entrada'!$C$240</f>
        <v>1142.918918918919</v>
      </c>
      <c r="N97" s="273">
        <f>N96/'01 - Dados de Entrada'!$C$240</f>
        <v>1142.918918918919</v>
      </c>
      <c r="O97" s="273">
        <f>O96/'01 - Dados de Entrada'!$C$240</f>
        <v>1142.918918918919</v>
      </c>
      <c r="P97" s="273">
        <f>P96/'01 - Dados de Entrada'!$C$240</f>
        <v>1142.918918918919</v>
      </c>
      <c r="Q97" s="273">
        <f>Q96/'01 - Dados de Entrada'!$C$240</f>
        <v>1142.918918918919</v>
      </c>
      <c r="R97" s="273">
        <f>R96/'01 - Dados de Entrada'!$C$240</f>
        <v>1142.918918918919</v>
      </c>
      <c r="S97" s="273">
        <f>S96/'01 - Dados de Entrada'!$C$240</f>
        <v>1142.918918918919</v>
      </c>
      <c r="T97" s="273">
        <f>T96/'01 - Dados de Entrada'!$C$240</f>
        <v>1142.918918918919</v>
      </c>
      <c r="U97" s="273">
        <f>U96/'01 - Dados de Entrada'!$C$240</f>
        <v>1142.918918918919</v>
      </c>
      <c r="V97" s="273">
        <f>V96/'01 - Dados de Entrada'!$C$240</f>
        <v>1142.918918918919</v>
      </c>
      <c r="W97" s="273">
        <f>W96/'01 - Dados de Entrada'!$C$240</f>
        <v>1142.918918918919</v>
      </c>
      <c r="X97" s="273">
        <f>X96/'01 - Dados de Entrada'!$C$240</f>
        <v>1142.918918918919</v>
      </c>
      <c r="Y97" s="273">
        <f>Y96/'01 - Dados de Entrada'!$C$240</f>
        <v>1142.918918918919</v>
      </c>
      <c r="Z97" s="273">
        <f>Z96/'01 - Dados de Entrada'!$C$240</f>
        <v>1142.918918918919</v>
      </c>
      <c r="AA97" s="273">
        <f>AA96/'01 - Dados de Entrada'!$C$240</f>
        <v>1142.918918918919</v>
      </c>
      <c r="AB97" s="273">
        <f>AB96/'01 - Dados de Entrada'!$C$240</f>
        <v>1142.918918918919</v>
      </c>
      <c r="AC97" s="273">
        <f>AC96/'01 - Dados de Entrada'!$C$240</f>
        <v>1142.918918918919</v>
      </c>
      <c r="AD97" s="273">
        <f>AD96/'01 - Dados de Entrada'!$C$240</f>
        <v>1142.918918918919</v>
      </c>
      <c r="AE97" s="273">
        <f>AE96/'01 - Dados de Entrada'!$C$240</f>
        <v>1142.918918918919</v>
      </c>
      <c r="AF97" s="273">
        <f>AF96/'01 - Dados de Entrada'!$C$240</f>
        <v>1142.918918918919</v>
      </c>
      <c r="AG97" s="273">
        <f>AG96/'01 - Dados de Entrada'!$C$240</f>
        <v>1142.918918918919</v>
      </c>
      <c r="AH97" s="273">
        <f>AH96/'01 - Dados de Entrada'!$C$240</f>
        <v>1142.918918918919</v>
      </c>
      <c r="AI97" s="273">
        <f>AI96/'01 - Dados de Entrada'!$C$240</f>
        <v>1142.918918918919</v>
      </c>
      <c r="AJ97" s="273">
        <f>AJ96/'01 - Dados de Entrada'!$C$240</f>
        <v>1142.918918918919</v>
      </c>
      <c r="AK97" s="273">
        <f>AK96/'01 - Dados de Entrada'!$C$240</f>
        <v>1142.918918918919</v>
      </c>
    </row>
    <row r="98" spans="1:37" s="152" customFormat="1" ht="13.15" customHeight="1" x14ac:dyDescent="0.2">
      <c r="A98" s="147" t="s">
        <v>938</v>
      </c>
      <c r="B98" s="272">
        <f t="shared" si="2"/>
        <v>240412.9945945947</v>
      </c>
      <c r="C98" s="148">
        <f>C97*'01 - Dados de Entrada'!$C$117</f>
        <v>6868.9427027027023</v>
      </c>
      <c r="D98" s="148">
        <f>D97*'01 - Dados de Entrada'!$C$117</f>
        <v>6868.9427027027023</v>
      </c>
      <c r="E98" s="148">
        <f>E97*'01 - Dados de Entrada'!$C$117</f>
        <v>6868.9427027027023</v>
      </c>
      <c r="F98" s="148">
        <f>F97*'01 - Dados de Entrada'!$C$117</f>
        <v>6868.9427027027023</v>
      </c>
      <c r="G98" s="148">
        <f>G97*'01 - Dados de Entrada'!$C$117</f>
        <v>6868.9427027027023</v>
      </c>
      <c r="H98" s="148">
        <f>H97*'01 - Dados de Entrada'!$C$117</f>
        <v>6868.9427027027023</v>
      </c>
      <c r="I98" s="148">
        <f>I97*'01 - Dados de Entrada'!$C$117</f>
        <v>6868.9427027027023</v>
      </c>
      <c r="J98" s="148">
        <f>J97*'01 - Dados de Entrada'!$C$117</f>
        <v>6868.9427027027023</v>
      </c>
      <c r="K98" s="148">
        <f>K97*'01 - Dados de Entrada'!$C$117</f>
        <v>6868.9427027027023</v>
      </c>
      <c r="L98" s="148">
        <f>L97*'01 - Dados de Entrada'!$C$117</f>
        <v>6868.9427027027023</v>
      </c>
      <c r="M98" s="148">
        <f>M97*'01 - Dados de Entrada'!$C$117</f>
        <v>6868.9427027027023</v>
      </c>
      <c r="N98" s="148">
        <f>N97*'01 - Dados de Entrada'!$C$117</f>
        <v>6868.9427027027023</v>
      </c>
      <c r="O98" s="148">
        <f>O97*'01 - Dados de Entrada'!$C$117</f>
        <v>6868.9427027027023</v>
      </c>
      <c r="P98" s="148">
        <f>P97*'01 - Dados de Entrada'!$C$117</f>
        <v>6868.9427027027023</v>
      </c>
      <c r="Q98" s="148">
        <f>Q97*'01 - Dados de Entrada'!$C$117</f>
        <v>6868.9427027027023</v>
      </c>
      <c r="R98" s="148">
        <f>R97*'01 - Dados de Entrada'!$C$117</f>
        <v>6868.9427027027023</v>
      </c>
      <c r="S98" s="148">
        <f>S97*'01 - Dados de Entrada'!$C$117</f>
        <v>6868.9427027027023</v>
      </c>
      <c r="T98" s="148">
        <f>T97*'01 - Dados de Entrada'!$C$117</f>
        <v>6868.9427027027023</v>
      </c>
      <c r="U98" s="148">
        <f>U97*'01 - Dados de Entrada'!$C$117</f>
        <v>6868.9427027027023</v>
      </c>
      <c r="V98" s="148">
        <f>V97*'01 - Dados de Entrada'!$C$117</f>
        <v>6868.9427027027023</v>
      </c>
      <c r="W98" s="148">
        <f>W97*'01 - Dados de Entrada'!$C$117</f>
        <v>6868.9427027027023</v>
      </c>
      <c r="X98" s="148">
        <f>X97*'01 - Dados de Entrada'!$C$117</f>
        <v>6868.9427027027023</v>
      </c>
      <c r="Y98" s="148">
        <f>Y97*'01 - Dados de Entrada'!$C$117</f>
        <v>6868.9427027027023</v>
      </c>
      <c r="Z98" s="148">
        <f>Z97*'01 - Dados de Entrada'!$C$117</f>
        <v>6868.9427027027023</v>
      </c>
      <c r="AA98" s="148">
        <f>AA97*'01 - Dados de Entrada'!$C$117</f>
        <v>6868.9427027027023</v>
      </c>
      <c r="AB98" s="148">
        <f>AB97*'01 - Dados de Entrada'!$C$117</f>
        <v>6868.9427027027023</v>
      </c>
      <c r="AC98" s="148">
        <f>AC97*'01 - Dados de Entrada'!$C$117</f>
        <v>6868.9427027027023</v>
      </c>
      <c r="AD98" s="148">
        <f>AD97*'01 - Dados de Entrada'!$C$117</f>
        <v>6868.9427027027023</v>
      </c>
      <c r="AE98" s="148">
        <f>AE97*'01 - Dados de Entrada'!$C$117</f>
        <v>6868.9427027027023</v>
      </c>
      <c r="AF98" s="148">
        <f>AF97*'01 - Dados de Entrada'!$C$117</f>
        <v>6868.9427027027023</v>
      </c>
      <c r="AG98" s="148">
        <f>AG97*'01 - Dados de Entrada'!$C$117</f>
        <v>6868.9427027027023</v>
      </c>
      <c r="AH98" s="148">
        <f>AH97*'01 - Dados de Entrada'!$C$117</f>
        <v>6868.9427027027023</v>
      </c>
      <c r="AI98" s="148">
        <f>AI97*'01 - Dados de Entrada'!$C$117</f>
        <v>6868.9427027027023</v>
      </c>
      <c r="AJ98" s="148">
        <f>AJ97*'01 - Dados de Entrada'!$C$117</f>
        <v>6868.9427027027023</v>
      </c>
      <c r="AK98" s="148">
        <f>AK97*'01 - Dados de Entrada'!$C$117</f>
        <v>6868.9427027027023</v>
      </c>
    </row>
    <row r="99" spans="1:37" s="152" customFormat="1" ht="13.15" customHeight="1" x14ac:dyDescent="0.2">
      <c r="A99" s="271" t="s">
        <v>964</v>
      </c>
      <c r="B99" s="272"/>
      <c r="C99" s="148"/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</row>
    <row r="100" spans="1:37" s="152" customFormat="1" ht="13.15" customHeight="1" x14ac:dyDescent="0.2">
      <c r="A100" s="147" t="s">
        <v>947</v>
      </c>
      <c r="B100" s="272">
        <f t="shared" si="2"/>
        <v>63000</v>
      </c>
      <c r="C100" s="273">
        <f>12*'01 - Dados de Entrada'!$C$221*'04 - Veículos e Equipamentos'!B67</f>
        <v>1800</v>
      </c>
      <c r="D100" s="273">
        <f>12*'01 - Dados de Entrada'!$C$221*'04 - Veículos e Equipamentos'!C67</f>
        <v>1800</v>
      </c>
      <c r="E100" s="273">
        <f>12*'01 - Dados de Entrada'!$C$221*'04 - Veículos e Equipamentos'!D67</f>
        <v>1800</v>
      </c>
      <c r="F100" s="273">
        <f>12*'01 - Dados de Entrada'!$C$221*'04 - Veículos e Equipamentos'!E67</f>
        <v>1800</v>
      </c>
      <c r="G100" s="273">
        <f>12*'01 - Dados de Entrada'!$C$221*'04 - Veículos e Equipamentos'!F67</f>
        <v>1800</v>
      </c>
      <c r="H100" s="273">
        <f>12*'01 - Dados de Entrada'!$C$221*'04 - Veículos e Equipamentos'!G67</f>
        <v>1800</v>
      </c>
      <c r="I100" s="273">
        <f>12*'01 - Dados de Entrada'!$C$221*'04 - Veículos e Equipamentos'!H67</f>
        <v>1800</v>
      </c>
      <c r="J100" s="273">
        <f>12*'01 - Dados de Entrada'!$C$221*'04 - Veículos e Equipamentos'!I67</f>
        <v>1800</v>
      </c>
      <c r="K100" s="273">
        <f>12*'01 - Dados de Entrada'!$C$221*'04 - Veículos e Equipamentos'!J67</f>
        <v>1800</v>
      </c>
      <c r="L100" s="273">
        <f>12*'01 - Dados de Entrada'!$C$221*'04 - Veículos e Equipamentos'!K67</f>
        <v>1800</v>
      </c>
      <c r="M100" s="273">
        <f>12*'01 - Dados de Entrada'!$C$221*'04 - Veículos e Equipamentos'!L67</f>
        <v>1800</v>
      </c>
      <c r="N100" s="273">
        <f>12*'01 - Dados de Entrada'!$C$221*'04 - Veículos e Equipamentos'!M67</f>
        <v>1800</v>
      </c>
      <c r="O100" s="273">
        <f>12*'01 - Dados de Entrada'!$C$221*'04 - Veículos e Equipamentos'!N67</f>
        <v>1800</v>
      </c>
      <c r="P100" s="273">
        <f>12*'01 - Dados de Entrada'!$C$221*'04 - Veículos e Equipamentos'!O67</f>
        <v>1800</v>
      </c>
      <c r="Q100" s="273">
        <f>12*'01 - Dados de Entrada'!$C$221*'04 - Veículos e Equipamentos'!P67</f>
        <v>1800</v>
      </c>
      <c r="R100" s="273">
        <f>12*'01 - Dados de Entrada'!$C$221*'04 - Veículos e Equipamentos'!Q67</f>
        <v>1800</v>
      </c>
      <c r="S100" s="273">
        <f>12*'01 - Dados de Entrada'!$C$221*'04 - Veículos e Equipamentos'!R67</f>
        <v>1800</v>
      </c>
      <c r="T100" s="273">
        <f>12*'01 - Dados de Entrada'!$C$221*'04 - Veículos e Equipamentos'!S67</f>
        <v>1800</v>
      </c>
      <c r="U100" s="273">
        <f>12*'01 - Dados de Entrada'!$C$221*'04 - Veículos e Equipamentos'!T67</f>
        <v>1800</v>
      </c>
      <c r="V100" s="273">
        <f>12*'01 - Dados de Entrada'!$C$221*'04 - Veículos e Equipamentos'!U67</f>
        <v>1800</v>
      </c>
      <c r="W100" s="273">
        <f>12*'01 - Dados de Entrada'!$C$221*'04 - Veículos e Equipamentos'!V67</f>
        <v>1800</v>
      </c>
      <c r="X100" s="273">
        <f>12*'01 - Dados de Entrada'!$C$221*'04 - Veículos e Equipamentos'!W67</f>
        <v>1800</v>
      </c>
      <c r="Y100" s="273">
        <f>12*'01 - Dados de Entrada'!$C$221*'04 - Veículos e Equipamentos'!X67</f>
        <v>1800</v>
      </c>
      <c r="Z100" s="273">
        <f>12*'01 - Dados de Entrada'!$C$221*'04 - Veículos e Equipamentos'!Y67</f>
        <v>1800</v>
      </c>
      <c r="AA100" s="273">
        <f>12*'01 - Dados de Entrada'!$C$221*'04 - Veículos e Equipamentos'!Z67</f>
        <v>1800</v>
      </c>
      <c r="AB100" s="273">
        <f>12*'01 - Dados de Entrada'!$C$221*'04 - Veículos e Equipamentos'!AA67</f>
        <v>1800</v>
      </c>
      <c r="AC100" s="273">
        <f>12*'01 - Dados de Entrada'!$C$221*'04 - Veículos e Equipamentos'!AB67</f>
        <v>1800</v>
      </c>
      <c r="AD100" s="273">
        <f>12*'01 - Dados de Entrada'!$C$221*'04 - Veículos e Equipamentos'!AC67</f>
        <v>1800</v>
      </c>
      <c r="AE100" s="273">
        <f>12*'01 - Dados de Entrada'!$C$221*'04 - Veículos e Equipamentos'!AD67</f>
        <v>1800</v>
      </c>
      <c r="AF100" s="273">
        <f>12*'01 - Dados de Entrada'!$C$221*'04 - Veículos e Equipamentos'!AE67</f>
        <v>1800</v>
      </c>
      <c r="AG100" s="273">
        <f>12*'01 - Dados de Entrada'!$C$221*'04 - Veículos e Equipamentos'!AF67</f>
        <v>1800</v>
      </c>
      <c r="AH100" s="273">
        <f>12*'01 - Dados de Entrada'!$C$221*'04 - Veículos e Equipamentos'!AG67</f>
        <v>1800</v>
      </c>
      <c r="AI100" s="273">
        <f>12*'01 - Dados de Entrada'!$C$221*'04 - Veículos e Equipamentos'!AH67</f>
        <v>1800</v>
      </c>
      <c r="AJ100" s="273">
        <f>12*'01 - Dados de Entrada'!$C$221*'04 - Veículos e Equipamentos'!AI67</f>
        <v>1800</v>
      </c>
      <c r="AK100" s="273">
        <f>12*'01 - Dados de Entrada'!$C$221*'04 - Veículos e Equipamentos'!AJ67</f>
        <v>1800</v>
      </c>
    </row>
    <row r="101" spans="1:37" s="152" customFormat="1" ht="13.15" customHeight="1" x14ac:dyDescent="0.2">
      <c r="A101" s="147" t="s">
        <v>937</v>
      </c>
      <c r="B101" s="272">
        <f t="shared" si="2"/>
        <v>133753.84615384627</v>
      </c>
      <c r="C101" s="273">
        <f>C100/'01 - Dados de Entrada'!$C$235</f>
        <v>3821.5384615384619</v>
      </c>
      <c r="D101" s="273">
        <f>D100/'01 - Dados de Entrada'!$C$235</f>
        <v>3821.5384615384619</v>
      </c>
      <c r="E101" s="273">
        <f>E100/'01 - Dados de Entrada'!$C$235</f>
        <v>3821.5384615384619</v>
      </c>
      <c r="F101" s="273">
        <f>F100/'01 - Dados de Entrada'!$C$235</f>
        <v>3821.5384615384619</v>
      </c>
      <c r="G101" s="273">
        <f>G100/'01 - Dados de Entrada'!$C$235</f>
        <v>3821.5384615384619</v>
      </c>
      <c r="H101" s="273">
        <f>H100/'01 - Dados de Entrada'!$C$235</f>
        <v>3821.5384615384619</v>
      </c>
      <c r="I101" s="273">
        <f>I100/'01 - Dados de Entrada'!$C$235</f>
        <v>3821.5384615384619</v>
      </c>
      <c r="J101" s="273">
        <f>J100/'01 - Dados de Entrada'!$C$235</f>
        <v>3821.5384615384619</v>
      </c>
      <c r="K101" s="273">
        <f>K100/'01 - Dados de Entrada'!$C$235</f>
        <v>3821.5384615384619</v>
      </c>
      <c r="L101" s="273">
        <f>L100/'01 - Dados de Entrada'!$C$235</f>
        <v>3821.5384615384619</v>
      </c>
      <c r="M101" s="273">
        <f>M100/'01 - Dados de Entrada'!$C$235</f>
        <v>3821.5384615384619</v>
      </c>
      <c r="N101" s="273">
        <f>N100/'01 - Dados de Entrada'!$C$235</f>
        <v>3821.5384615384619</v>
      </c>
      <c r="O101" s="273">
        <f>O100/'01 - Dados de Entrada'!$C$235</f>
        <v>3821.5384615384619</v>
      </c>
      <c r="P101" s="273">
        <f>P100/'01 - Dados de Entrada'!$C$235</f>
        <v>3821.5384615384619</v>
      </c>
      <c r="Q101" s="273">
        <f>Q100/'01 - Dados de Entrada'!$C$235</f>
        <v>3821.5384615384619</v>
      </c>
      <c r="R101" s="273">
        <f>R100/'01 - Dados de Entrada'!$C$235</f>
        <v>3821.5384615384619</v>
      </c>
      <c r="S101" s="273">
        <f>S100/'01 - Dados de Entrada'!$C$235</f>
        <v>3821.5384615384619</v>
      </c>
      <c r="T101" s="273">
        <f>T100/'01 - Dados de Entrada'!$C$235</f>
        <v>3821.5384615384619</v>
      </c>
      <c r="U101" s="273">
        <f>U100/'01 - Dados de Entrada'!$C$235</f>
        <v>3821.5384615384619</v>
      </c>
      <c r="V101" s="273">
        <f>V100/'01 - Dados de Entrada'!$C$235</f>
        <v>3821.5384615384619</v>
      </c>
      <c r="W101" s="273">
        <f>W100/'01 - Dados de Entrada'!$C$235</f>
        <v>3821.5384615384619</v>
      </c>
      <c r="X101" s="273">
        <f>X100/'01 - Dados de Entrada'!$C$235</f>
        <v>3821.5384615384619</v>
      </c>
      <c r="Y101" s="273">
        <f>Y100/'01 - Dados de Entrada'!$C$235</f>
        <v>3821.5384615384619</v>
      </c>
      <c r="Z101" s="273">
        <f>Z100/'01 - Dados de Entrada'!$C$235</f>
        <v>3821.5384615384619</v>
      </c>
      <c r="AA101" s="273">
        <f>AA100/'01 - Dados de Entrada'!$C$235</f>
        <v>3821.5384615384619</v>
      </c>
      <c r="AB101" s="273">
        <f>AB100/'01 - Dados de Entrada'!$C$235</f>
        <v>3821.5384615384619</v>
      </c>
      <c r="AC101" s="273">
        <f>AC100/'01 - Dados de Entrada'!$C$235</f>
        <v>3821.5384615384619</v>
      </c>
      <c r="AD101" s="273">
        <f>AD100/'01 - Dados de Entrada'!$C$235</f>
        <v>3821.5384615384619</v>
      </c>
      <c r="AE101" s="273">
        <f>AE100/'01 - Dados de Entrada'!$C$235</f>
        <v>3821.5384615384619</v>
      </c>
      <c r="AF101" s="273">
        <f>AF100/'01 - Dados de Entrada'!$C$235</f>
        <v>3821.5384615384619</v>
      </c>
      <c r="AG101" s="273">
        <f>AG100/'01 - Dados de Entrada'!$C$235</f>
        <v>3821.5384615384619</v>
      </c>
      <c r="AH101" s="273">
        <f>AH100/'01 - Dados de Entrada'!$C$235</f>
        <v>3821.5384615384619</v>
      </c>
      <c r="AI101" s="273">
        <f>AI100/'01 - Dados de Entrada'!$C$235</f>
        <v>3821.5384615384619</v>
      </c>
      <c r="AJ101" s="273">
        <f>AJ100/'01 - Dados de Entrada'!$C$235</f>
        <v>3821.5384615384619</v>
      </c>
      <c r="AK101" s="273">
        <f>AK100/'01 - Dados de Entrada'!$C$235</f>
        <v>3821.5384615384619</v>
      </c>
    </row>
    <row r="102" spans="1:37" s="152" customFormat="1" ht="13.15" customHeight="1" x14ac:dyDescent="0.2">
      <c r="A102" s="147" t="s">
        <v>938</v>
      </c>
      <c r="B102" s="272">
        <f t="shared" si="2"/>
        <v>803860.61538461491</v>
      </c>
      <c r="C102" s="148">
        <f>C101*'01 - Dados de Entrada'!$C$117</f>
        <v>22967.446153846155</v>
      </c>
      <c r="D102" s="148">
        <f>D101*'01 - Dados de Entrada'!$C$117</f>
        <v>22967.446153846155</v>
      </c>
      <c r="E102" s="148">
        <f>E101*'01 - Dados de Entrada'!$C$117</f>
        <v>22967.446153846155</v>
      </c>
      <c r="F102" s="148">
        <f>F101*'01 - Dados de Entrada'!$C$117</f>
        <v>22967.446153846155</v>
      </c>
      <c r="G102" s="148">
        <f>G101*'01 - Dados de Entrada'!$C$117</f>
        <v>22967.446153846155</v>
      </c>
      <c r="H102" s="148">
        <f>H101*'01 - Dados de Entrada'!$C$117</f>
        <v>22967.446153846155</v>
      </c>
      <c r="I102" s="148">
        <f>I101*'01 - Dados de Entrada'!$C$117</f>
        <v>22967.446153846155</v>
      </c>
      <c r="J102" s="148">
        <f>J101*'01 - Dados de Entrada'!$C$117</f>
        <v>22967.446153846155</v>
      </c>
      <c r="K102" s="148">
        <f>K101*'01 - Dados de Entrada'!$C$117</f>
        <v>22967.446153846155</v>
      </c>
      <c r="L102" s="148">
        <f>L101*'01 - Dados de Entrada'!$C$117</f>
        <v>22967.446153846155</v>
      </c>
      <c r="M102" s="148">
        <f>M101*'01 - Dados de Entrada'!$C$117</f>
        <v>22967.446153846155</v>
      </c>
      <c r="N102" s="148">
        <f>N101*'01 - Dados de Entrada'!$C$117</f>
        <v>22967.446153846155</v>
      </c>
      <c r="O102" s="148">
        <f>O101*'01 - Dados de Entrada'!$C$117</f>
        <v>22967.446153846155</v>
      </c>
      <c r="P102" s="148">
        <f>P101*'01 - Dados de Entrada'!$C$117</f>
        <v>22967.446153846155</v>
      </c>
      <c r="Q102" s="148">
        <f>Q101*'01 - Dados de Entrada'!$C$117</f>
        <v>22967.446153846155</v>
      </c>
      <c r="R102" s="148">
        <f>R101*'01 - Dados de Entrada'!$C$117</f>
        <v>22967.446153846155</v>
      </c>
      <c r="S102" s="148">
        <f>S101*'01 - Dados de Entrada'!$C$117</f>
        <v>22967.446153846155</v>
      </c>
      <c r="T102" s="148">
        <f>T101*'01 - Dados de Entrada'!$C$117</f>
        <v>22967.446153846155</v>
      </c>
      <c r="U102" s="148">
        <f>U101*'01 - Dados de Entrada'!$C$117</f>
        <v>22967.446153846155</v>
      </c>
      <c r="V102" s="148">
        <f>V101*'01 - Dados de Entrada'!$C$117</f>
        <v>22967.446153846155</v>
      </c>
      <c r="W102" s="148">
        <f>W101*'01 - Dados de Entrada'!$C$117</f>
        <v>22967.446153846155</v>
      </c>
      <c r="X102" s="148">
        <f>X101*'01 - Dados de Entrada'!$C$117</f>
        <v>22967.446153846155</v>
      </c>
      <c r="Y102" s="148">
        <f>Y101*'01 - Dados de Entrada'!$C$117</f>
        <v>22967.446153846155</v>
      </c>
      <c r="Z102" s="148">
        <f>Z101*'01 - Dados de Entrada'!$C$117</f>
        <v>22967.446153846155</v>
      </c>
      <c r="AA102" s="148">
        <f>AA101*'01 - Dados de Entrada'!$C$117</f>
        <v>22967.446153846155</v>
      </c>
      <c r="AB102" s="148">
        <f>AB101*'01 - Dados de Entrada'!$C$117</f>
        <v>22967.446153846155</v>
      </c>
      <c r="AC102" s="148">
        <f>AC101*'01 - Dados de Entrada'!$C$117</f>
        <v>22967.446153846155</v>
      </c>
      <c r="AD102" s="148">
        <f>AD101*'01 - Dados de Entrada'!$C$117</f>
        <v>22967.446153846155</v>
      </c>
      <c r="AE102" s="148">
        <f>AE101*'01 - Dados de Entrada'!$C$117</f>
        <v>22967.446153846155</v>
      </c>
      <c r="AF102" s="148">
        <f>AF101*'01 - Dados de Entrada'!$C$117</f>
        <v>22967.446153846155</v>
      </c>
      <c r="AG102" s="148">
        <f>AG101*'01 - Dados de Entrada'!$C$117</f>
        <v>22967.446153846155</v>
      </c>
      <c r="AH102" s="148">
        <f>AH101*'01 - Dados de Entrada'!$C$117</f>
        <v>22967.446153846155</v>
      </c>
      <c r="AI102" s="148">
        <f>AI101*'01 - Dados de Entrada'!$C$117</f>
        <v>22967.446153846155</v>
      </c>
      <c r="AJ102" s="148">
        <f>AJ101*'01 - Dados de Entrada'!$C$117</f>
        <v>22967.446153846155</v>
      </c>
      <c r="AK102" s="148">
        <f>AK101*'01 - Dados de Entrada'!$C$117</f>
        <v>22967.446153846155</v>
      </c>
    </row>
    <row r="103" spans="1:37" s="152" customFormat="1" ht="13.15" customHeight="1" x14ac:dyDescent="0.2">
      <c r="A103" s="271" t="s">
        <v>965</v>
      </c>
      <c r="B103" s="272"/>
      <c r="C103" s="148"/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/>
      <c r="U103" s="148"/>
      <c r="V103" s="148"/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8"/>
      <c r="AI103" s="148"/>
      <c r="AJ103" s="148"/>
      <c r="AK103" s="148"/>
    </row>
    <row r="104" spans="1:37" s="152" customFormat="1" ht="13.15" customHeight="1" x14ac:dyDescent="0.2">
      <c r="A104" s="147" t="s">
        <v>947</v>
      </c>
      <c r="B104" s="272">
        <f t="shared" si="2"/>
        <v>126000</v>
      </c>
      <c r="C104" s="273">
        <f>12*'01 - Dados de Entrada'!$C$222*'04 - Veículos e Equipamentos'!B69</f>
        <v>3600</v>
      </c>
      <c r="D104" s="273">
        <f>12*'01 - Dados de Entrada'!$C$222*'04 - Veículos e Equipamentos'!C69</f>
        <v>3600</v>
      </c>
      <c r="E104" s="273">
        <f>12*'01 - Dados de Entrada'!$C$222*'04 - Veículos e Equipamentos'!D69</f>
        <v>3600</v>
      </c>
      <c r="F104" s="273">
        <f>12*'01 - Dados de Entrada'!$C$222*'04 - Veículos e Equipamentos'!E69</f>
        <v>3600</v>
      </c>
      <c r="G104" s="273">
        <f>12*'01 - Dados de Entrada'!$C$222*'04 - Veículos e Equipamentos'!F69</f>
        <v>3600</v>
      </c>
      <c r="H104" s="273">
        <f>12*'01 - Dados de Entrada'!$C$222*'04 - Veículos e Equipamentos'!G69</f>
        <v>3600</v>
      </c>
      <c r="I104" s="273">
        <f>12*'01 - Dados de Entrada'!$C$222*'04 - Veículos e Equipamentos'!H69</f>
        <v>3600</v>
      </c>
      <c r="J104" s="273">
        <f>12*'01 - Dados de Entrada'!$C$222*'04 - Veículos e Equipamentos'!I69</f>
        <v>3600</v>
      </c>
      <c r="K104" s="273">
        <f>12*'01 - Dados de Entrada'!$C$222*'04 - Veículos e Equipamentos'!J69</f>
        <v>3600</v>
      </c>
      <c r="L104" s="273">
        <f>12*'01 - Dados de Entrada'!$C$222*'04 - Veículos e Equipamentos'!K69</f>
        <v>3600</v>
      </c>
      <c r="M104" s="273">
        <f>12*'01 - Dados de Entrada'!$C$222*'04 - Veículos e Equipamentos'!L69</f>
        <v>3600</v>
      </c>
      <c r="N104" s="273">
        <f>12*'01 - Dados de Entrada'!$C$222*'04 - Veículos e Equipamentos'!M69</f>
        <v>3600</v>
      </c>
      <c r="O104" s="273">
        <f>12*'01 - Dados de Entrada'!$C$222*'04 - Veículos e Equipamentos'!N69</f>
        <v>3600</v>
      </c>
      <c r="P104" s="273">
        <f>12*'01 - Dados de Entrada'!$C$222*'04 - Veículos e Equipamentos'!O69</f>
        <v>3600</v>
      </c>
      <c r="Q104" s="273">
        <f>12*'01 - Dados de Entrada'!$C$222*'04 - Veículos e Equipamentos'!P69</f>
        <v>3600</v>
      </c>
      <c r="R104" s="273">
        <f>12*'01 - Dados de Entrada'!$C$222*'04 - Veículos e Equipamentos'!Q69</f>
        <v>3600</v>
      </c>
      <c r="S104" s="273">
        <f>12*'01 - Dados de Entrada'!$C$222*'04 - Veículos e Equipamentos'!R69</f>
        <v>3600</v>
      </c>
      <c r="T104" s="273">
        <f>12*'01 - Dados de Entrada'!$C$222*'04 - Veículos e Equipamentos'!S69</f>
        <v>3600</v>
      </c>
      <c r="U104" s="273">
        <f>12*'01 - Dados de Entrada'!$C$222*'04 - Veículos e Equipamentos'!T69</f>
        <v>3600</v>
      </c>
      <c r="V104" s="273">
        <f>12*'01 - Dados de Entrada'!$C$222*'04 - Veículos e Equipamentos'!U69</f>
        <v>3600</v>
      </c>
      <c r="W104" s="273">
        <f>12*'01 - Dados de Entrada'!$C$222*'04 - Veículos e Equipamentos'!V69</f>
        <v>3600</v>
      </c>
      <c r="X104" s="273">
        <f>12*'01 - Dados de Entrada'!$C$222*'04 - Veículos e Equipamentos'!W69</f>
        <v>3600</v>
      </c>
      <c r="Y104" s="273">
        <f>12*'01 - Dados de Entrada'!$C$222*'04 - Veículos e Equipamentos'!X69</f>
        <v>3600</v>
      </c>
      <c r="Z104" s="273">
        <f>12*'01 - Dados de Entrada'!$C$222*'04 - Veículos e Equipamentos'!Y69</f>
        <v>3600</v>
      </c>
      <c r="AA104" s="273">
        <f>12*'01 - Dados de Entrada'!$C$222*'04 - Veículos e Equipamentos'!Z69</f>
        <v>3600</v>
      </c>
      <c r="AB104" s="273">
        <f>12*'01 - Dados de Entrada'!$C$222*'04 - Veículos e Equipamentos'!AA69</f>
        <v>3600</v>
      </c>
      <c r="AC104" s="273">
        <f>12*'01 - Dados de Entrada'!$C$222*'04 - Veículos e Equipamentos'!AB69</f>
        <v>3600</v>
      </c>
      <c r="AD104" s="273">
        <f>12*'01 - Dados de Entrada'!$C$222*'04 - Veículos e Equipamentos'!AC69</f>
        <v>3600</v>
      </c>
      <c r="AE104" s="273">
        <f>12*'01 - Dados de Entrada'!$C$222*'04 - Veículos e Equipamentos'!AD69</f>
        <v>3600</v>
      </c>
      <c r="AF104" s="273">
        <f>12*'01 - Dados de Entrada'!$C$222*'04 - Veículos e Equipamentos'!AE69</f>
        <v>3600</v>
      </c>
      <c r="AG104" s="273">
        <f>12*'01 - Dados de Entrada'!$C$222*'04 - Veículos e Equipamentos'!AF69</f>
        <v>3600</v>
      </c>
      <c r="AH104" s="273">
        <f>12*'01 - Dados de Entrada'!$C$222*'04 - Veículos e Equipamentos'!AG69</f>
        <v>3600</v>
      </c>
      <c r="AI104" s="273">
        <f>12*'01 - Dados de Entrada'!$C$222*'04 - Veículos e Equipamentos'!AH69</f>
        <v>3600</v>
      </c>
      <c r="AJ104" s="273">
        <f>12*'01 - Dados de Entrada'!$C$222*'04 - Veículos e Equipamentos'!AI69</f>
        <v>3600</v>
      </c>
      <c r="AK104" s="273">
        <f>12*'01 - Dados de Entrada'!$C$222*'04 - Veículos e Equipamentos'!AJ69</f>
        <v>3600</v>
      </c>
    </row>
    <row r="105" spans="1:37" s="152" customFormat="1" ht="13.15" customHeight="1" x14ac:dyDescent="0.2">
      <c r="A105" s="147" t="s">
        <v>937</v>
      </c>
      <c r="B105" s="272">
        <f t="shared" si="2"/>
        <v>116307.69230769228</v>
      </c>
      <c r="C105" s="273">
        <f>C104/'01 - Dados de Entrada'!$C$236</f>
        <v>3323.0769230769233</v>
      </c>
      <c r="D105" s="273">
        <f>D104/'01 - Dados de Entrada'!$C$236</f>
        <v>3323.0769230769233</v>
      </c>
      <c r="E105" s="273">
        <f>E104/'01 - Dados de Entrada'!$C$236</f>
        <v>3323.0769230769233</v>
      </c>
      <c r="F105" s="273">
        <f>F104/'01 - Dados de Entrada'!$C$236</f>
        <v>3323.0769230769233</v>
      </c>
      <c r="G105" s="273">
        <f>G104/'01 - Dados de Entrada'!$C$236</f>
        <v>3323.0769230769233</v>
      </c>
      <c r="H105" s="273">
        <f>H104/'01 - Dados de Entrada'!$C$236</f>
        <v>3323.0769230769233</v>
      </c>
      <c r="I105" s="273">
        <f>I104/'01 - Dados de Entrada'!$C$236</f>
        <v>3323.0769230769233</v>
      </c>
      <c r="J105" s="273">
        <f>J104/'01 - Dados de Entrada'!$C$236</f>
        <v>3323.0769230769233</v>
      </c>
      <c r="K105" s="273">
        <f>K104/'01 - Dados de Entrada'!$C$236</f>
        <v>3323.0769230769233</v>
      </c>
      <c r="L105" s="273">
        <f>L104/'01 - Dados de Entrada'!$C$236</f>
        <v>3323.0769230769233</v>
      </c>
      <c r="M105" s="273">
        <f>M104/'01 - Dados de Entrada'!$C$236</f>
        <v>3323.0769230769233</v>
      </c>
      <c r="N105" s="273">
        <f>N104/'01 - Dados de Entrada'!$C$236</f>
        <v>3323.0769230769233</v>
      </c>
      <c r="O105" s="273">
        <f>O104/'01 - Dados de Entrada'!$C$236</f>
        <v>3323.0769230769233</v>
      </c>
      <c r="P105" s="273">
        <f>P104/'01 - Dados de Entrada'!$C$236</f>
        <v>3323.0769230769233</v>
      </c>
      <c r="Q105" s="273">
        <f>Q104/'01 - Dados de Entrada'!$C$236</f>
        <v>3323.0769230769233</v>
      </c>
      <c r="R105" s="273">
        <f>R104/'01 - Dados de Entrada'!$C$236</f>
        <v>3323.0769230769233</v>
      </c>
      <c r="S105" s="273">
        <f>S104/'01 - Dados de Entrada'!$C$236</f>
        <v>3323.0769230769233</v>
      </c>
      <c r="T105" s="273">
        <f>T104/'01 - Dados de Entrada'!$C$236</f>
        <v>3323.0769230769233</v>
      </c>
      <c r="U105" s="273">
        <f>U104/'01 - Dados de Entrada'!$C$236</f>
        <v>3323.0769230769233</v>
      </c>
      <c r="V105" s="273">
        <f>V104/'01 - Dados de Entrada'!$C$236</f>
        <v>3323.0769230769233</v>
      </c>
      <c r="W105" s="273">
        <f>W104/'01 - Dados de Entrada'!$C$236</f>
        <v>3323.0769230769233</v>
      </c>
      <c r="X105" s="273">
        <f>X104/'01 - Dados de Entrada'!$C$236</f>
        <v>3323.0769230769233</v>
      </c>
      <c r="Y105" s="273">
        <f>Y104/'01 - Dados de Entrada'!$C$236</f>
        <v>3323.0769230769233</v>
      </c>
      <c r="Z105" s="273">
        <f>Z104/'01 - Dados de Entrada'!$C$236</f>
        <v>3323.0769230769233</v>
      </c>
      <c r="AA105" s="273">
        <f>AA104/'01 - Dados de Entrada'!$C$236</f>
        <v>3323.0769230769233</v>
      </c>
      <c r="AB105" s="273">
        <f>AB104/'01 - Dados de Entrada'!$C$236</f>
        <v>3323.0769230769233</v>
      </c>
      <c r="AC105" s="273">
        <f>AC104/'01 - Dados de Entrada'!$C$236</f>
        <v>3323.0769230769233</v>
      </c>
      <c r="AD105" s="273">
        <f>AD104/'01 - Dados de Entrada'!$C$236</f>
        <v>3323.0769230769233</v>
      </c>
      <c r="AE105" s="273">
        <f>AE104/'01 - Dados de Entrada'!$C$236</f>
        <v>3323.0769230769233</v>
      </c>
      <c r="AF105" s="273">
        <f>AF104/'01 - Dados de Entrada'!$C$236</f>
        <v>3323.0769230769233</v>
      </c>
      <c r="AG105" s="273">
        <f>AG104/'01 - Dados de Entrada'!$C$236</f>
        <v>3323.0769230769233</v>
      </c>
      <c r="AH105" s="273">
        <f>AH104/'01 - Dados de Entrada'!$C$236</f>
        <v>3323.0769230769233</v>
      </c>
      <c r="AI105" s="273">
        <f>AI104/'01 - Dados de Entrada'!$C$236</f>
        <v>3323.0769230769233</v>
      </c>
      <c r="AJ105" s="273">
        <f>AJ104/'01 - Dados de Entrada'!$C$236</f>
        <v>3323.0769230769233</v>
      </c>
      <c r="AK105" s="273">
        <f>AK104/'01 - Dados de Entrada'!$C$236</f>
        <v>3323.0769230769233</v>
      </c>
    </row>
    <row r="106" spans="1:37" s="152" customFormat="1" ht="13.15" customHeight="1" x14ac:dyDescent="0.2">
      <c r="A106" s="147" t="s">
        <v>938</v>
      </c>
      <c r="B106" s="272">
        <f t="shared" si="2"/>
        <v>699009.2307692304</v>
      </c>
      <c r="C106" s="148">
        <f>C105*'01 - Dados de Entrada'!$C$117</f>
        <v>19971.692307692309</v>
      </c>
      <c r="D106" s="148">
        <f>D105*'01 - Dados de Entrada'!$C$117</f>
        <v>19971.692307692309</v>
      </c>
      <c r="E106" s="148">
        <f>E105*'01 - Dados de Entrada'!$C$117</f>
        <v>19971.692307692309</v>
      </c>
      <c r="F106" s="148">
        <f>F105*'01 - Dados de Entrada'!$C$117</f>
        <v>19971.692307692309</v>
      </c>
      <c r="G106" s="148">
        <f>G105*'01 - Dados de Entrada'!$C$117</f>
        <v>19971.692307692309</v>
      </c>
      <c r="H106" s="148">
        <f>H105*'01 - Dados de Entrada'!$C$117</f>
        <v>19971.692307692309</v>
      </c>
      <c r="I106" s="148">
        <f>I105*'01 - Dados de Entrada'!$C$117</f>
        <v>19971.692307692309</v>
      </c>
      <c r="J106" s="148">
        <f>J105*'01 - Dados de Entrada'!$C$117</f>
        <v>19971.692307692309</v>
      </c>
      <c r="K106" s="148">
        <f>K105*'01 - Dados de Entrada'!$C$117</f>
        <v>19971.692307692309</v>
      </c>
      <c r="L106" s="148">
        <f>L105*'01 - Dados de Entrada'!$C$117</f>
        <v>19971.692307692309</v>
      </c>
      <c r="M106" s="148">
        <f>M105*'01 - Dados de Entrada'!$C$117</f>
        <v>19971.692307692309</v>
      </c>
      <c r="N106" s="148">
        <f>N105*'01 - Dados de Entrada'!$C$117</f>
        <v>19971.692307692309</v>
      </c>
      <c r="O106" s="148">
        <f>O105*'01 - Dados de Entrada'!$C$117</f>
        <v>19971.692307692309</v>
      </c>
      <c r="P106" s="148">
        <f>P105*'01 - Dados de Entrada'!$C$117</f>
        <v>19971.692307692309</v>
      </c>
      <c r="Q106" s="148">
        <f>Q105*'01 - Dados de Entrada'!$C$117</f>
        <v>19971.692307692309</v>
      </c>
      <c r="R106" s="148">
        <f>R105*'01 - Dados de Entrada'!$C$117</f>
        <v>19971.692307692309</v>
      </c>
      <c r="S106" s="148">
        <f>S105*'01 - Dados de Entrada'!$C$117</f>
        <v>19971.692307692309</v>
      </c>
      <c r="T106" s="148">
        <f>T105*'01 - Dados de Entrada'!$C$117</f>
        <v>19971.692307692309</v>
      </c>
      <c r="U106" s="148">
        <f>U105*'01 - Dados de Entrada'!$C$117</f>
        <v>19971.692307692309</v>
      </c>
      <c r="V106" s="148">
        <f>V105*'01 - Dados de Entrada'!$C$117</f>
        <v>19971.692307692309</v>
      </c>
      <c r="W106" s="148">
        <f>W105*'01 - Dados de Entrada'!$C$117</f>
        <v>19971.692307692309</v>
      </c>
      <c r="X106" s="148">
        <f>X105*'01 - Dados de Entrada'!$C$117</f>
        <v>19971.692307692309</v>
      </c>
      <c r="Y106" s="148">
        <f>Y105*'01 - Dados de Entrada'!$C$117</f>
        <v>19971.692307692309</v>
      </c>
      <c r="Z106" s="148">
        <f>Z105*'01 - Dados de Entrada'!$C$117</f>
        <v>19971.692307692309</v>
      </c>
      <c r="AA106" s="148">
        <f>AA105*'01 - Dados de Entrada'!$C$117</f>
        <v>19971.692307692309</v>
      </c>
      <c r="AB106" s="148">
        <f>AB105*'01 - Dados de Entrada'!$C$117</f>
        <v>19971.692307692309</v>
      </c>
      <c r="AC106" s="148">
        <f>AC105*'01 - Dados de Entrada'!$C$117</f>
        <v>19971.692307692309</v>
      </c>
      <c r="AD106" s="148">
        <f>AD105*'01 - Dados de Entrada'!$C$117</f>
        <v>19971.692307692309</v>
      </c>
      <c r="AE106" s="148">
        <f>AE105*'01 - Dados de Entrada'!$C$117</f>
        <v>19971.692307692309</v>
      </c>
      <c r="AF106" s="148">
        <f>AF105*'01 - Dados de Entrada'!$C$117</f>
        <v>19971.692307692309</v>
      </c>
      <c r="AG106" s="148">
        <f>AG105*'01 - Dados de Entrada'!$C$117</f>
        <v>19971.692307692309</v>
      </c>
      <c r="AH106" s="148">
        <f>AH105*'01 - Dados de Entrada'!$C$117</f>
        <v>19971.692307692309</v>
      </c>
      <c r="AI106" s="148">
        <f>AI105*'01 - Dados de Entrada'!$C$117</f>
        <v>19971.692307692309</v>
      </c>
      <c r="AJ106" s="148">
        <f>AJ105*'01 - Dados de Entrada'!$C$117</f>
        <v>19971.692307692309</v>
      </c>
      <c r="AK106" s="148">
        <f>AK105*'01 - Dados de Entrada'!$C$117</f>
        <v>19971.692307692309</v>
      </c>
    </row>
    <row r="107" spans="1:37" s="152" customFormat="1" ht="13.15" customHeight="1" x14ac:dyDescent="0.2">
      <c r="A107" s="271" t="s">
        <v>966</v>
      </c>
      <c r="B107" s="272"/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/>
      <c r="U107" s="148"/>
      <c r="V107" s="148"/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  <c r="AI107" s="148"/>
      <c r="AJ107" s="148"/>
      <c r="AK107" s="148"/>
    </row>
    <row r="108" spans="1:37" s="152" customFormat="1" ht="13.15" customHeight="1" x14ac:dyDescent="0.2">
      <c r="A108" s="147" t="s">
        <v>947</v>
      </c>
      <c r="B108" s="272">
        <f t="shared" si="2"/>
        <v>126000</v>
      </c>
      <c r="C108" s="273">
        <f>12*'01 - Dados de Entrada'!$C$223*'04 - Veículos e Equipamentos'!B71</f>
        <v>3600</v>
      </c>
      <c r="D108" s="273">
        <f>12*'01 - Dados de Entrada'!$C$223*'04 - Veículos e Equipamentos'!C71</f>
        <v>3600</v>
      </c>
      <c r="E108" s="273">
        <f>12*'01 - Dados de Entrada'!$C$223*'04 - Veículos e Equipamentos'!D71</f>
        <v>3600</v>
      </c>
      <c r="F108" s="273">
        <f>12*'01 - Dados de Entrada'!$C$223*'04 - Veículos e Equipamentos'!E71</f>
        <v>3600</v>
      </c>
      <c r="G108" s="273">
        <f>12*'01 - Dados de Entrada'!$C$223*'04 - Veículos e Equipamentos'!F71</f>
        <v>3600</v>
      </c>
      <c r="H108" s="273">
        <f>12*'01 - Dados de Entrada'!$C$223*'04 - Veículos e Equipamentos'!G71</f>
        <v>3600</v>
      </c>
      <c r="I108" s="273">
        <f>12*'01 - Dados de Entrada'!$C$223*'04 - Veículos e Equipamentos'!H71</f>
        <v>3600</v>
      </c>
      <c r="J108" s="273">
        <f>12*'01 - Dados de Entrada'!$C$223*'04 - Veículos e Equipamentos'!I71</f>
        <v>3600</v>
      </c>
      <c r="K108" s="273">
        <f>12*'01 - Dados de Entrada'!$C$223*'04 - Veículos e Equipamentos'!J71</f>
        <v>3600</v>
      </c>
      <c r="L108" s="273">
        <f>12*'01 - Dados de Entrada'!$C$223*'04 - Veículos e Equipamentos'!K71</f>
        <v>3600</v>
      </c>
      <c r="M108" s="273">
        <f>12*'01 - Dados de Entrada'!$C$223*'04 - Veículos e Equipamentos'!L71</f>
        <v>3600</v>
      </c>
      <c r="N108" s="273">
        <f>12*'01 - Dados de Entrada'!$C$223*'04 - Veículos e Equipamentos'!M71</f>
        <v>3600</v>
      </c>
      <c r="O108" s="273">
        <f>12*'01 - Dados de Entrada'!$C$223*'04 - Veículos e Equipamentos'!N71</f>
        <v>3600</v>
      </c>
      <c r="P108" s="273">
        <f>12*'01 - Dados de Entrada'!$C$223*'04 - Veículos e Equipamentos'!O71</f>
        <v>3600</v>
      </c>
      <c r="Q108" s="273">
        <f>12*'01 - Dados de Entrada'!$C$223*'04 - Veículos e Equipamentos'!P71</f>
        <v>3600</v>
      </c>
      <c r="R108" s="273">
        <f>12*'01 - Dados de Entrada'!$C$223*'04 - Veículos e Equipamentos'!Q71</f>
        <v>3600</v>
      </c>
      <c r="S108" s="273">
        <f>12*'01 - Dados de Entrada'!$C$223*'04 - Veículos e Equipamentos'!R71</f>
        <v>3600</v>
      </c>
      <c r="T108" s="273">
        <f>12*'01 - Dados de Entrada'!$C$223*'04 - Veículos e Equipamentos'!S71</f>
        <v>3600</v>
      </c>
      <c r="U108" s="273">
        <f>12*'01 - Dados de Entrada'!$C$223*'04 - Veículos e Equipamentos'!T71</f>
        <v>3600</v>
      </c>
      <c r="V108" s="273">
        <f>12*'01 - Dados de Entrada'!$C$223*'04 - Veículos e Equipamentos'!U71</f>
        <v>3600</v>
      </c>
      <c r="W108" s="273">
        <f>12*'01 - Dados de Entrada'!$C$223*'04 - Veículos e Equipamentos'!V71</f>
        <v>3600</v>
      </c>
      <c r="X108" s="273">
        <f>12*'01 - Dados de Entrada'!$C$223*'04 - Veículos e Equipamentos'!W71</f>
        <v>3600</v>
      </c>
      <c r="Y108" s="273">
        <f>12*'01 - Dados de Entrada'!$C$223*'04 - Veículos e Equipamentos'!X71</f>
        <v>3600</v>
      </c>
      <c r="Z108" s="273">
        <f>12*'01 - Dados de Entrada'!$C$223*'04 - Veículos e Equipamentos'!Y71</f>
        <v>3600</v>
      </c>
      <c r="AA108" s="273">
        <f>12*'01 - Dados de Entrada'!$C$223*'04 - Veículos e Equipamentos'!Z71</f>
        <v>3600</v>
      </c>
      <c r="AB108" s="273">
        <f>12*'01 - Dados de Entrada'!$C$223*'04 - Veículos e Equipamentos'!AA71</f>
        <v>3600</v>
      </c>
      <c r="AC108" s="273">
        <f>12*'01 - Dados de Entrada'!$C$223*'04 - Veículos e Equipamentos'!AB71</f>
        <v>3600</v>
      </c>
      <c r="AD108" s="273">
        <f>12*'01 - Dados de Entrada'!$C$223*'04 - Veículos e Equipamentos'!AC71</f>
        <v>3600</v>
      </c>
      <c r="AE108" s="273">
        <f>12*'01 - Dados de Entrada'!$C$223*'04 - Veículos e Equipamentos'!AD71</f>
        <v>3600</v>
      </c>
      <c r="AF108" s="273">
        <f>12*'01 - Dados de Entrada'!$C$223*'04 - Veículos e Equipamentos'!AE71</f>
        <v>3600</v>
      </c>
      <c r="AG108" s="273">
        <f>12*'01 - Dados de Entrada'!$C$223*'04 - Veículos e Equipamentos'!AF71</f>
        <v>3600</v>
      </c>
      <c r="AH108" s="273">
        <f>12*'01 - Dados de Entrada'!$C$223*'04 - Veículos e Equipamentos'!AG71</f>
        <v>3600</v>
      </c>
      <c r="AI108" s="273">
        <f>12*'01 - Dados de Entrada'!$C$223*'04 - Veículos e Equipamentos'!AH71</f>
        <v>3600</v>
      </c>
      <c r="AJ108" s="273">
        <f>12*'01 - Dados de Entrada'!$C$223*'04 - Veículos e Equipamentos'!AI71</f>
        <v>3600</v>
      </c>
      <c r="AK108" s="273">
        <f>12*'01 - Dados de Entrada'!$C$223*'04 - Veículos e Equipamentos'!AJ71</f>
        <v>3600</v>
      </c>
    </row>
    <row r="109" spans="1:37" s="152" customFormat="1" ht="13.15" customHeight="1" x14ac:dyDescent="0.2">
      <c r="A109" s="147" t="s">
        <v>937</v>
      </c>
      <c r="B109" s="272">
        <f t="shared" si="2"/>
        <v>81415.384615384581</v>
      </c>
      <c r="C109" s="273">
        <f>C108/'01 - Dados de Entrada'!$C$237</f>
        <v>2326.1538461538462</v>
      </c>
      <c r="D109" s="273">
        <f>D108/'01 - Dados de Entrada'!$C$237</f>
        <v>2326.1538461538462</v>
      </c>
      <c r="E109" s="273">
        <f>E108/'01 - Dados de Entrada'!$C$237</f>
        <v>2326.1538461538462</v>
      </c>
      <c r="F109" s="273">
        <f>F108/'01 - Dados de Entrada'!$C$237</f>
        <v>2326.1538461538462</v>
      </c>
      <c r="G109" s="273">
        <f>G108/'01 - Dados de Entrada'!$C$237</f>
        <v>2326.1538461538462</v>
      </c>
      <c r="H109" s="273">
        <f>H108/'01 - Dados de Entrada'!$C$237</f>
        <v>2326.1538461538462</v>
      </c>
      <c r="I109" s="273">
        <f>I108/'01 - Dados de Entrada'!$C$237</f>
        <v>2326.1538461538462</v>
      </c>
      <c r="J109" s="273">
        <f>J108/'01 - Dados de Entrada'!$C$237</f>
        <v>2326.1538461538462</v>
      </c>
      <c r="K109" s="273">
        <f>K108/'01 - Dados de Entrada'!$C$237</f>
        <v>2326.1538461538462</v>
      </c>
      <c r="L109" s="273">
        <f>L108/'01 - Dados de Entrada'!$C$237</f>
        <v>2326.1538461538462</v>
      </c>
      <c r="M109" s="273">
        <f>M108/'01 - Dados de Entrada'!$C$237</f>
        <v>2326.1538461538462</v>
      </c>
      <c r="N109" s="273">
        <f>N108/'01 - Dados de Entrada'!$C$237</f>
        <v>2326.1538461538462</v>
      </c>
      <c r="O109" s="273">
        <f>O108/'01 - Dados de Entrada'!$C$237</f>
        <v>2326.1538461538462</v>
      </c>
      <c r="P109" s="273">
        <f>P108/'01 - Dados de Entrada'!$C$237</f>
        <v>2326.1538461538462</v>
      </c>
      <c r="Q109" s="273">
        <f>Q108/'01 - Dados de Entrada'!$C$237</f>
        <v>2326.1538461538462</v>
      </c>
      <c r="R109" s="273">
        <f>R108/'01 - Dados de Entrada'!$C$237</f>
        <v>2326.1538461538462</v>
      </c>
      <c r="S109" s="273">
        <f>S108/'01 - Dados de Entrada'!$C$237</f>
        <v>2326.1538461538462</v>
      </c>
      <c r="T109" s="273">
        <f>T108/'01 - Dados de Entrada'!$C$237</f>
        <v>2326.1538461538462</v>
      </c>
      <c r="U109" s="273">
        <f>U108/'01 - Dados de Entrada'!$C$237</f>
        <v>2326.1538461538462</v>
      </c>
      <c r="V109" s="273">
        <f>V108/'01 - Dados de Entrada'!$C$237</f>
        <v>2326.1538461538462</v>
      </c>
      <c r="W109" s="273">
        <f>W108/'01 - Dados de Entrada'!$C$237</f>
        <v>2326.1538461538462</v>
      </c>
      <c r="X109" s="273">
        <f>X108/'01 - Dados de Entrada'!$C$237</f>
        <v>2326.1538461538462</v>
      </c>
      <c r="Y109" s="273">
        <f>Y108/'01 - Dados de Entrada'!$C$237</f>
        <v>2326.1538461538462</v>
      </c>
      <c r="Z109" s="273">
        <f>Z108/'01 - Dados de Entrada'!$C$237</f>
        <v>2326.1538461538462</v>
      </c>
      <c r="AA109" s="273">
        <f>AA108/'01 - Dados de Entrada'!$C$237</f>
        <v>2326.1538461538462</v>
      </c>
      <c r="AB109" s="273">
        <f>AB108/'01 - Dados de Entrada'!$C$237</f>
        <v>2326.1538461538462</v>
      </c>
      <c r="AC109" s="273">
        <f>AC108/'01 - Dados de Entrada'!$C$237</f>
        <v>2326.1538461538462</v>
      </c>
      <c r="AD109" s="273">
        <f>AD108/'01 - Dados de Entrada'!$C$237</f>
        <v>2326.1538461538462</v>
      </c>
      <c r="AE109" s="273">
        <f>AE108/'01 - Dados de Entrada'!$C$237</f>
        <v>2326.1538461538462</v>
      </c>
      <c r="AF109" s="273">
        <f>AF108/'01 - Dados de Entrada'!$C$237</f>
        <v>2326.1538461538462</v>
      </c>
      <c r="AG109" s="273">
        <f>AG108/'01 - Dados de Entrada'!$C$237</f>
        <v>2326.1538461538462</v>
      </c>
      <c r="AH109" s="273">
        <f>AH108/'01 - Dados de Entrada'!$C$237</f>
        <v>2326.1538461538462</v>
      </c>
      <c r="AI109" s="273">
        <f>AI108/'01 - Dados de Entrada'!$C$237</f>
        <v>2326.1538461538462</v>
      </c>
      <c r="AJ109" s="273">
        <f>AJ108/'01 - Dados de Entrada'!$C$237</f>
        <v>2326.1538461538462</v>
      </c>
      <c r="AK109" s="273">
        <f>AK108/'01 - Dados de Entrada'!$C$237</f>
        <v>2326.1538461538462</v>
      </c>
    </row>
    <row r="110" spans="1:37" s="152" customFormat="1" ht="13.15" customHeight="1" x14ac:dyDescent="0.2">
      <c r="A110" s="147" t="s">
        <v>938</v>
      </c>
      <c r="B110" s="272">
        <f t="shared" si="2"/>
        <v>489306.4615384615</v>
      </c>
      <c r="C110" s="148">
        <f>C109*'01 - Dados de Entrada'!$C$117</f>
        <v>13980.184615384615</v>
      </c>
      <c r="D110" s="148">
        <f>D109*'01 - Dados de Entrada'!$C$117</f>
        <v>13980.184615384615</v>
      </c>
      <c r="E110" s="148">
        <f>E109*'01 - Dados de Entrada'!$C$117</f>
        <v>13980.184615384615</v>
      </c>
      <c r="F110" s="148">
        <f>F109*'01 - Dados de Entrada'!$C$117</f>
        <v>13980.184615384615</v>
      </c>
      <c r="G110" s="148">
        <f>G109*'01 - Dados de Entrada'!$C$117</f>
        <v>13980.184615384615</v>
      </c>
      <c r="H110" s="148">
        <f>H109*'01 - Dados de Entrada'!$C$117</f>
        <v>13980.184615384615</v>
      </c>
      <c r="I110" s="148">
        <f>I109*'01 - Dados de Entrada'!$C$117</f>
        <v>13980.184615384615</v>
      </c>
      <c r="J110" s="148">
        <f>J109*'01 - Dados de Entrada'!$C$117</f>
        <v>13980.184615384615</v>
      </c>
      <c r="K110" s="148">
        <f>K109*'01 - Dados de Entrada'!$C$117</f>
        <v>13980.184615384615</v>
      </c>
      <c r="L110" s="148">
        <f>L109*'01 - Dados de Entrada'!$C$117</f>
        <v>13980.184615384615</v>
      </c>
      <c r="M110" s="148">
        <f>M109*'01 - Dados de Entrada'!$C$117</f>
        <v>13980.184615384615</v>
      </c>
      <c r="N110" s="148">
        <f>N109*'01 - Dados de Entrada'!$C$117</f>
        <v>13980.184615384615</v>
      </c>
      <c r="O110" s="148">
        <f>O109*'01 - Dados de Entrada'!$C$117</f>
        <v>13980.184615384615</v>
      </c>
      <c r="P110" s="148">
        <f>P109*'01 - Dados de Entrada'!$C$117</f>
        <v>13980.184615384615</v>
      </c>
      <c r="Q110" s="148">
        <f>Q109*'01 - Dados de Entrada'!$C$117</f>
        <v>13980.184615384615</v>
      </c>
      <c r="R110" s="148">
        <f>R109*'01 - Dados de Entrada'!$C$117</f>
        <v>13980.184615384615</v>
      </c>
      <c r="S110" s="148">
        <f>S109*'01 - Dados de Entrada'!$C$117</f>
        <v>13980.184615384615</v>
      </c>
      <c r="T110" s="148">
        <f>T109*'01 - Dados de Entrada'!$C$117</f>
        <v>13980.184615384615</v>
      </c>
      <c r="U110" s="148">
        <f>U109*'01 - Dados de Entrada'!$C$117</f>
        <v>13980.184615384615</v>
      </c>
      <c r="V110" s="148">
        <f>V109*'01 - Dados de Entrada'!$C$117</f>
        <v>13980.184615384615</v>
      </c>
      <c r="W110" s="148">
        <f>W109*'01 - Dados de Entrada'!$C$117</f>
        <v>13980.184615384615</v>
      </c>
      <c r="X110" s="148">
        <f>X109*'01 - Dados de Entrada'!$C$117</f>
        <v>13980.184615384615</v>
      </c>
      <c r="Y110" s="148">
        <f>Y109*'01 - Dados de Entrada'!$C$117</f>
        <v>13980.184615384615</v>
      </c>
      <c r="Z110" s="148">
        <f>Z109*'01 - Dados de Entrada'!$C$117</f>
        <v>13980.184615384615</v>
      </c>
      <c r="AA110" s="148">
        <f>AA109*'01 - Dados de Entrada'!$C$117</f>
        <v>13980.184615384615</v>
      </c>
      <c r="AB110" s="148">
        <f>AB109*'01 - Dados de Entrada'!$C$117</f>
        <v>13980.184615384615</v>
      </c>
      <c r="AC110" s="148">
        <f>AC109*'01 - Dados de Entrada'!$C$117</f>
        <v>13980.184615384615</v>
      </c>
      <c r="AD110" s="148">
        <f>AD109*'01 - Dados de Entrada'!$C$117</f>
        <v>13980.184615384615</v>
      </c>
      <c r="AE110" s="148">
        <f>AE109*'01 - Dados de Entrada'!$C$117</f>
        <v>13980.184615384615</v>
      </c>
      <c r="AF110" s="148">
        <f>AF109*'01 - Dados de Entrada'!$C$117</f>
        <v>13980.184615384615</v>
      </c>
      <c r="AG110" s="148">
        <f>AG109*'01 - Dados de Entrada'!$C$117</f>
        <v>13980.184615384615</v>
      </c>
      <c r="AH110" s="148">
        <f>AH109*'01 - Dados de Entrada'!$C$117</f>
        <v>13980.184615384615</v>
      </c>
      <c r="AI110" s="148">
        <f>AI109*'01 - Dados de Entrada'!$C$117</f>
        <v>13980.184615384615</v>
      </c>
      <c r="AJ110" s="148">
        <f>AJ109*'01 - Dados de Entrada'!$C$117</f>
        <v>13980.184615384615</v>
      </c>
      <c r="AK110" s="148">
        <f>AK109*'01 - Dados de Entrada'!$C$117</f>
        <v>13980.184615384615</v>
      </c>
    </row>
    <row r="111" spans="1:37" s="152" customFormat="1" ht="13.15" customHeight="1" x14ac:dyDescent="0.2">
      <c r="A111" s="271" t="s">
        <v>967</v>
      </c>
      <c r="B111" s="272">
        <f t="shared" si="2"/>
        <v>0</v>
      </c>
      <c r="C111" s="274"/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  <c r="Z111" s="274"/>
      <c r="AA111" s="274"/>
      <c r="AB111" s="274"/>
      <c r="AC111" s="274"/>
      <c r="AD111" s="274"/>
      <c r="AE111" s="274"/>
      <c r="AF111" s="274"/>
      <c r="AG111" s="274"/>
      <c r="AH111" s="274"/>
      <c r="AI111" s="274"/>
      <c r="AJ111" s="274"/>
      <c r="AK111" s="274"/>
    </row>
    <row r="112" spans="1:37" s="152" customFormat="1" ht="13.15" customHeight="1" x14ac:dyDescent="0.2">
      <c r="A112" s="147" t="s">
        <v>936</v>
      </c>
      <c r="B112" s="272">
        <f t="shared" si="2"/>
        <v>1480080</v>
      </c>
      <c r="C112" s="273">
        <f>12*'04 - Veículos e Equipamentos'!B74*'01 - Dados de Entrada'!$C$215</f>
        <v>42288</v>
      </c>
      <c r="D112" s="273">
        <f>12*'04 - Veículos e Equipamentos'!C74*'01 - Dados de Entrada'!$C$215</f>
        <v>42288</v>
      </c>
      <c r="E112" s="273">
        <f>12*'04 - Veículos e Equipamentos'!D74*'01 - Dados de Entrada'!$C$215</f>
        <v>42288</v>
      </c>
      <c r="F112" s="273">
        <f>12*'04 - Veículos e Equipamentos'!E74*'01 - Dados de Entrada'!$C$215</f>
        <v>42288</v>
      </c>
      <c r="G112" s="273">
        <f>12*'04 - Veículos e Equipamentos'!F74*'01 - Dados de Entrada'!$C$215</f>
        <v>42288</v>
      </c>
      <c r="H112" s="273">
        <f>12*'04 - Veículos e Equipamentos'!G74*'01 - Dados de Entrada'!$C$215</f>
        <v>42288</v>
      </c>
      <c r="I112" s="273">
        <f>12*'04 - Veículos e Equipamentos'!H74*'01 - Dados de Entrada'!$C$215</f>
        <v>42288</v>
      </c>
      <c r="J112" s="273">
        <f>12*'04 - Veículos e Equipamentos'!I74*'01 - Dados de Entrada'!$C$215</f>
        <v>42288</v>
      </c>
      <c r="K112" s="273">
        <f>12*'04 - Veículos e Equipamentos'!J74*'01 - Dados de Entrada'!$C$215</f>
        <v>42288</v>
      </c>
      <c r="L112" s="273">
        <f>12*'04 - Veículos e Equipamentos'!K74*'01 - Dados de Entrada'!$C$215</f>
        <v>42288</v>
      </c>
      <c r="M112" s="273">
        <f>12*'04 - Veículos e Equipamentos'!L74*'01 - Dados de Entrada'!$C$215</f>
        <v>42288</v>
      </c>
      <c r="N112" s="273">
        <f>12*'04 - Veículos e Equipamentos'!M74*'01 - Dados de Entrada'!$C$215</f>
        <v>42288</v>
      </c>
      <c r="O112" s="273">
        <f>12*'04 - Veículos e Equipamentos'!N74*'01 - Dados de Entrada'!$C$215</f>
        <v>42288</v>
      </c>
      <c r="P112" s="273">
        <f>12*'04 - Veículos e Equipamentos'!O74*'01 - Dados de Entrada'!$C$215</f>
        <v>42288</v>
      </c>
      <c r="Q112" s="273">
        <f>12*'04 - Veículos e Equipamentos'!P74*'01 - Dados de Entrada'!$C$215</f>
        <v>42288</v>
      </c>
      <c r="R112" s="273">
        <f>12*'04 - Veículos e Equipamentos'!Q74*'01 - Dados de Entrada'!$C$215</f>
        <v>42288</v>
      </c>
      <c r="S112" s="273">
        <f>12*'04 - Veículos e Equipamentos'!R74*'01 - Dados de Entrada'!$C$215</f>
        <v>42288</v>
      </c>
      <c r="T112" s="273">
        <f>12*'04 - Veículos e Equipamentos'!S74*'01 - Dados de Entrada'!$C$215</f>
        <v>42288</v>
      </c>
      <c r="U112" s="273">
        <f>12*'04 - Veículos e Equipamentos'!T74*'01 - Dados de Entrada'!$C$215</f>
        <v>42288</v>
      </c>
      <c r="V112" s="273">
        <f>12*'04 - Veículos e Equipamentos'!U74*'01 - Dados de Entrada'!$C$215</f>
        <v>42288</v>
      </c>
      <c r="W112" s="273">
        <f>12*'04 - Veículos e Equipamentos'!V74*'01 - Dados de Entrada'!$C$215</f>
        <v>42288</v>
      </c>
      <c r="X112" s="273">
        <f>12*'04 - Veículos e Equipamentos'!W74*'01 - Dados de Entrada'!$C$215</f>
        <v>42288</v>
      </c>
      <c r="Y112" s="273">
        <f>12*'04 - Veículos e Equipamentos'!X74*'01 - Dados de Entrada'!$C$215</f>
        <v>42288</v>
      </c>
      <c r="Z112" s="273">
        <f>12*'04 - Veículos e Equipamentos'!Y74*'01 - Dados de Entrada'!$C$215</f>
        <v>42288</v>
      </c>
      <c r="AA112" s="273">
        <f>12*'04 - Veículos e Equipamentos'!Z74*'01 - Dados de Entrada'!$C$215</f>
        <v>42288</v>
      </c>
      <c r="AB112" s="273">
        <f>12*'04 - Veículos e Equipamentos'!AA74*'01 - Dados de Entrada'!$C$215</f>
        <v>42288</v>
      </c>
      <c r="AC112" s="273">
        <f>12*'04 - Veículos e Equipamentos'!AB74*'01 - Dados de Entrada'!$C$215</f>
        <v>42288</v>
      </c>
      <c r="AD112" s="273">
        <f>12*'04 - Veículos e Equipamentos'!AC74*'01 - Dados de Entrada'!$C$215</f>
        <v>42288</v>
      </c>
      <c r="AE112" s="273">
        <f>12*'04 - Veículos e Equipamentos'!AD74*'01 - Dados de Entrada'!$C$215</f>
        <v>42288</v>
      </c>
      <c r="AF112" s="273">
        <f>12*'04 - Veículos e Equipamentos'!AE74*'01 - Dados de Entrada'!$C$215</f>
        <v>42288</v>
      </c>
      <c r="AG112" s="273">
        <f>12*'04 - Veículos e Equipamentos'!AF74*'01 - Dados de Entrada'!$C$215</f>
        <v>42288</v>
      </c>
      <c r="AH112" s="273">
        <f>12*'04 - Veículos e Equipamentos'!AG74*'01 - Dados de Entrada'!$C$215</f>
        <v>42288</v>
      </c>
      <c r="AI112" s="273">
        <f>12*'04 - Veículos e Equipamentos'!AH74*'01 - Dados de Entrada'!$C$215</f>
        <v>42288</v>
      </c>
      <c r="AJ112" s="273">
        <f>12*'04 - Veículos e Equipamentos'!AI74*'01 - Dados de Entrada'!$C$215</f>
        <v>42288</v>
      </c>
      <c r="AK112" s="273">
        <f>12*'04 - Veículos e Equipamentos'!AJ74*'01 - Dados de Entrada'!$C$215</f>
        <v>42288</v>
      </c>
    </row>
    <row r="113" spans="1:37" s="152" customFormat="1" ht="13.15" customHeight="1" x14ac:dyDescent="0.2">
      <c r="A113" s="147" t="s">
        <v>937</v>
      </c>
      <c r="B113" s="272">
        <f t="shared" si="2"/>
        <v>80004.324324324363</v>
      </c>
      <c r="C113" s="273">
        <f>C112/'01 - Dados de Entrada'!$C$240</f>
        <v>2285.8378378378379</v>
      </c>
      <c r="D113" s="273">
        <f>D112/'01 - Dados de Entrada'!$C$240</f>
        <v>2285.8378378378379</v>
      </c>
      <c r="E113" s="273">
        <f>E112/'01 - Dados de Entrada'!$C$240</f>
        <v>2285.8378378378379</v>
      </c>
      <c r="F113" s="273">
        <f>F112/'01 - Dados de Entrada'!$C$240</f>
        <v>2285.8378378378379</v>
      </c>
      <c r="G113" s="273">
        <f>G112/'01 - Dados de Entrada'!$C$240</f>
        <v>2285.8378378378379</v>
      </c>
      <c r="H113" s="273">
        <f>H112/'01 - Dados de Entrada'!$C$240</f>
        <v>2285.8378378378379</v>
      </c>
      <c r="I113" s="273">
        <f>I112/'01 - Dados de Entrada'!$C$240</f>
        <v>2285.8378378378379</v>
      </c>
      <c r="J113" s="273">
        <f>J112/'01 - Dados de Entrada'!$C$240</f>
        <v>2285.8378378378379</v>
      </c>
      <c r="K113" s="273">
        <f>K112/'01 - Dados de Entrada'!$C$240</f>
        <v>2285.8378378378379</v>
      </c>
      <c r="L113" s="273">
        <f>L112/'01 - Dados de Entrada'!$C$240</f>
        <v>2285.8378378378379</v>
      </c>
      <c r="M113" s="273">
        <f>M112/'01 - Dados de Entrada'!$C$240</f>
        <v>2285.8378378378379</v>
      </c>
      <c r="N113" s="273">
        <f>N112/'01 - Dados de Entrada'!$C$240</f>
        <v>2285.8378378378379</v>
      </c>
      <c r="O113" s="273">
        <f>O112/'01 - Dados de Entrada'!$C$240</f>
        <v>2285.8378378378379</v>
      </c>
      <c r="P113" s="273">
        <f>P112/'01 - Dados de Entrada'!$C$240</f>
        <v>2285.8378378378379</v>
      </c>
      <c r="Q113" s="273">
        <f>Q112/'01 - Dados de Entrada'!$C$240</f>
        <v>2285.8378378378379</v>
      </c>
      <c r="R113" s="273">
        <f>R112/'01 - Dados de Entrada'!$C$240</f>
        <v>2285.8378378378379</v>
      </c>
      <c r="S113" s="273">
        <f>S112/'01 - Dados de Entrada'!$C$240</f>
        <v>2285.8378378378379</v>
      </c>
      <c r="T113" s="273">
        <f>T112/'01 - Dados de Entrada'!$C$240</f>
        <v>2285.8378378378379</v>
      </c>
      <c r="U113" s="273">
        <f>U112/'01 - Dados de Entrada'!$C$240</f>
        <v>2285.8378378378379</v>
      </c>
      <c r="V113" s="273">
        <f>V112/'01 - Dados de Entrada'!$C$240</f>
        <v>2285.8378378378379</v>
      </c>
      <c r="W113" s="273">
        <f>W112/'01 - Dados de Entrada'!$C$240</f>
        <v>2285.8378378378379</v>
      </c>
      <c r="X113" s="273">
        <f>X112/'01 - Dados de Entrada'!$C$240</f>
        <v>2285.8378378378379</v>
      </c>
      <c r="Y113" s="273">
        <f>Y112/'01 - Dados de Entrada'!$C$240</f>
        <v>2285.8378378378379</v>
      </c>
      <c r="Z113" s="273">
        <f>Z112/'01 - Dados de Entrada'!$C$240</f>
        <v>2285.8378378378379</v>
      </c>
      <c r="AA113" s="273">
        <f>AA112/'01 - Dados de Entrada'!$C$240</f>
        <v>2285.8378378378379</v>
      </c>
      <c r="AB113" s="273">
        <f>AB112/'01 - Dados de Entrada'!$C$240</f>
        <v>2285.8378378378379</v>
      </c>
      <c r="AC113" s="273">
        <f>AC112/'01 - Dados de Entrada'!$C$240</f>
        <v>2285.8378378378379</v>
      </c>
      <c r="AD113" s="273">
        <f>AD112/'01 - Dados de Entrada'!$C$240</f>
        <v>2285.8378378378379</v>
      </c>
      <c r="AE113" s="273">
        <f>AE112/'01 - Dados de Entrada'!$C$240</f>
        <v>2285.8378378378379</v>
      </c>
      <c r="AF113" s="273">
        <f>AF112/'01 - Dados de Entrada'!$C$240</f>
        <v>2285.8378378378379</v>
      </c>
      <c r="AG113" s="273">
        <f>AG112/'01 - Dados de Entrada'!$C$240</f>
        <v>2285.8378378378379</v>
      </c>
      <c r="AH113" s="273">
        <f>AH112/'01 - Dados de Entrada'!$C$240</f>
        <v>2285.8378378378379</v>
      </c>
      <c r="AI113" s="273">
        <f>AI112/'01 - Dados de Entrada'!$C$240</f>
        <v>2285.8378378378379</v>
      </c>
      <c r="AJ113" s="273">
        <f>AJ112/'01 - Dados de Entrada'!$C$240</f>
        <v>2285.8378378378379</v>
      </c>
      <c r="AK113" s="273">
        <f>AK112/'01 - Dados de Entrada'!$C$240</f>
        <v>2285.8378378378379</v>
      </c>
    </row>
    <row r="114" spans="1:37" s="152" customFormat="1" ht="13.15" customHeight="1" x14ac:dyDescent="0.2">
      <c r="A114" s="147" t="s">
        <v>938</v>
      </c>
      <c r="B114" s="272">
        <f t="shared" si="2"/>
        <v>480825.98918918939</v>
      </c>
      <c r="C114" s="148">
        <f>C113*'01 - Dados de Entrada'!$C$117</f>
        <v>13737.885405405405</v>
      </c>
      <c r="D114" s="148">
        <f>D113*'01 - Dados de Entrada'!$C$117</f>
        <v>13737.885405405405</v>
      </c>
      <c r="E114" s="148">
        <f>E113*'01 - Dados de Entrada'!$C$117</f>
        <v>13737.885405405405</v>
      </c>
      <c r="F114" s="148">
        <f>F113*'01 - Dados de Entrada'!$C$117</f>
        <v>13737.885405405405</v>
      </c>
      <c r="G114" s="148">
        <f>G113*'01 - Dados de Entrada'!$C$117</f>
        <v>13737.885405405405</v>
      </c>
      <c r="H114" s="148">
        <f>H113*'01 - Dados de Entrada'!$C$117</f>
        <v>13737.885405405405</v>
      </c>
      <c r="I114" s="148">
        <f>I113*'01 - Dados de Entrada'!$C$117</f>
        <v>13737.885405405405</v>
      </c>
      <c r="J114" s="148">
        <f>J113*'01 - Dados de Entrada'!$C$117</f>
        <v>13737.885405405405</v>
      </c>
      <c r="K114" s="148">
        <f>K113*'01 - Dados de Entrada'!$C$117</f>
        <v>13737.885405405405</v>
      </c>
      <c r="L114" s="148">
        <f>L113*'01 - Dados de Entrada'!$C$117</f>
        <v>13737.885405405405</v>
      </c>
      <c r="M114" s="148">
        <f>M113*'01 - Dados de Entrada'!$C$117</f>
        <v>13737.885405405405</v>
      </c>
      <c r="N114" s="148">
        <f>N113*'01 - Dados de Entrada'!$C$117</f>
        <v>13737.885405405405</v>
      </c>
      <c r="O114" s="148">
        <f>O113*'01 - Dados de Entrada'!$C$117</f>
        <v>13737.885405405405</v>
      </c>
      <c r="P114" s="148">
        <f>P113*'01 - Dados de Entrada'!$C$117</f>
        <v>13737.885405405405</v>
      </c>
      <c r="Q114" s="148">
        <f>Q113*'01 - Dados de Entrada'!$C$117</f>
        <v>13737.885405405405</v>
      </c>
      <c r="R114" s="148">
        <f>R113*'01 - Dados de Entrada'!$C$117</f>
        <v>13737.885405405405</v>
      </c>
      <c r="S114" s="148">
        <f>S113*'01 - Dados de Entrada'!$C$117</f>
        <v>13737.885405405405</v>
      </c>
      <c r="T114" s="148">
        <f>T113*'01 - Dados de Entrada'!$C$117</f>
        <v>13737.885405405405</v>
      </c>
      <c r="U114" s="148">
        <f>U113*'01 - Dados de Entrada'!$C$117</f>
        <v>13737.885405405405</v>
      </c>
      <c r="V114" s="148">
        <f>V113*'01 - Dados de Entrada'!$C$117</f>
        <v>13737.885405405405</v>
      </c>
      <c r="W114" s="148">
        <f>W113*'01 - Dados de Entrada'!$C$117</f>
        <v>13737.885405405405</v>
      </c>
      <c r="X114" s="148">
        <f>X113*'01 - Dados de Entrada'!$C$117</f>
        <v>13737.885405405405</v>
      </c>
      <c r="Y114" s="148">
        <f>Y113*'01 - Dados de Entrada'!$C$117</f>
        <v>13737.885405405405</v>
      </c>
      <c r="Z114" s="148">
        <f>Z113*'01 - Dados de Entrada'!$C$117</f>
        <v>13737.885405405405</v>
      </c>
      <c r="AA114" s="148">
        <f>AA113*'01 - Dados de Entrada'!$C$117</f>
        <v>13737.885405405405</v>
      </c>
      <c r="AB114" s="148">
        <f>AB113*'01 - Dados de Entrada'!$C$117</f>
        <v>13737.885405405405</v>
      </c>
      <c r="AC114" s="148">
        <f>AC113*'01 - Dados de Entrada'!$C$117</f>
        <v>13737.885405405405</v>
      </c>
      <c r="AD114" s="148">
        <f>AD113*'01 - Dados de Entrada'!$C$117</f>
        <v>13737.885405405405</v>
      </c>
      <c r="AE114" s="148">
        <f>AE113*'01 - Dados de Entrada'!$C$117</f>
        <v>13737.885405405405</v>
      </c>
      <c r="AF114" s="148">
        <f>AF113*'01 - Dados de Entrada'!$C$117</f>
        <v>13737.885405405405</v>
      </c>
      <c r="AG114" s="148">
        <f>AG113*'01 - Dados de Entrada'!$C$117</f>
        <v>13737.885405405405</v>
      </c>
      <c r="AH114" s="148">
        <f>AH113*'01 - Dados de Entrada'!$C$117</f>
        <v>13737.885405405405</v>
      </c>
      <c r="AI114" s="148">
        <f>AI113*'01 - Dados de Entrada'!$C$117</f>
        <v>13737.885405405405</v>
      </c>
      <c r="AJ114" s="148">
        <f>AJ113*'01 - Dados de Entrada'!$C$117</f>
        <v>13737.885405405405</v>
      </c>
      <c r="AK114" s="148">
        <f>AK113*'01 - Dados de Entrada'!$C$117</f>
        <v>13737.885405405405</v>
      </c>
    </row>
    <row r="115" spans="1:37" s="152" customFormat="1" ht="13.15" customHeight="1" x14ac:dyDescent="0.2">
      <c r="A115" s="147"/>
      <c r="B115" s="272">
        <f t="shared" si="2"/>
        <v>0</v>
      </c>
      <c r="C115" s="148"/>
      <c r="D115" s="148"/>
      <c r="E115" s="148"/>
      <c r="F115" s="148"/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  <c r="AA115" s="148"/>
      <c r="AB115" s="148"/>
      <c r="AC115" s="148"/>
      <c r="AD115" s="148"/>
      <c r="AE115" s="148"/>
      <c r="AF115" s="148"/>
      <c r="AG115" s="148"/>
      <c r="AH115" s="148"/>
      <c r="AI115" s="148"/>
      <c r="AJ115" s="148"/>
      <c r="AK115" s="148"/>
    </row>
    <row r="116" spans="1:37" s="152" customFormat="1" ht="13.15" customHeight="1" x14ac:dyDescent="0.2">
      <c r="A116" s="271" t="s">
        <v>968</v>
      </c>
      <c r="B116" s="272">
        <f>SUM(C116:AK116)</f>
        <v>5559605.0875175996</v>
      </c>
      <c r="C116" s="274">
        <f>SUM(C117:C124)</f>
        <v>145693.01327160001</v>
      </c>
      <c r="D116" s="274">
        <f t="shared" ref="D116:AK116" si="8">SUM(D117:D124)</f>
        <v>145693.01327160001</v>
      </c>
      <c r="E116" s="274">
        <f t="shared" si="8"/>
        <v>145693.01327160001</v>
      </c>
      <c r="F116" s="274">
        <f t="shared" si="8"/>
        <v>145693.01327160001</v>
      </c>
      <c r="G116" s="274">
        <f t="shared" si="8"/>
        <v>145693.01327160001</v>
      </c>
      <c r="H116" s="274">
        <f t="shared" si="8"/>
        <v>155888.0790266</v>
      </c>
      <c r="I116" s="274">
        <f t="shared" si="8"/>
        <v>155888.0790266</v>
      </c>
      <c r="J116" s="274">
        <f t="shared" si="8"/>
        <v>161405.8522538</v>
      </c>
      <c r="K116" s="274">
        <f t="shared" si="8"/>
        <v>161405.8522538</v>
      </c>
      <c r="L116" s="274">
        <f t="shared" si="8"/>
        <v>161405.8522538</v>
      </c>
      <c r="M116" s="274">
        <f t="shared" si="8"/>
        <v>161405.8522538</v>
      </c>
      <c r="N116" s="274">
        <f t="shared" si="8"/>
        <v>161405.8522538</v>
      </c>
      <c r="O116" s="274">
        <f t="shared" si="8"/>
        <v>161405.8522538</v>
      </c>
      <c r="P116" s="274">
        <f t="shared" si="8"/>
        <v>161405.8522538</v>
      </c>
      <c r="Q116" s="274">
        <f t="shared" si="8"/>
        <v>161405.8522538</v>
      </c>
      <c r="R116" s="274">
        <f t="shared" si="8"/>
        <v>161405.8522538</v>
      </c>
      <c r="S116" s="274">
        <f t="shared" si="8"/>
        <v>161405.8522538</v>
      </c>
      <c r="T116" s="274">
        <f t="shared" si="8"/>
        <v>161405.8522538</v>
      </c>
      <c r="U116" s="274">
        <f t="shared" si="8"/>
        <v>161405.8522538</v>
      </c>
      <c r="V116" s="274">
        <f t="shared" si="8"/>
        <v>161405.8522538</v>
      </c>
      <c r="W116" s="274">
        <f t="shared" si="8"/>
        <v>161405.8522538</v>
      </c>
      <c r="X116" s="274">
        <f t="shared" si="8"/>
        <v>161405.8522538</v>
      </c>
      <c r="Y116" s="274">
        <f t="shared" si="8"/>
        <v>161405.8522538</v>
      </c>
      <c r="Z116" s="274">
        <f t="shared" si="8"/>
        <v>161405.8522538</v>
      </c>
      <c r="AA116" s="274">
        <f t="shared" si="8"/>
        <v>161405.8522538</v>
      </c>
      <c r="AB116" s="274">
        <f t="shared" si="8"/>
        <v>161405.8522538</v>
      </c>
      <c r="AC116" s="274">
        <f t="shared" si="8"/>
        <v>161405.8522538</v>
      </c>
      <c r="AD116" s="274">
        <f t="shared" si="8"/>
        <v>161405.8522538</v>
      </c>
      <c r="AE116" s="274">
        <f t="shared" si="8"/>
        <v>161405.8522538</v>
      </c>
      <c r="AF116" s="274">
        <f t="shared" si="8"/>
        <v>161405.8522538</v>
      </c>
      <c r="AG116" s="274">
        <f t="shared" si="8"/>
        <v>161405.8522538</v>
      </c>
      <c r="AH116" s="274">
        <f t="shared" si="8"/>
        <v>161405.8522538</v>
      </c>
      <c r="AI116" s="274">
        <f t="shared" si="8"/>
        <v>161405.8522538</v>
      </c>
      <c r="AJ116" s="274">
        <f t="shared" si="8"/>
        <v>161405.8522538</v>
      </c>
      <c r="AK116" s="274">
        <f t="shared" si="8"/>
        <v>161405.8522538</v>
      </c>
    </row>
    <row r="117" spans="1:37" s="152" customFormat="1" ht="13.15" customHeight="1" x14ac:dyDescent="0.2">
      <c r="A117" s="147" t="s">
        <v>969</v>
      </c>
      <c r="B117" s="272">
        <f t="shared" si="2"/>
        <v>3856808.8954079985</v>
      </c>
      <c r="C117" s="148">
        <f>(C8+C12+C16+C32)*'01 - Dados de Entrada'!$C$241*'01 - Dados de Entrada'!$C$118</f>
        <v>99327.790728000022</v>
      </c>
      <c r="D117" s="148">
        <f>(D8+D12+D16+D32)*'01 - Dados de Entrada'!$C$241*'01 - Dados de Entrada'!$C$118</f>
        <v>99327.790728000022</v>
      </c>
      <c r="E117" s="148">
        <f>(E8+E12+E16+E32)*'01 - Dados de Entrada'!$C$241*'01 - Dados de Entrada'!$C$118</f>
        <v>99327.790728000022</v>
      </c>
      <c r="F117" s="148">
        <f>(F8+F12+F16+F32)*'01 - Dados de Entrada'!$C$241*'01 - Dados de Entrada'!$C$118</f>
        <v>99327.790728000022</v>
      </c>
      <c r="G117" s="148">
        <f>(G8+G12+G16+G32)*'01 - Dados de Entrada'!$C$241*'01 - Dados de Entrada'!$C$118</f>
        <v>99327.790728000022</v>
      </c>
      <c r="H117" s="148">
        <f>(H8+H12+H16+H32)*'01 - Dados de Entrada'!$C$241*'01 - Dados de Entrada'!$C$118</f>
        <v>106919.81362800002</v>
      </c>
      <c r="I117" s="148">
        <f>(I8+I12+I16+I32)*'01 - Dados de Entrada'!$C$241*'01 - Dados de Entrada'!$C$118</f>
        <v>106919.81362800002</v>
      </c>
      <c r="J117" s="148">
        <f>(J8+J12+J16+J32)*'01 - Dados de Entrada'!$C$241*'01 - Dados de Entrada'!$C$118</f>
        <v>112368.93980400001</v>
      </c>
      <c r="K117" s="148">
        <f>(K8+K12+K16+K32)*'01 - Dados de Entrada'!$C$241*'01 - Dados de Entrada'!$C$118</f>
        <v>112368.93980400001</v>
      </c>
      <c r="L117" s="148">
        <f>(L8+L12+L16+L32)*'01 - Dados de Entrada'!$C$241*'01 - Dados de Entrada'!$C$118</f>
        <v>112368.93980400001</v>
      </c>
      <c r="M117" s="148">
        <f>(M8+M12+M16+M32)*'01 - Dados de Entrada'!$C$241*'01 - Dados de Entrada'!$C$118</f>
        <v>112368.93980400001</v>
      </c>
      <c r="N117" s="148">
        <f>(N8+N12+N16+N32)*'01 - Dados de Entrada'!$C$241*'01 - Dados de Entrada'!$C$118</f>
        <v>112368.93980400001</v>
      </c>
      <c r="O117" s="148">
        <f>(O8+O12+O16+O32)*'01 - Dados de Entrada'!$C$241*'01 - Dados de Entrada'!$C$118</f>
        <v>112368.93980400001</v>
      </c>
      <c r="P117" s="148">
        <f>(P8+P12+P16+P32)*'01 - Dados de Entrada'!$C$241*'01 - Dados de Entrada'!$C$118</f>
        <v>112368.93980400001</v>
      </c>
      <c r="Q117" s="148">
        <f>(Q8+Q12+Q16+Q32)*'01 - Dados de Entrada'!$C$241*'01 - Dados de Entrada'!$C$118</f>
        <v>112368.93980400001</v>
      </c>
      <c r="R117" s="148">
        <f>(R8+R12+R16+R32)*'01 - Dados de Entrada'!$C$241*'01 - Dados de Entrada'!$C$118</f>
        <v>112368.93980400001</v>
      </c>
      <c r="S117" s="148">
        <f>(S8+S12+S16+S32)*'01 - Dados de Entrada'!$C$241*'01 - Dados de Entrada'!$C$118</f>
        <v>112368.93980400001</v>
      </c>
      <c r="T117" s="148">
        <f>(T8+T12+T16+T32)*'01 - Dados de Entrada'!$C$241*'01 - Dados de Entrada'!$C$118</f>
        <v>112368.93980400001</v>
      </c>
      <c r="U117" s="148">
        <f>(U8+U12+U16+U32)*'01 - Dados de Entrada'!$C$241*'01 - Dados de Entrada'!$C$118</f>
        <v>112368.93980400001</v>
      </c>
      <c r="V117" s="148">
        <f>(V8+V12+V16+V32)*'01 - Dados de Entrada'!$C$241*'01 - Dados de Entrada'!$C$118</f>
        <v>112368.93980400001</v>
      </c>
      <c r="W117" s="148">
        <f>(W8+W12+W16+W32)*'01 - Dados de Entrada'!$C$241*'01 - Dados de Entrada'!$C$118</f>
        <v>112368.93980400001</v>
      </c>
      <c r="X117" s="148">
        <f>(X8+X12+X16+X32)*'01 - Dados de Entrada'!$C$241*'01 - Dados de Entrada'!$C$118</f>
        <v>112368.93980400001</v>
      </c>
      <c r="Y117" s="148">
        <f>(Y8+Y12+Y16+Y32)*'01 - Dados de Entrada'!$C$241*'01 - Dados de Entrada'!$C$118</f>
        <v>112368.93980400001</v>
      </c>
      <c r="Z117" s="148">
        <f>(Z8+Z12+Z16+Z32)*'01 - Dados de Entrada'!$C$241*'01 - Dados de Entrada'!$C$118</f>
        <v>112368.93980400001</v>
      </c>
      <c r="AA117" s="148">
        <f>(AA8+AA12+AA16+AA32)*'01 - Dados de Entrada'!$C$241*'01 - Dados de Entrada'!$C$118</f>
        <v>112368.93980400001</v>
      </c>
      <c r="AB117" s="148">
        <f>(AB8+AB12+AB16+AB32)*'01 - Dados de Entrada'!$C$241*'01 - Dados de Entrada'!$C$118</f>
        <v>112368.93980400001</v>
      </c>
      <c r="AC117" s="148">
        <f>(AC8+AC12+AC16+AC32)*'01 - Dados de Entrada'!$C$241*'01 - Dados de Entrada'!$C$118</f>
        <v>112368.93980400001</v>
      </c>
      <c r="AD117" s="148">
        <f>(AD8+AD12+AD16+AD32)*'01 - Dados de Entrada'!$C$241*'01 - Dados de Entrada'!$C$118</f>
        <v>112368.93980400001</v>
      </c>
      <c r="AE117" s="148">
        <f>(AE8+AE12+AE16+AE32)*'01 - Dados de Entrada'!$C$241*'01 - Dados de Entrada'!$C$118</f>
        <v>112368.93980400001</v>
      </c>
      <c r="AF117" s="148">
        <f>(AF8+AF12+AF16+AF32)*'01 - Dados de Entrada'!$C$241*'01 - Dados de Entrada'!$C$118</f>
        <v>112368.93980400001</v>
      </c>
      <c r="AG117" s="148">
        <f>(AG8+AG12+AG16+AG32)*'01 - Dados de Entrada'!$C$241*'01 - Dados de Entrada'!$C$118</f>
        <v>112368.93980400001</v>
      </c>
      <c r="AH117" s="148">
        <f>(AH8+AH12+AH16+AH32)*'01 - Dados de Entrada'!$C$241*'01 - Dados de Entrada'!$C$118</f>
        <v>112368.93980400001</v>
      </c>
      <c r="AI117" s="148">
        <f>(AI8+AI12+AI16+AI32)*'01 - Dados de Entrada'!$C$241*'01 - Dados de Entrada'!$C$118</f>
        <v>112368.93980400001</v>
      </c>
      <c r="AJ117" s="148">
        <f>(AJ8+AJ12+AJ16+AJ32)*'01 - Dados de Entrada'!$C$241*'01 - Dados de Entrada'!$C$118</f>
        <v>112368.93980400001</v>
      </c>
      <c r="AK117" s="148">
        <f>(AK8+AK12+AK16+AK32)*'01 - Dados de Entrada'!$C$241*'01 - Dados de Entrada'!$C$118</f>
        <v>112368.93980400001</v>
      </c>
    </row>
    <row r="118" spans="1:37" s="152" customFormat="1" ht="13.15" customHeight="1" x14ac:dyDescent="0.2">
      <c r="A118" s="147" t="s">
        <v>970</v>
      </c>
      <c r="B118" s="272">
        <f t="shared" si="2"/>
        <v>48587.342109599973</v>
      </c>
      <c r="C118" s="148">
        <f>(C8+C12+C16+C32)*'01 - Dados de Entrada'!$C$242*'01 - Dados de Entrada'!$C$119</f>
        <v>1251.3125436000003</v>
      </c>
      <c r="D118" s="148">
        <f>(D8+D12+D16+D32)*'01 - Dados de Entrada'!$C$242*'01 - Dados de Entrada'!$C$119</f>
        <v>1251.3125436000003</v>
      </c>
      <c r="E118" s="148">
        <f>(E8+E12+E16+E32)*'01 - Dados de Entrada'!$C$242*'01 - Dados de Entrada'!$C$119</f>
        <v>1251.3125436000003</v>
      </c>
      <c r="F118" s="148">
        <f>(F8+F12+F16+F32)*'01 - Dados de Entrada'!$C$242*'01 - Dados de Entrada'!$C$119</f>
        <v>1251.3125436000003</v>
      </c>
      <c r="G118" s="148">
        <f>(G8+G12+G16+G32)*'01 - Dados de Entrada'!$C$242*'01 - Dados de Entrada'!$C$119</f>
        <v>1251.3125436000003</v>
      </c>
      <c r="H118" s="148">
        <f>(H8+H12+H16+H32)*'01 - Dados de Entrada'!$C$242*'01 - Dados de Entrada'!$C$119</f>
        <v>1346.9553986000003</v>
      </c>
      <c r="I118" s="148">
        <f>(I8+I12+I16+I32)*'01 - Dados de Entrada'!$C$242*'01 - Dados de Entrada'!$C$119</f>
        <v>1346.9553986000003</v>
      </c>
      <c r="J118" s="148">
        <f>(J8+J12+J16+J32)*'01 - Dados de Entrada'!$C$242*'01 - Dados de Entrada'!$C$119</f>
        <v>1415.6024498000002</v>
      </c>
      <c r="K118" s="148">
        <f>(K8+K12+K16+K32)*'01 - Dados de Entrada'!$C$242*'01 - Dados de Entrada'!$C$119</f>
        <v>1415.6024498000002</v>
      </c>
      <c r="L118" s="148">
        <f>(L8+L12+L16+L32)*'01 - Dados de Entrada'!$C$242*'01 - Dados de Entrada'!$C$119</f>
        <v>1415.6024498000002</v>
      </c>
      <c r="M118" s="148">
        <f>(M8+M12+M16+M32)*'01 - Dados de Entrada'!$C$242*'01 - Dados de Entrada'!$C$119</f>
        <v>1415.6024498000002</v>
      </c>
      <c r="N118" s="148">
        <f>(N8+N12+N16+N32)*'01 - Dados de Entrada'!$C$242*'01 - Dados de Entrada'!$C$119</f>
        <v>1415.6024498000002</v>
      </c>
      <c r="O118" s="148">
        <f>(O8+O12+O16+O32)*'01 - Dados de Entrada'!$C$242*'01 - Dados de Entrada'!$C$119</f>
        <v>1415.6024498000002</v>
      </c>
      <c r="P118" s="148">
        <f>(P8+P12+P16+P32)*'01 - Dados de Entrada'!$C$242*'01 - Dados de Entrada'!$C$119</f>
        <v>1415.6024498000002</v>
      </c>
      <c r="Q118" s="148">
        <f>(Q8+Q12+Q16+Q32)*'01 - Dados de Entrada'!$C$242*'01 - Dados de Entrada'!$C$119</f>
        <v>1415.6024498000002</v>
      </c>
      <c r="R118" s="148">
        <f>(R8+R12+R16+R32)*'01 - Dados de Entrada'!$C$242*'01 - Dados de Entrada'!$C$119</f>
        <v>1415.6024498000002</v>
      </c>
      <c r="S118" s="148">
        <f>(S8+S12+S16+S32)*'01 - Dados de Entrada'!$C$242*'01 - Dados de Entrada'!$C$119</f>
        <v>1415.6024498000002</v>
      </c>
      <c r="T118" s="148">
        <f>(T8+T12+T16+T32)*'01 - Dados de Entrada'!$C$242*'01 - Dados de Entrada'!$C$119</f>
        <v>1415.6024498000002</v>
      </c>
      <c r="U118" s="148">
        <f>(U8+U12+U16+U32)*'01 - Dados de Entrada'!$C$242*'01 - Dados de Entrada'!$C$119</f>
        <v>1415.6024498000002</v>
      </c>
      <c r="V118" s="148">
        <f>(V8+V12+V16+V32)*'01 - Dados de Entrada'!$C$242*'01 - Dados de Entrada'!$C$119</f>
        <v>1415.6024498000002</v>
      </c>
      <c r="W118" s="148">
        <f>(W8+W12+W16+W32)*'01 - Dados de Entrada'!$C$242*'01 - Dados de Entrada'!$C$119</f>
        <v>1415.6024498000002</v>
      </c>
      <c r="X118" s="148">
        <f>(X8+X12+X16+X32)*'01 - Dados de Entrada'!$C$242*'01 - Dados de Entrada'!$C$119</f>
        <v>1415.6024498000002</v>
      </c>
      <c r="Y118" s="148">
        <f>(Y8+Y12+Y16+Y32)*'01 - Dados de Entrada'!$C$242*'01 - Dados de Entrada'!$C$119</f>
        <v>1415.6024498000002</v>
      </c>
      <c r="Z118" s="148">
        <f>(Z8+Z12+Z16+Z32)*'01 - Dados de Entrada'!$C$242*'01 - Dados de Entrada'!$C$119</f>
        <v>1415.6024498000002</v>
      </c>
      <c r="AA118" s="148">
        <f>(AA8+AA12+AA16+AA32)*'01 - Dados de Entrada'!$C$242*'01 - Dados de Entrada'!$C$119</f>
        <v>1415.6024498000002</v>
      </c>
      <c r="AB118" s="148">
        <f>(AB8+AB12+AB16+AB32)*'01 - Dados de Entrada'!$C$242*'01 - Dados de Entrada'!$C$119</f>
        <v>1415.6024498000002</v>
      </c>
      <c r="AC118" s="148">
        <f>(AC8+AC12+AC16+AC32)*'01 - Dados de Entrada'!$C$242*'01 - Dados de Entrada'!$C$119</f>
        <v>1415.6024498000002</v>
      </c>
      <c r="AD118" s="148">
        <f>(AD8+AD12+AD16+AD32)*'01 - Dados de Entrada'!$C$242*'01 - Dados de Entrada'!$C$119</f>
        <v>1415.6024498000002</v>
      </c>
      <c r="AE118" s="148">
        <f>(AE8+AE12+AE16+AE32)*'01 - Dados de Entrada'!$C$242*'01 - Dados de Entrada'!$C$119</f>
        <v>1415.6024498000002</v>
      </c>
      <c r="AF118" s="148">
        <f>(AF8+AF12+AF16+AF32)*'01 - Dados de Entrada'!$C$242*'01 - Dados de Entrada'!$C$119</f>
        <v>1415.6024498000002</v>
      </c>
      <c r="AG118" s="148">
        <f>(AG8+AG12+AG16+AG32)*'01 - Dados de Entrada'!$C$242*'01 - Dados de Entrada'!$C$119</f>
        <v>1415.6024498000002</v>
      </c>
      <c r="AH118" s="148">
        <f>(AH8+AH12+AH16+AH32)*'01 - Dados de Entrada'!$C$242*'01 - Dados de Entrada'!$C$119</f>
        <v>1415.6024498000002</v>
      </c>
      <c r="AI118" s="148">
        <f>(AI8+AI12+AI16+AI32)*'01 - Dados de Entrada'!$C$242*'01 - Dados de Entrada'!$C$119</f>
        <v>1415.6024498000002</v>
      </c>
      <c r="AJ118" s="148">
        <f>(AJ8+AJ12+AJ16+AJ32)*'01 - Dados de Entrada'!$C$242*'01 - Dados de Entrada'!$C$119</f>
        <v>1415.6024498000002</v>
      </c>
      <c r="AK118" s="148">
        <f>(AK8+AK12+AK16+AK32)*'01 - Dados de Entrada'!$C$242*'01 - Dados de Entrada'!$C$119</f>
        <v>1415.6024498000002</v>
      </c>
    </row>
    <row r="119" spans="1:37" s="152" customFormat="1" ht="13.15" customHeight="1" x14ac:dyDescent="0.2">
      <c r="A119" s="147" t="s">
        <v>971</v>
      </c>
      <c r="B119" s="272">
        <f t="shared" si="2"/>
        <v>217560</v>
      </c>
      <c r="C119" s="148">
        <f>(C24+C20)*'01 - Dados de Entrada'!$C$245*'01 - Dados de Entrada'!$C$121</f>
        <v>6216</v>
      </c>
      <c r="D119" s="148">
        <f>(D24+D20)*'01 - Dados de Entrada'!$C$245*'01 - Dados de Entrada'!$C$121</f>
        <v>6216</v>
      </c>
      <c r="E119" s="148">
        <f>(E24+E20)*'01 - Dados de Entrada'!$C$245*'01 - Dados de Entrada'!$C$121</f>
        <v>6216</v>
      </c>
      <c r="F119" s="148">
        <f>(F24+F20)*'01 - Dados de Entrada'!$C$245*'01 - Dados de Entrada'!$C$121</f>
        <v>6216</v>
      </c>
      <c r="G119" s="148">
        <f>(G24+G20)*'01 - Dados de Entrada'!$C$245*'01 - Dados de Entrada'!$C$121</f>
        <v>6216</v>
      </c>
      <c r="H119" s="148">
        <f>(H24+H20)*'01 - Dados de Entrada'!$C$245*'01 - Dados de Entrada'!$C$121</f>
        <v>6216</v>
      </c>
      <c r="I119" s="148">
        <f>(I24+I20)*'01 - Dados de Entrada'!$C$245*'01 - Dados de Entrada'!$C$121</f>
        <v>6216</v>
      </c>
      <c r="J119" s="148">
        <f>(J24+J20)*'01 - Dados de Entrada'!$C$245*'01 - Dados de Entrada'!$C$121</f>
        <v>6216</v>
      </c>
      <c r="K119" s="148">
        <f>(K24+K20)*'01 - Dados de Entrada'!$C$245*'01 - Dados de Entrada'!$C$121</f>
        <v>6216</v>
      </c>
      <c r="L119" s="148">
        <f>(L24+L20)*'01 - Dados de Entrada'!$C$245*'01 - Dados de Entrada'!$C$121</f>
        <v>6216</v>
      </c>
      <c r="M119" s="148">
        <f>(M24+M20)*'01 - Dados de Entrada'!$C$245*'01 - Dados de Entrada'!$C$121</f>
        <v>6216</v>
      </c>
      <c r="N119" s="148">
        <f>(N24+N20)*'01 - Dados de Entrada'!$C$245*'01 - Dados de Entrada'!$C$121</f>
        <v>6216</v>
      </c>
      <c r="O119" s="148">
        <f>(O24+O20)*'01 - Dados de Entrada'!$C$245*'01 - Dados de Entrada'!$C$121</f>
        <v>6216</v>
      </c>
      <c r="P119" s="148">
        <f>(P24+P20)*'01 - Dados de Entrada'!$C$245*'01 - Dados de Entrada'!$C$121</f>
        <v>6216</v>
      </c>
      <c r="Q119" s="148">
        <f>(Q24+Q20)*'01 - Dados de Entrada'!$C$245*'01 - Dados de Entrada'!$C$121</f>
        <v>6216</v>
      </c>
      <c r="R119" s="148">
        <f>(R24+R20)*'01 - Dados de Entrada'!$C$245*'01 - Dados de Entrada'!$C$121</f>
        <v>6216</v>
      </c>
      <c r="S119" s="148">
        <f>(S24+S20)*'01 - Dados de Entrada'!$C$245*'01 - Dados de Entrada'!$C$121</f>
        <v>6216</v>
      </c>
      <c r="T119" s="148">
        <f>(T24+T20)*'01 - Dados de Entrada'!$C$245*'01 - Dados de Entrada'!$C$121</f>
        <v>6216</v>
      </c>
      <c r="U119" s="148">
        <f>(U24+U20)*'01 - Dados de Entrada'!$C$245*'01 - Dados de Entrada'!$C$121</f>
        <v>6216</v>
      </c>
      <c r="V119" s="148">
        <f>(V24+V20)*'01 - Dados de Entrada'!$C$245*'01 - Dados de Entrada'!$C$121</f>
        <v>6216</v>
      </c>
      <c r="W119" s="148">
        <f>(W24+W20)*'01 - Dados de Entrada'!$C$245*'01 - Dados de Entrada'!$C$121</f>
        <v>6216</v>
      </c>
      <c r="X119" s="148">
        <f>(X24+X20)*'01 - Dados de Entrada'!$C$245*'01 - Dados de Entrada'!$C$121</f>
        <v>6216</v>
      </c>
      <c r="Y119" s="148">
        <f>(Y24+Y20)*'01 - Dados de Entrada'!$C$245*'01 - Dados de Entrada'!$C$121</f>
        <v>6216</v>
      </c>
      <c r="Z119" s="148">
        <f>(Z24+Z20)*'01 - Dados de Entrada'!$C$245*'01 - Dados de Entrada'!$C$121</f>
        <v>6216</v>
      </c>
      <c r="AA119" s="148">
        <f>(AA24+AA20)*'01 - Dados de Entrada'!$C$245*'01 - Dados de Entrada'!$C$121</f>
        <v>6216</v>
      </c>
      <c r="AB119" s="148">
        <f>(AB24+AB20)*'01 - Dados de Entrada'!$C$245*'01 - Dados de Entrada'!$C$121</f>
        <v>6216</v>
      </c>
      <c r="AC119" s="148">
        <f>(AC24+AC20)*'01 - Dados de Entrada'!$C$245*'01 - Dados de Entrada'!$C$121</f>
        <v>6216</v>
      </c>
      <c r="AD119" s="148">
        <f>(AD24+AD20)*'01 - Dados de Entrada'!$C$245*'01 - Dados de Entrada'!$C$121</f>
        <v>6216</v>
      </c>
      <c r="AE119" s="148">
        <f>(AE24+AE20)*'01 - Dados de Entrada'!$C$245*'01 - Dados de Entrada'!$C$121</f>
        <v>6216</v>
      </c>
      <c r="AF119" s="148">
        <f>(AF24+AF20)*'01 - Dados de Entrada'!$C$245*'01 - Dados de Entrada'!$C$121</f>
        <v>6216</v>
      </c>
      <c r="AG119" s="148">
        <f>(AG24+AG20)*'01 - Dados de Entrada'!$C$245*'01 - Dados de Entrada'!$C$121</f>
        <v>6216</v>
      </c>
      <c r="AH119" s="148">
        <f>(AH24+AH20)*'01 - Dados de Entrada'!$C$245*'01 - Dados de Entrada'!$C$121</f>
        <v>6216</v>
      </c>
      <c r="AI119" s="148">
        <f>(AI24+AI20)*'01 - Dados de Entrada'!$C$245*'01 - Dados de Entrada'!$C$121</f>
        <v>6216</v>
      </c>
      <c r="AJ119" s="148">
        <f>(AJ24+AJ20)*'01 - Dados de Entrada'!$C$245*'01 - Dados de Entrada'!$C$121</f>
        <v>6216</v>
      </c>
      <c r="AK119" s="148">
        <f>(AK24+AK20)*'01 - Dados de Entrada'!$C$245*'01 - Dados de Entrada'!$C$121</f>
        <v>6216</v>
      </c>
    </row>
    <row r="120" spans="1:37" s="152" customFormat="1" ht="13.15" customHeight="1" x14ac:dyDescent="0.2">
      <c r="A120" s="147" t="s">
        <v>972</v>
      </c>
      <c r="B120" s="272">
        <f t="shared" si="2"/>
        <v>250740.00000000015</v>
      </c>
      <c r="C120" s="148">
        <f>C28*'01 - Dados de Entrada'!$C$246*'01 - Dados de Entrada'!$C$120</f>
        <v>5014.8</v>
      </c>
      <c r="D120" s="148">
        <f>D28*'01 - Dados de Entrada'!$C$246*'01 - Dados de Entrada'!$C$120</f>
        <v>5014.8</v>
      </c>
      <c r="E120" s="148">
        <f>E28*'01 - Dados de Entrada'!$C$246*'01 - Dados de Entrada'!$C$120</f>
        <v>5014.8</v>
      </c>
      <c r="F120" s="148">
        <f>F28*'01 - Dados de Entrada'!$C$246*'01 - Dados de Entrada'!$C$120</f>
        <v>5014.8</v>
      </c>
      <c r="G120" s="148">
        <f>G28*'01 - Dados de Entrada'!$C$246*'01 - Dados de Entrada'!$C$120</f>
        <v>5014.8</v>
      </c>
      <c r="H120" s="148">
        <f>H28*'01 - Dados de Entrada'!$C$246*'01 - Dados de Entrada'!$C$120</f>
        <v>7522.2000000000007</v>
      </c>
      <c r="I120" s="148">
        <f>I28*'01 - Dados de Entrada'!$C$246*'01 - Dados de Entrada'!$C$120</f>
        <v>7522.2000000000007</v>
      </c>
      <c r="J120" s="148">
        <f>J28*'01 - Dados de Entrada'!$C$246*'01 - Dados de Entrada'!$C$120</f>
        <v>7522.2000000000007</v>
      </c>
      <c r="K120" s="148">
        <f>K28*'01 - Dados de Entrada'!$C$246*'01 - Dados de Entrada'!$C$120</f>
        <v>7522.2000000000007</v>
      </c>
      <c r="L120" s="148">
        <f>L28*'01 - Dados de Entrada'!$C$246*'01 - Dados de Entrada'!$C$120</f>
        <v>7522.2000000000007</v>
      </c>
      <c r="M120" s="148">
        <f>M28*'01 - Dados de Entrada'!$C$246*'01 - Dados de Entrada'!$C$120</f>
        <v>7522.2000000000007</v>
      </c>
      <c r="N120" s="148">
        <f>N28*'01 - Dados de Entrada'!$C$246*'01 - Dados de Entrada'!$C$120</f>
        <v>7522.2000000000007</v>
      </c>
      <c r="O120" s="148">
        <f>O28*'01 - Dados de Entrada'!$C$246*'01 - Dados de Entrada'!$C$120</f>
        <v>7522.2000000000007</v>
      </c>
      <c r="P120" s="148">
        <f>P28*'01 - Dados de Entrada'!$C$246*'01 - Dados de Entrada'!$C$120</f>
        <v>7522.2000000000007</v>
      </c>
      <c r="Q120" s="148">
        <f>Q28*'01 - Dados de Entrada'!$C$246*'01 - Dados de Entrada'!$C$120</f>
        <v>7522.2000000000007</v>
      </c>
      <c r="R120" s="148">
        <f>R28*'01 - Dados de Entrada'!$C$246*'01 - Dados de Entrada'!$C$120</f>
        <v>7522.2000000000007</v>
      </c>
      <c r="S120" s="148">
        <f>S28*'01 - Dados de Entrada'!$C$246*'01 - Dados de Entrada'!$C$120</f>
        <v>7522.2000000000007</v>
      </c>
      <c r="T120" s="148">
        <f>T28*'01 - Dados de Entrada'!$C$246*'01 - Dados de Entrada'!$C$120</f>
        <v>7522.2000000000007</v>
      </c>
      <c r="U120" s="148">
        <f>U28*'01 - Dados de Entrada'!$C$246*'01 - Dados de Entrada'!$C$120</f>
        <v>7522.2000000000007</v>
      </c>
      <c r="V120" s="148">
        <f>V28*'01 - Dados de Entrada'!$C$246*'01 - Dados de Entrada'!$C$120</f>
        <v>7522.2000000000007</v>
      </c>
      <c r="W120" s="148">
        <f>W28*'01 - Dados de Entrada'!$C$246*'01 - Dados de Entrada'!$C$120</f>
        <v>7522.2000000000007</v>
      </c>
      <c r="X120" s="148">
        <f>X28*'01 - Dados de Entrada'!$C$246*'01 - Dados de Entrada'!$C$120</f>
        <v>7522.2000000000007</v>
      </c>
      <c r="Y120" s="148">
        <f>Y28*'01 - Dados de Entrada'!$C$246*'01 - Dados de Entrada'!$C$120</f>
        <v>7522.2000000000007</v>
      </c>
      <c r="Z120" s="148">
        <f>Z28*'01 - Dados de Entrada'!$C$246*'01 - Dados de Entrada'!$C$120</f>
        <v>7522.2000000000007</v>
      </c>
      <c r="AA120" s="148">
        <f>AA28*'01 - Dados de Entrada'!$C$246*'01 - Dados de Entrada'!$C$120</f>
        <v>7522.2000000000007</v>
      </c>
      <c r="AB120" s="148">
        <f>AB28*'01 - Dados de Entrada'!$C$246*'01 - Dados de Entrada'!$C$120</f>
        <v>7522.2000000000007</v>
      </c>
      <c r="AC120" s="148">
        <f>AC28*'01 - Dados de Entrada'!$C$246*'01 - Dados de Entrada'!$C$120</f>
        <v>7522.2000000000007</v>
      </c>
      <c r="AD120" s="148">
        <f>AD28*'01 - Dados de Entrada'!$C$246*'01 - Dados de Entrada'!$C$120</f>
        <v>7522.2000000000007</v>
      </c>
      <c r="AE120" s="148">
        <f>AE28*'01 - Dados de Entrada'!$C$246*'01 - Dados de Entrada'!$C$120</f>
        <v>7522.2000000000007</v>
      </c>
      <c r="AF120" s="148">
        <f>AF28*'01 - Dados de Entrada'!$C$246*'01 - Dados de Entrada'!$C$120</f>
        <v>7522.2000000000007</v>
      </c>
      <c r="AG120" s="148">
        <f>AG28*'01 - Dados de Entrada'!$C$246*'01 - Dados de Entrada'!$C$120</f>
        <v>7522.2000000000007</v>
      </c>
      <c r="AH120" s="148">
        <f>AH28*'01 - Dados de Entrada'!$C$246*'01 - Dados de Entrada'!$C$120</f>
        <v>7522.2000000000007</v>
      </c>
      <c r="AI120" s="148">
        <f>AI28*'01 - Dados de Entrada'!$C$246*'01 - Dados de Entrada'!$C$120</f>
        <v>7522.2000000000007</v>
      </c>
      <c r="AJ120" s="148">
        <f>AJ28*'01 - Dados de Entrada'!$C$246*'01 - Dados de Entrada'!$C$120</f>
        <v>7522.2000000000007</v>
      </c>
      <c r="AK120" s="148">
        <f>AK28*'01 - Dados de Entrada'!$C$246*'01 - Dados de Entrada'!$C$120</f>
        <v>7522.2000000000007</v>
      </c>
    </row>
    <row r="121" spans="1:37" s="152" customFormat="1" ht="13.15" customHeight="1" x14ac:dyDescent="0.2">
      <c r="A121" s="147" t="s">
        <v>973</v>
      </c>
      <c r="B121" s="272">
        <f t="shared" si="2"/>
        <v>415989.00000000023</v>
      </c>
      <c r="C121" s="148">
        <f>(C36+C68+C92)*'01 - Dados de Entrada'!$C$243*'01 - Dados de Entrada'!$C$118</f>
        <v>11885.400000000001</v>
      </c>
      <c r="D121" s="148">
        <f>(D36+D68+D92)*'01 - Dados de Entrada'!$C$243*'01 - Dados de Entrada'!$C$118</f>
        <v>11885.400000000001</v>
      </c>
      <c r="E121" s="148">
        <f>(E36+E68+E92)*'01 - Dados de Entrada'!$C$243*'01 - Dados de Entrada'!$C$118</f>
        <v>11885.400000000001</v>
      </c>
      <c r="F121" s="148">
        <f>(F36+F68+F92)*'01 - Dados de Entrada'!$C$243*'01 - Dados de Entrada'!$C$118</f>
        <v>11885.400000000001</v>
      </c>
      <c r="G121" s="148">
        <f>(G36+G68+G92)*'01 - Dados de Entrada'!$C$243*'01 - Dados de Entrada'!$C$118</f>
        <v>11885.400000000001</v>
      </c>
      <c r="H121" s="148">
        <f>(H36+H68+H92)*'01 - Dados de Entrada'!$C$243*'01 - Dados de Entrada'!$C$118</f>
        <v>11885.400000000001</v>
      </c>
      <c r="I121" s="148">
        <f>(I36+I68+I92)*'01 - Dados de Entrada'!$C$243*'01 - Dados de Entrada'!$C$118</f>
        <v>11885.400000000001</v>
      </c>
      <c r="J121" s="148">
        <f>(J36+J68+J92)*'01 - Dados de Entrada'!$C$243*'01 - Dados de Entrada'!$C$118</f>
        <v>11885.400000000001</v>
      </c>
      <c r="K121" s="148">
        <f>(K36+K68+K92)*'01 - Dados de Entrada'!$C$243*'01 - Dados de Entrada'!$C$118</f>
        <v>11885.400000000001</v>
      </c>
      <c r="L121" s="148">
        <f>(L36+L68+L92)*'01 - Dados de Entrada'!$C$243*'01 - Dados de Entrada'!$C$118</f>
        <v>11885.400000000001</v>
      </c>
      <c r="M121" s="148">
        <f>(M36+M68+M92)*'01 - Dados de Entrada'!$C$243*'01 - Dados de Entrada'!$C$118</f>
        <v>11885.400000000001</v>
      </c>
      <c r="N121" s="148">
        <f>(N36+N68+N92)*'01 - Dados de Entrada'!$C$243*'01 - Dados de Entrada'!$C$118</f>
        <v>11885.400000000001</v>
      </c>
      <c r="O121" s="148">
        <f>(O36+O68+O92)*'01 - Dados de Entrada'!$C$243*'01 - Dados de Entrada'!$C$118</f>
        <v>11885.400000000001</v>
      </c>
      <c r="P121" s="148">
        <f>(P36+P68+P92)*'01 - Dados de Entrada'!$C$243*'01 - Dados de Entrada'!$C$118</f>
        <v>11885.400000000001</v>
      </c>
      <c r="Q121" s="148">
        <f>(Q36+Q68+Q92)*'01 - Dados de Entrada'!$C$243*'01 - Dados de Entrada'!$C$118</f>
        <v>11885.400000000001</v>
      </c>
      <c r="R121" s="148">
        <f>(R36+R68+R92)*'01 - Dados de Entrada'!$C$243*'01 - Dados de Entrada'!$C$118</f>
        <v>11885.400000000001</v>
      </c>
      <c r="S121" s="148">
        <f>(S36+S68+S92)*'01 - Dados de Entrada'!$C$243*'01 - Dados de Entrada'!$C$118</f>
        <v>11885.400000000001</v>
      </c>
      <c r="T121" s="148">
        <f>(T36+T68+T92)*'01 - Dados de Entrada'!$C$243*'01 - Dados de Entrada'!$C$118</f>
        <v>11885.400000000001</v>
      </c>
      <c r="U121" s="148">
        <f>(U36+U68+U92)*'01 - Dados de Entrada'!$C$243*'01 - Dados de Entrada'!$C$118</f>
        <v>11885.400000000001</v>
      </c>
      <c r="V121" s="148">
        <f>(V36+V68+V92)*'01 - Dados de Entrada'!$C$243*'01 - Dados de Entrada'!$C$118</f>
        <v>11885.400000000001</v>
      </c>
      <c r="W121" s="148">
        <f>(W36+W68+W92)*'01 - Dados de Entrada'!$C$243*'01 - Dados de Entrada'!$C$118</f>
        <v>11885.400000000001</v>
      </c>
      <c r="X121" s="148">
        <f>(X36+X68+X92)*'01 - Dados de Entrada'!$C$243*'01 - Dados de Entrada'!$C$118</f>
        <v>11885.400000000001</v>
      </c>
      <c r="Y121" s="148">
        <f>(Y36+Y68+Y92)*'01 - Dados de Entrada'!$C$243*'01 - Dados de Entrada'!$C$118</f>
        <v>11885.400000000001</v>
      </c>
      <c r="Z121" s="148">
        <f>(Z36+Z68+Z92)*'01 - Dados de Entrada'!$C$243*'01 - Dados de Entrada'!$C$118</f>
        <v>11885.400000000001</v>
      </c>
      <c r="AA121" s="148">
        <f>(AA36+AA68+AA92)*'01 - Dados de Entrada'!$C$243*'01 - Dados de Entrada'!$C$118</f>
        <v>11885.400000000001</v>
      </c>
      <c r="AB121" s="148">
        <f>(AB36+AB68+AB92)*'01 - Dados de Entrada'!$C$243*'01 - Dados de Entrada'!$C$118</f>
        <v>11885.400000000001</v>
      </c>
      <c r="AC121" s="148">
        <f>(AC36+AC68+AC92)*'01 - Dados de Entrada'!$C$243*'01 - Dados de Entrada'!$C$118</f>
        <v>11885.400000000001</v>
      </c>
      <c r="AD121" s="148">
        <f>(AD36+AD68+AD92)*'01 - Dados de Entrada'!$C$243*'01 - Dados de Entrada'!$C$118</f>
        <v>11885.400000000001</v>
      </c>
      <c r="AE121" s="148">
        <f>(AE36+AE68+AE92)*'01 - Dados de Entrada'!$C$243*'01 - Dados de Entrada'!$C$118</f>
        <v>11885.400000000001</v>
      </c>
      <c r="AF121" s="148">
        <f>(AF36+AF68+AF92)*'01 - Dados de Entrada'!$C$243*'01 - Dados de Entrada'!$C$118</f>
        <v>11885.400000000001</v>
      </c>
      <c r="AG121" s="148">
        <f>(AG36+AG68+AG92)*'01 - Dados de Entrada'!$C$243*'01 - Dados de Entrada'!$C$118</f>
        <v>11885.400000000001</v>
      </c>
      <c r="AH121" s="148">
        <f>(AH36+AH68+AH92)*'01 - Dados de Entrada'!$C$243*'01 - Dados de Entrada'!$C$118</f>
        <v>11885.400000000001</v>
      </c>
      <c r="AI121" s="148">
        <f>(AI36+AI68+AI92)*'01 - Dados de Entrada'!$C$243*'01 - Dados de Entrada'!$C$118</f>
        <v>11885.400000000001</v>
      </c>
      <c r="AJ121" s="148">
        <f>(AJ36+AJ68+AJ92)*'01 - Dados de Entrada'!$C$243*'01 - Dados de Entrada'!$C$118</f>
        <v>11885.400000000001</v>
      </c>
      <c r="AK121" s="148">
        <f>(AK36+AK68+AK92)*'01 - Dados de Entrada'!$C$243*'01 - Dados de Entrada'!$C$118</f>
        <v>11885.400000000001</v>
      </c>
    </row>
    <row r="122" spans="1:37" s="152" customFormat="1" ht="13.15" customHeight="1" x14ac:dyDescent="0.2">
      <c r="A122" s="147" t="s">
        <v>974</v>
      </c>
      <c r="B122" s="272">
        <f t="shared" ref="B122:B131" si="9">SUM(C122:AK122)</f>
        <v>5240.5499999999975</v>
      </c>
      <c r="C122" s="148">
        <f>(C36+C68+C92)*'01 - Dados de Entrada'!$C$244*'01 - Dados de Entrada'!$C$119</f>
        <v>149.73000000000002</v>
      </c>
      <c r="D122" s="148">
        <f>(D36+D68+D92)*'01 - Dados de Entrada'!$C$244*'01 - Dados de Entrada'!$C$119</f>
        <v>149.73000000000002</v>
      </c>
      <c r="E122" s="148">
        <f>(E36+E68+E92)*'01 - Dados de Entrada'!$C$244*'01 - Dados de Entrada'!$C$119</f>
        <v>149.73000000000002</v>
      </c>
      <c r="F122" s="148">
        <f>(F36+F68+F92)*'01 - Dados de Entrada'!$C$244*'01 - Dados de Entrada'!$C$119</f>
        <v>149.73000000000002</v>
      </c>
      <c r="G122" s="148">
        <f>(G36+G68+G92)*'01 - Dados de Entrada'!$C$244*'01 - Dados de Entrada'!$C$119</f>
        <v>149.73000000000002</v>
      </c>
      <c r="H122" s="148">
        <f>(H36+H68+H92)*'01 - Dados de Entrada'!$C$244*'01 - Dados de Entrada'!$C$119</f>
        <v>149.73000000000002</v>
      </c>
      <c r="I122" s="148">
        <f>(I36+I68+I92)*'01 - Dados de Entrada'!$C$244*'01 - Dados de Entrada'!$C$119</f>
        <v>149.73000000000002</v>
      </c>
      <c r="J122" s="148">
        <f>(J36+J68+J92)*'01 - Dados de Entrada'!$C$244*'01 - Dados de Entrada'!$C$119</f>
        <v>149.73000000000002</v>
      </c>
      <c r="K122" s="148">
        <f>(K36+K68+K92)*'01 - Dados de Entrada'!$C$244*'01 - Dados de Entrada'!$C$119</f>
        <v>149.73000000000002</v>
      </c>
      <c r="L122" s="148">
        <f>(L36+L68+L92)*'01 - Dados de Entrada'!$C$244*'01 - Dados de Entrada'!$C$119</f>
        <v>149.73000000000002</v>
      </c>
      <c r="M122" s="148">
        <f>(M36+M68+M92)*'01 - Dados de Entrada'!$C$244*'01 - Dados de Entrada'!$C$119</f>
        <v>149.73000000000002</v>
      </c>
      <c r="N122" s="148">
        <f>(N36+N68+N92)*'01 - Dados de Entrada'!$C$244*'01 - Dados de Entrada'!$C$119</f>
        <v>149.73000000000002</v>
      </c>
      <c r="O122" s="148">
        <f>(O36+O68+O92)*'01 - Dados de Entrada'!$C$244*'01 - Dados de Entrada'!$C$119</f>
        <v>149.73000000000002</v>
      </c>
      <c r="P122" s="148">
        <f>(P36+P68+P92)*'01 - Dados de Entrada'!$C$244*'01 - Dados de Entrada'!$C$119</f>
        <v>149.73000000000002</v>
      </c>
      <c r="Q122" s="148">
        <f>(Q36+Q68+Q92)*'01 - Dados de Entrada'!$C$244*'01 - Dados de Entrada'!$C$119</f>
        <v>149.73000000000002</v>
      </c>
      <c r="R122" s="148">
        <f>(R36+R68+R92)*'01 - Dados de Entrada'!$C$244*'01 - Dados de Entrada'!$C$119</f>
        <v>149.73000000000002</v>
      </c>
      <c r="S122" s="148">
        <f>(S36+S68+S92)*'01 - Dados de Entrada'!$C$244*'01 - Dados de Entrada'!$C$119</f>
        <v>149.73000000000002</v>
      </c>
      <c r="T122" s="148">
        <f>(T36+T68+T92)*'01 - Dados de Entrada'!$C$244*'01 - Dados de Entrada'!$C$119</f>
        <v>149.73000000000002</v>
      </c>
      <c r="U122" s="148">
        <f>(U36+U68+U92)*'01 - Dados de Entrada'!$C$244*'01 - Dados de Entrada'!$C$119</f>
        <v>149.73000000000002</v>
      </c>
      <c r="V122" s="148">
        <f>(V36+V68+V92)*'01 - Dados de Entrada'!$C$244*'01 - Dados de Entrada'!$C$119</f>
        <v>149.73000000000002</v>
      </c>
      <c r="W122" s="148">
        <f>(W36+W68+W92)*'01 - Dados de Entrada'!$C$244*'01 - Dados de Entrada'!$C$119</f>
        <v>149.73000000000002</v>
      </c>
      <c r="X122" s="148">
        <f>(X36+X68+X92)*'01 - Dados de Entrada'!$C$244*'01 - Dados de Entrada'!$C$119</f>
        <v>149.73000000000002</v>
      </c>
      <c r="Y122" s="148">
        <f>(Y36+Y68+Y92)*'01 - Dados de Entrada'!$C$244*'01 - Dados de Entrada'!$C$119</f>
        <v>149.73000000000002</v>
      </c>
      <c r="Z122" s="148">
        <f>(Z36+Z68+Z92)*'01 - Dados de Entrada'!$C$244*'01 - Dados de Entrada'!$C$119</f>
        <v>149.73000000000002</v>
      </c>
      <c r="AA122" s="148">
        <f>(AA36+AA68+AA92)*'01 - Dados de Entrada'!$C$244*'01 - Dados de Entrada'!$C$119</f>
        <v>149.73000000000002</v>
      </c>
      <c r="AB122" s="148">
        <f>(AB36+AB68+AB92)*'01 - Dados de Entrada'!$C$244*'01 - Dados de Entrada'!$C$119</f>
        <v>149.73000000000002</v>
      </c>
      <c r="AC122" s="148">
        <f>(AC36+AC68+AC92)*'01 - Dados de Entrada'!$C$244*'01 - Dados de Entrada'!$C$119</f>
        <v>149.73000000000002</v>
      </c>
      <c r="AD122" s="148">
        <f>(AD36+AD68+AD92)*'01 - Dados de Entrada'!$C$244*'01 - Dados de Entrada'!$C$119</f>
        <v>149.73000000000002</v>
      </c>
      <c r="AE122" s="148">
        <f>(AE36+AE68+AE92)*'01 - Dados de Entrada'!$C$244*'01 - Dados de Entrada'!$C$119</f>
        <v>149.73000000000002</v>
      </c>
      <c r="AF122" s="148">
        <f>(AF36+AF68+AF92)*'01 - Dados de Entrada'!$C$244*'01 - Dados de Entrada'!$C$119</f>
        <v>149.73000000000002</v>
      </c>
      <c r="AG122" s="148">
        <f>(AG36+AG68+AG92)*'01 - Dados de Entrada'!$C$244*'01 - Dados de Entrada'!$C$119</f>
        <v>149.73000000000002</v>
      </c>
      <c r="AH122" s="148">
        <f>(AH36+AH68+AH92)*'01 - Dados de Entrada'!$C$244*'01 - Dados de Entrada'!$C$119</f>
        <v>149.73000000000002</v>
      </c>
      <c r="AI122" s="148">
        <f>(AI36+AI68+AI92)*'01 - Dados de Entrada'!$C$244*'01 - Dados de Entrada'!$C$119</f>
        <v>149.73000000000002</v>
      </c>
      <c r="AJ122" s="148">
        <f>(AJ36+AJ68+AJ92)*'01 - Dados de Entrada'!$C$244*'01 - Dados de Entrada'!$C$119</f>
        <v>149.73000000000002</v>
      </c>
      <c r="AK122" s="148">
        <f>(AK36+AK68+AK92)*'01 - Dados de Entrada'!$C$244*'01 - Dados de Entrada'!$C$119</f>
        <v>149.73000000000002</v>
      </c>
    </row>
    <row r="123" spans="1:37" s="152" customFormat="1" ht="13.15" customHeight="1" x14ac:dyDescent="0.2">
      <c r="A123" s="147" t="s">
        <v>975</v>
      </c>
      <c r="B123" s="272">
        <f t="shared" si="9"/>
        <v>101973.48000000005</v>
      </c>
      <c r="C123" s="148">
        <f>(C56+C60+C72)*'01 - Dados de Entrada'!$C$245*'01 - Dados de Entrada'!$C$121</f>
        <v>2913.5280000000002</v>
      </c>
      <c r="D123" s="148">
        <f>(D56+D60+D72)*'01 - Dados de Entrada'!$C$245*'01 - Dados de Entrada'!$C$121</f>
        <v>2913.5280000000002</v>
      </c>
      <c r="E123" s="148">
        <f>(E56+E60+E72)*'01 - Dados de Entrada'!$C$245*'01 - Dados de Entrada'!$C$121</f>
        <v>2913.5280000000002</v>
      </c>
      <c r="F123" s="148">
        <f>(F56+F60+F72)*'01 - Dados de Entrada'!$C$245*'01 - Dados de Entrada'!$C$121</f>
        <v>2913.5280000000002</v>
      </c>
      <c r="G123" s="148">
        <f>(G56+G60+G72)*'01 - Dados de Entrada'!$C$245*'01 - Dados de Entrada'!$C$121</f>
        <v>2913.5280000000002</v>
      </c>
      <c r="H123" s="148">
        <f>(H56+H60+H72)*'01 - Dados de Entrada'!$C$245*'01 - Dados de Entrada'!$C$121</f>
        <v>2913.5280000000002</v>
      </c>
      <c r="I123" s="148">
        <f>(I56+I60+I72)*'01 - Dados de Entrada'!$C$245*'01 - Dados de Entrada'!$C$121</f>
        <v>2913.5280000000002</v>
      </c>
      <c r="J123" s="148">
        <f>(J56+J60+J72)*'01 - Dados de Entrada'!$C$245*'01 - Dados de Entrada'!$C$121</f>
        <v>2913.5280000000002</v>
      </c>
      <c r="K123" s="148">
        <f>(K56+K60+K72)*'01 - Dados de Entrada'!$C$245*'01 - Dados de Entrada'!$C$121</f>
        <v>2913.5280000000002</v>
      </c>
      <c r="L123" s="148">
        <f>(L56+L60+L72)*'01 - Dados de Entrada'!$C$245*'01 - Dados de Entrada'!$C$121</f>
        <v>2913.5280000000002</v>
      </c>
      <c r="M123" s="148">
        <f>(M56+M60+M72)*'01 - Dados de Entrada'!$C$245*'01 - Dados de Entrada'!$C$121</f>
        <v>2913.5280000000002</v>
      </c>
      <c r="N123" s="148">
        <f>(N56+N60+N72)*'01 - Dados de Entrada'!$C$245*'01 - Dados de Entrada'!$C$121</f>
        <v>2913.5280000000002</v>
      </c>
      <c r="O123" s="148">
        <f>(O56+O60+O72)*'01 - Dados de Entrada'!$C$245*'01 - Dados de Entrada'!$C$121</f>
        <v>2913.5280000000002</v>
      </c>
      <c r="P123" s="148">
        <f>(P56+P60+P72)*'01 - Dados de Entrada'!$C$245*'01 - Dados de Entrada'!$C$121</f>
        <v>2913.5280000000002</v>
      </c>
      <c r="Q123" s="148">
        <f>(Q56+Q60+Q72)*'01 - Dados de Entrada'!$C$245*'01 - Dados de Entrada'!$C$121</f>
        <v>2913.5280000000002</v>
      </c>
      <c r="R123" s="148">
        <f>(R56+R60+R72)*'01 - Dados de Entrada'!$C$245*'01 - Dados de Entrada'!$C$121</f>
        <v>2913.5280000000002</v>
      </c>
      <c r="S123" s="148">
        <f>(S56+S60+S72)*'01 - Dados de Entrada'!$C$245*'01 - Dados de Entrada'!$C$121</f>
        <v>2913.5280000000002</v>
      </c>
      <c r="T123" s="148">
        <f>(T56+T60+T72)*'01 - Dados de Entrada'!$C$245*'01 - Dados de Entrada'!$C$121</f>
        <v>2913.5280000000002</v>
      </c>
      <c r="U123" s="148">
        <f>(U56+U60+U72)*'01 - Dados de Entrada'!$C$245*'01 - Dados de Entrada'!$C$121</f>
        <v>2913.5280000000002</v>
      </c>
      <c r="V123" s="148">
        <f>(V56+V60+V72)*'01 - Dados de Entrada'!$C$245*'01 - Dados de Entrada'!$C$121</f>
        <v>2913.5280000000002</v>
      </c>
      <c r="W123" s="148">
        <f>(W56+W60+W72)*'01 - Dados de Entrada'!$C$245*'01 - Dados de Entrada'!$C$121</f>
        <v>2913.5280000000002</v>
      </c>
      <c r="X123" s="148">
        <f>(X56+X60+X72)*'01 - Dados de Entrada'!$C$245*'01 - Dados de Entrada'!$C$121</f>
        <v>2913.5280000000002</v>
      </c>
      <c r="Y123" s="148">
        <f>(Y56+Y60+Y72)*'01 - Dados de Entrada'!$C$245*'01 - Dados de Entrada'!$C$121</f>
        <v>2913.5280000000002</v>
      </c>
      <c r="Z123" s="148">
        <f>(Z56+Z60+Z72)*'01 - Dados de Entrada'!$C$245*'01 - Dados de Entrada'!$C$121</f>
        <v>2913.5280000000002</v>
      </c>
      <c r="AA123" s="148">
        <f>(AA56+AA60+AA72)*'01 - Dados de Entrada'!$C$245*'01 - Dados de Entrada'!$C$121</f>
        <v>2913.5280000000002</v>
      </c>
      <c r="AB123" s="148">
        <f>(AB56+AB60+AB72)*'01 - Dados de Entrada'!$C$245*'01 - Dados de Entrada'!$C$121</f>
        <v>2913.5280000000002</v>
      </c>
      <c r="AC123" s="148">
        <f>(AC56+AC60+AC72)*'01 - Dados de Entrada'!$C$245*'01 - Dados de Entrada'!$C$121</f>
        <v>2913.5280000000002</v>
      </c>
      <c r="AD123" s="148">
        <f>(AD56+AD60+AD72)*'01 - Dados de Entrada'!$C$245*'01 - Dados de Entrada'!$C$121</f>
        <v>2913.5280000000002</v>
      </c>
      <c r="AE123" s="148">
        <f>(AE56+AE60+AE72)*'01 - Dados de Entrada'!$C$245*'01 - Dados de Entrada'!$C$121</f>
        <v>2913.5280000000002</v>
      </c>
      <c r="AF123" s="148">
        <f>(AF56+AF60+AF72)*'01 - Dados de Entrada'!$C$245*'01 - Dados de Entrada'!$C$121</f>
        <v>2913.5280000000002</v>
      </c>
      <c r="AG123" s="148">
        <f>(AG56+AG60+AG72)*'01 - Dados de Entrada'!$C$245*'01 - Dados de Entrada'!$C$121</f>
        <v>2913.5280000000002</v>
      </c>
      <c r="AH123" s="148">
        <f>(AH56+AH60+AH72)*'01 - Dados de Entrada'!$C$245*'01 - Dados de Entrada'!$C$121</f>
        <v>2913.5280000000002</v>
      </c>
      <c r="AI123" s="148">
        <f>(AI56+AI60+AI72)*'01 - Dados de Entrada'!$C$245*'01 - Dados de Entrada'!$C$121</f>
        <v>2913.5280000000002</v>
      </c>
      <c r="AJ123" s="148">
        <f>(AJ56+AJ60+AJ72)*'01 - Dados de Entrada'!$C$245*'01 - Dados de Entrada'!$C$121</f>
        <v>2913.5280000000002</v>
      </c>
      <c r="AK123" s="148">
        <f>(AK56+AK60+AK72)*'01 - Dados de Entrada'!$C$245*'01 - Dados de Entrada'!$C$121</f>
        <v>2913.5280000000002</v>
      </c>
    </row>
    <row r="124" spans="1:37" s="152" customFormat="1" ht="13.15" customHeight="1" x14ac:dyDescent="0.2">
      <c r="A124" s="147" t="s">
        <v>976</v>
      </c>
      <c r="B124" s="272">
        <f t="shared" si="9"/>
        <v>662705.82000000018</v>
      </c>
      <c r="C124" s="148">
        <f>(C112+C64+C76+C96)*'01 - Dados de Entrada'!$C$246*'01 - Dados de Entrada'!$C$120</f>
        <v>18934.451999999997</v>
      </c>
      <c r="D124" s="148">
        <f>(D112+D64+D76+D96)*'01 - Dados de Entrada'!$C$246*'01 - Dados de Entrada'!$C$120</f>
        <v>18934.451999999997</v>
      </c>
      <c r="E124" s="148">
        <f>(E112+E64+E76+E96)*'01 - Dados de Entrada'!$C$246*'01 - Dados de Entrada'!$C$120</f>
        <v>18934.451999999997</v>
      </c>
      <c r="F124" s="148">
        <f>(F112+F64+F76+F96)*'01 - Dados de Entrada'!$C$246*'01 - Dados de Entrada'!$C$120</f>
        <v>18934.451999999997</v>
      </c>
      <c r="G124" s="148">
        <f>(G112+G64+G76+G96)*'01 - Dados de Entrada'!$C$246*'01 - Dados de Entrada'!$C$120</f>
        <v>18934.451999999997</v>
      </c>
      <c r="H124" s="148">
        <f>(H112+H64+H76+H96)*'01 - Dados de Entrada'!$C$246*'01 - Dados de Entrada'!$C$120</f>
        <v>18934.451999999997</v>
      </c>
      <c r="I124" s="148">
        <f>(I112+I64+I76+I96)*'01 - Dados de Entrada'!$C$246*'01 - Dados de Entrada'!$C$120</f>
        <v>18934.451999999997</v>
      </c>
      <c r="J124" s="148">
        <f>(J112+J64+J76+J96)*'01 - Dados de Entrada'!$C$246*'01 - Dados de Entrada'!$C$120</f>
        <v>18934.451999999997</v>
      </c>
      <c r="K124" s="148">
        <f>(K112+K64+K76+K96)*'01 - Dados de Entrada'!$C$246*'01 - Dados de Entrada'!$C$120</f>
        <v>18934.451999999997</v>
      </c>
      <c r="L124" s="148">
        <f>(L112+L64+L76+L96)*'01 - Dados de Entrada'!$C$246*'01 - Dados de Entrada'!$C$120</f>
        <v>18934.451999999997</v>
      </c>
      <c r="M124" s="148">
        <f>(M112+M64+M76+M96)*'01 - Dados de Entrada'!$C$246*'01 - Dados de Entrada'!$C$120</f>
        <v>18934.451999999997</v>
      </c>
      <c r="N124" s="148">
        <f>(N112+N64+N76+N96)*'01 - Dados de Entrada'!$C$246*'01 - Dados de Entrada'!$C$120</f>
        <v>18934.451999999997</v>
      </c>
      <c r="O124" s="148">
        <f>(O112+O64+O76+O96)*'01 - Dados de Entrada'!$C$246*'01 - Dados de Entrada'!$C$120</f>
        <v>18934.451999999997</v>
      </c>
      <c r="P124" s="148">
        <f>(P112+P64+P76+P96)*'01 - Dados de Entrada'!$C$246*'01 - Dados de Entrada'!$C$120</f>
        <v>18934.451999999997</v>
      </c>
      <c r="Q124" s="148">
        <f>(Q112+Q64+Q76+Q96)*'01 - Dados de Entrada'!$C$246*'01 - Dados de Entrada'!$C$120</f>
        <v>18934.451999999997</v>
      </c>
      <c r="R124" s="148">
        <f>(R112+R64+R76+R96)*'01 - Dados de Entrada'!$C$246*'01 - Dados de Entrada'!$C$120</f>
        <v>18934.451999999997</v>
      </c>
      <c r="S124" s="148">
        <f>(S112+S64+S76+S96)*'01 - Dados de Entrada'!$C$246*'01 - Dados de Entrada'!$C$120</f>
        <v>18934.451999999997</v>
      </c>
      <c r="T124" s="148">
        <f>(T112+T64+T76+T96)*'01 - Dados de Entrada'!$C$246*'01 - Dados de Entrada'!$C$120</f>
        <v>18934.451999999997</v>
      </c>
      <c r="U124" s="148">
        <f>(U112+U64+U76+U96)*'01 - Dados de Entrada'!$C$246*'01 - Dados de Entrada'!$C$120</f>
        <v>18934.451999999997</v>
      </c>
      <c r="V124" s="148">
        <f>(V112+V64+V76+V96)*'01 - Dados de Entrada'!$C$246*'01 - Dados de Entrada'!$C$120</f>
        <v>18934.451999999997</v>
      </c>
      <c r="W124" s="148">
        <f>(W112+W64+W76+W96)*'01 - Dados de Entrada'!$C$246*'01 - Dados de Entrada'!$C$120</f>
        <v>18934.451999999997</v>
      </c>
      <c r="X124" s="148">
        <f>(X112+X64+X76+X96)*'01 - Dados de Entrada'!$C$246*'01 - Dados de Entrada'!$C$120</f>
        <v>18934.451999999997</v>
      </c>
      <c r="Y124" s="148">
        <f>(Y112+Y64+Y76+Y96)*'01 - Dados de Entrada'!$C$246*'01 - Dados de Entrada'!$C$120</f>
        <v>18934.451999999997</v>
      </c>
      <c r="Z124" s="148">
        <f>(Z112+Z64+Z76+Z96)*'01 - Dados de Entrada'!$C$246*'01 - Dados de Entrada'!$C$120</f>
        <v>18934.451999999997</v>
      </c>
      <c r="AA124" s="148">
        <f>(AA112+AA64+AA76+AA96)*'01 - Dados de Entrada'!$C$246*'01 - Dados de Entrada'!$C$120</f>
        <v>18934.451999999997</v>
      </c>
      <c r="AB124" s="148">
        <f>(AB112+AB64+AB76+AB96)*'01 - Dados de Entrada'!$C$246*'01 - Dados de Entrada'!$C$120</f>
        <v>18934.451999999997</v>
      </c>
      <c r="AC124" s="148">
        <f>(AC112+AC64+AC76+AC96)*'01 - Dados de Entrada'!$C$246*'01 - Dados de Entrada'!$C$120</f>
        <v>18934.451999999997</v>
      </c>
      <c r="AD124" s="148">
        <f>(AD112+AD64+AD76+AD96)*'01 - Dados de Entrada'!$C$246*'01 - Dados de Entrada'!$C$120</f>
        <v>18934.451999999997</v>
      </c>
      <c r="AE124" s="148">
        <f>(AE112+AE64+AE76+AE96)*'01 - Dados de Entrada'!$C$246*'01 - Dados de Entrada'!$C$120</f>
        <v>18934.451999999997</v>
      </c>
      <c r="AF124" s="148">
        <f>(AF112+AF64+AF76+AF96)*'01 - Dados de Entrada'!$C$246*'01 - Dados de Entrada'!$C$120</f>
        <v>18934.451999999997</v>
      </c>
      <c r="AG124" s="148">
        <f>(AG112+AG64+AG76+AG96)*'01 - Dados de Entrada'!$C$246*'01 - Dados de Entrada'!$C$120</f>
        <v>18934.451999999997</v>
      </c>
      <c r="AH124" s="148">
        <f>(AH112+AH64+AH76+AH96)*'01 - Dados de Entrada'!$C$246*'01 - Dados de Entrada'!$C$120</f>
        <v>18934.451999999997</v>
      </c>
      <c r="AI124" s="148">
        <f>(AI112+AI64+AI76+AI96)*'01 - Dados de Entrada'!$C$246*'01 - Dados de Entrada'!$C$120</f>
        <v>18934.451999999997</v>
      </c>
      <c r="AJ124" s="148">
        <f>(AJ112+AJ64+AJ76+AJ96)*'01 - Dados de Entrada'!$C$246*'01 - Dados de Entrada'!$C$120</f>
        <v>18934.451999999997</v>
      </c>
      <c r="AK124" s="148">
        <f>(AK112+AK64+AK76+AK96)*'01 - Dados de Entrada'!$C$246*'01 - Dados de Entrada'!$C$120</f>
        <v>18934.451999999997</v>
      </c>
    </row>
    <row r="125" spans="1:37" s="35" customFormat="1" ht="13.15" customHeight="1" x14ac:dyDescent="0.2">
      <c r="A125" s="271"/>
      <c r="B125" s="272">
        <f t="shared" si="9"/>
        <v>0</v>
      </c>
    </row>
    <row r="126" spans="1:37" s="35" customFormat="1" ht="13.15" customHeight="1" x14ac:dyDescent="0.2">
      <c r="A126" s="271" t="s">
        <v>977</v>
      </c>
      <c r="B126" s="272">
        <f>SUM(C126:AK126)</f>
        <v>8509620</v>
      </c>
      <c r="C126" s="274">
        <f>SUM(C127:C131)</f>
        <v>224580</v>
      </c>
      <c r="D126" s="274">
        <f t="shared" ref="D126:AK126" si="10">SUM(D127:D131)</f>
        <v>224580</v>
      </c>
      <c r="E126" s="274">
        <f t="shared" si="10"/>
        <v>224580</v>
      </c>
      <c r="F126" s="274">
        <f t="shared" si="10"/>
        <v>224580</v>
      </c>
      <c r="G126" s="274">
        <f t="shared" si="10"/>
        <v>224580</v>
      </c>
      <c r="H126" s="274">
        <f t="shared" si="10"/>
        <v>235920</v>
      </c>
      <c r="I126" s="274">
        <f t="shared" si="10"/>
        <v>235920</v>
      </c>
      <c r="J126" s="274">
        <f t="shared" si="10"/>
        <v>246960</v>
      </c>
      <c r="K126" s="274">
        <f t="shared" si="10"/>
        <v>246960</v>
      </c>
      <c r="L126" s="274">
        <f t="shared" si="10"/>
        <v>246960</v>
      </c>
      <c r="M126" s="274">
        <f t="shared" si="10"/>
        <v>246960</v>
      </c>
      <c r="N126" s="274">
        <f t="shared" si="10"/>
        <v>246960</v>
      </c>
      <c r="O126" s="274">
        <f t="shared" si="10"/>
        <v>246960</v>
      </c>
      <c r="P126" s="274">
        <f t="shared" si="10"/>
        <v>246960</v>
      </c>
      <c r="Q126" s="274">
        <f t="shared" si="10"/>
        <v>246960</v>
      </c>
      <c r="R126" s="274">
        <f t="shared" si="10"/>
        <v>246960</v>
      </c>
      <c r="S126" s="274">
        <f t="shared" si="10"/>
        <v>246960</v>
      </c>
      <c r="T126" s="274">
        <f t="shared" si="10"/>
        <v>246960</v>
      </c>
      <c r="U126" s="274">
        <f t="shared" si="10"/>
        <v>246960</v>
      </c>
      <c r="V126" s="274">
        <f t="shared" si="10"/>
        <v>246960</v>
      </c>
      <c r="W126" s="274">
        <f t="shared" si="10"/>
        <v>246960</v>
      </c>
      <c r="X126" s="274">
        <f t="shared" si="10"/>
        <v>246960</v>
      </c>
      <c r="Y126" s="274">
        <f t="shared" si="10"/>
        <v>246960</v>
      </c>
      <c r="Z126" s="274">
        <f t="shared" si="10"/>
        <v>246960</v>
      </c>
      <c r="AA126" s="274">
        <f t="shared" si="10"/>
        <v>246960</v>
      </c>
      <c r="AB126" s="274">
        <f t="shared" si="10"/>
        <v>246960</v>
      </c>
      <c r="AC126" s="274">
        <f t="shared" si="10"/>
        <v>246960</v>
      </c>
      <c r="AD126" s="274">
        <f t="shared" si="10"/>
        <v>246960</v>
      </c>
      <c r="AE126" s="274">
        <f t="shared" si="10"/>
        <v>246960</v>
      </c>
      <c r="AF126" s="274">
        <f t="shared" si="10"/>
        <v>246960</v>
      </c>
      <c r="AG126" s="274">
        <f t="shared" si="10"/>
        <v>246960</v>
      </c>
      <c r="AH126" s="274">
        <f t="shared" si="10"/>
        <v>246960</v>
      </c>
      <c r="AI126" s="274">
        <f t="shared" si="10"/>
        <v>246960</v>
      </c>
      <c r="AJ126" s="274">
        <f t="shared" si="10"/>
        <v>246960</v>
      </c>
      <c r="AK126" s="274">
        <f t="shared" si="10"/>
        <v>246960</v>
      </c>
    </row>
    <row r="127" spans="1:37" s="152" customFormat="1" ht="13.15" customHeight="1" x14ac:dyDescent="0.2">
      <c r="A127" s="464" t="s">
        <v>460</v>
      </c>
      <c r="B127" s="272">
        <f t="shared" si="9"/>
        <v>7595520</v>
      </c>
      <c r="C127" s="465">
        <f>'01 - Dados de Entrada'!$C$247*('04 - Veículos e Equipamentos'!B7+'04 - Veículos e Equipamentos'!B9+'04 - Veículos e Equipamentos'!B10+'04 - Veículos e Equipamentos'!B14+'04 - Veículos e Equipamentos'!B18+'04 - Veículos e Equipamentos'!B20+'04 - Veículos e Equipamentos'!B41+'04 - Veículos e Equipamentos'!B44+'04 - Veículos e Equipamentos'!B55+'04 - Veículos e Equipamentos'!B65)</f>
        <v>198720</v>
      </c>
      <c r="D127" s="467">
        <f>'01 - Dados de Entrada'!$C$247*('04 - Veículos e Equipamentos'!C7+'04 - Veículos e Equipamentos'!C9+'04 - Veículos e Equipamentos'!C10+'04 - Veículos e Equipamentos'!C14+'04 - Veículos e Equipamentos'!C18+'04 - Veículos e Equipamentos'!C20+'04 - Veículos e Equipamentos'!C41+'04 - Veículos e Equipamentos'!C44+'04 - Veículos e Equipamentos'!C55+'04 - Veículos e Equipamentos'!C65)</f>
        <v>198720</v>
      </c>
      <c r="E127" s="467">
        <f>'01 - Dados de Entrada'!$C$247*('04 - Veículos e Equipamentos'!D7+'04 - Veículos e Equipamentos'!D9+'04 - Veículos e Equipamentos'!D10+'04 - Veículos e Equipamentos'!D14+'04 - Veículos e Equipamentos'!D18+'04 - Veículos e Equipamentos'!D20+'04 - Veículos e Equipamentos'!D41+'04 - Veículos e Equipamentos'!D44+'04 - Veículos e Equipamentos'!D55+'04 - Veículos e Equipamentos'!D65)</f>
        <v>198720</v>
      </c>
      <c r="F127" s="467">
        <f>'01 - Dados de Entrada'!$C$247*('04 - Veículos e Equipamentos'!E7+'04 - Veículos e Equipamentos'!E9+'04 - Veículos e Equipamentos'!E10+'04 - Veículos e Equipamentos'!E14+'04 - Veículos e Equipamentos'!E18+'04 - Veículos e Equipamentos'!E20+'04 - Veículos e Equipamentos'!E41+'04 - Veículos e Equipamentos'!E44+'04 - Veículos e Equipamentos'!E55+'04 - Veículos e Equipamentos'!E65)</f>
        <v>198720</v>
      </c>
      <c r="G127" s="467">
        <f>'01 - Dados de Entrada'!$C$247*('04 - Veículos e Equipamentos'!F7+'04 - Veículos e Equipamentos'!F9+'04 - Veículos e Equipamentos'!F10+'04 - Veículos e Equipamentos'!F14+'04 - Veículos e Equipamentos'!F18+'04 - Veículos e Equipamentos'!F20+'04 - Veículos e Equipamentos'!F41+'04 - Veículos e Equipamentos'!F44+'04 - Veículos e Equipamentos'!F55+'04 - Veículos e Equipamentos'!F65)</f>
        <v>198720</v>
      </c>
      <c r="H127" s="467">
        <f>'01 - Dados de Entrada'!$C$247*('04 - Veículos e Equipamentos'!G7+'04 - Veículos e Equipamentos'!G9+'04 - Veículos e Equipamentos'!G10+'04 - Veículos e Equipamentos'!G14+'04 - Veículos e Equipamentos'!G18+'04 - Veículos e Equipamentos'!G20+'04 - Veículos e Equipamentos'!G41+'04 - Veículos e Equipamentos'!G44+'04 - Veículos e Equipamentos'!G55+'04 - Veículos e Equipamentos'!G65)</f>
        <v>209760</v>
      </c>
      <c r="I127" s="467">
        <f>'01 - Dados de Entrada'!$C$247*('04 - Veículos e Equipamentos'!H7+'04 - Veículos e Equipamentos'!H9+'04 - Veículos e Equipamentos'!H10+'04 - Veículos e Equipamentos'!H14+'04 - Veículos e Equipamentos'!H18+'04 - Veículos e Equipamentos'!H20+'04 - Veículos e Equipamentos'!H41+'04 - Veículos e Equipamentos'!H44+'04 - Veículos e Equipamentos'!H55+'04 - Veículos e Equipamentos'!H65)</f>
        <v>209760</v>
      </c>
      <c r="J127" s="467">
        <f>'01 - Dados de Entrada'!$C$247*('04 - Veículos e Equipamentos'!I7+'04 - Veículos e Equipamentos'!I9+'04 - Veículos e Equipamentos'!I10+'04 - Veículos e Equipamentos'!I14+'04 - Veículos e Equipamentos'!I18+'04 - Veículos e Equipamentos'!I20+'04 - Veículos e Equipamentos'!I41+'04 - Veículos e Equipamentos'!I44+'04 - Veículos e Equipamentos'!I55+'04 - Veículos e Equipamentos'!I65)</f>
        <v>220800</v>
      </c>
      <c r="K127" s="467">
        <f>'01 - Dados de Entrada'!$C$247*('04 - Veículos e Equipamentos'!J7+'04 - Veículos e Equipamentos'!J9+'04 - Veículos e Equipamentos'!J10+'04 - Veículos e Equipamentos'!J14+'04 - Veículos e Equipamentos'!J18+'04 - Veículos e Equipamentos'!J20+'04 - Veículos e Equipamentos'!J41+'04 - Veículos e Equipamentos'!J44+'04 - Veículos e Equipamentos'!J55+'04 - Veículos e Equipamentos'!J65)</f>
        <v>220800</v>
      </c>
      <c r="L127" s="467">
        <f>'01 - Dados de Entrada'!$C$247*('04 - Veículos e Equipamentos'!K7+'04 - Veículos e Equipamentos'!K9+'04 - Veículos e Equipamentos'!K10+'04 - Veículos e Equipamentos'!K14+'04 - Veículos e Equipamentos'!K18+'04 - Veículos e Equipamentos'!K20+'04 - Veículos e Equipamentos'!K41+'04 - Veículos e Equipamentos'!K44+'04 - Veículos e Equipamentos'!K55+'04 - Veículos e Equipamentos'!K65)</f>
        <v>220800</v>
      </c>
      <c r="M127" s="467">
        <f>'01 - Dados de Entrada'!$C$247*('04 - Veículos e Equipamentos'!L7+'04 - Veículos e Equipamentos'!L9+'04 - Veículos e Equipamentos'!L10+'04 - Veículos e Equipamentos'!L14+'04 - Veículos e Equipamentos'!L18+'04 - Veículos e Equipamentos'!L20+'04 - Veículos e Equipamentos'!L41+'04 - Veículos e Equipamentos'!L44+'04 - Veículos e Equipamentos'!L55+'04 - Veículos e Equipamentos'!L65)</f>
        <v>220800</v>
      </c>
      <c r="N127" s="467">
        <f>'01 - Dados de Entrada'!$C$247*('04 - Veículos e Equipamentos'!M7+'04 - Veículos e Equipamentos'!M9+'04 - Veículos e Equipamentos'!M10+'04 - Veículos e Equipamentos'!M14+'04 - Veículos e Equipamentos'!M18+'04 - Veículos e Equipamentos'!M20+'04 - Veículos e Equipamentos'!M41+'04 - Veículos e Equipamentos'!M44+'04 - Veículos e Equipamentos'!M55+'04 - Veículos e Equipamentos'!M65)</f>
        <v>220800</v>
      </c>
      <c r="O127" s="467">
        <f>'01 - Dados de Entrada'!$C$247*('04 - Veículos e Equipamentos'!N7+'04 - Veículos e Equipamentos'!N9+'04 - Veículos e Equipamentos'!N10+'04 - Veículos e Equipamentos'!N14+'04 - Veículos e Equipamentos'!N18+'04 - Veículos e Equipamentos'!N20+'04 - Veículos e Equipamentos'!N41+'04 - Veículos e Equipamentos'!N44+'04 - Veículos e Equipamentos'!N55+'04 - Veículos e Equipamentos'!N65)</f>
        <v>220800</v>
      </c>
      <c r="P127" s="467">
        <f>'01 - Dados de Entrada'!$C$247*('04 - Veículos e Equipamentos'!O7+'04 - Veículos e Equipamentos'!O9+'04 - Veículos e Equipamentos'!O10+'04 - Veículos e Equipamentos'!O14+'04 - Veículos e Equipamentos'!O18+'04 - Veículos e Equipamentos'!O20+'04 - Veículos e Equipamentos'!O41+'04 - Veículos e Equipamentos'!O44+'04 - Veículos e Equipamentos'!O55+'04 - Veículos e Equipamentos'!O65)</f>
        <v>220800</v>
      </c>
      <c r="Q127" s="467">
        <f>'01 - Dados de Entrada'!$C$247*('04 - Veículos e Equipamentos'!P7+'04 - Veículos e Equipamentos'!P9+'04 - Veículos e Equipamentos'!P10+'04 - Veículos e Equipamentos'!P14+'04 - Veículos e Equipamentos'!P18+'04 - Veículos e Equipamentos'!P20+'04 - Veículos e Equipamentos'!P41+'04 - Veículos e Equipamentos'!P44+'04 - Veículos e Equipamentos'!P55+'04 - Veículos e Equipamentos'!P65)</f>
        <v>220800</v>
      </c>
      <c r="R127" s="467">
        <f>'01 - Dados de Entrada'!$C$247*('04 - Veículos e Equipamentos'!Q7+'04 - Veículos e Equipamentos'!Q9+'04 - Veículos e Equipamentos'!Q10+'04 - Veículos e Equipamentos'!Q14+'04 - Veículos e Equipamentos'!Q18+'04 - Veículos e Equipamentos'!Q20+'04 - Veículos e Equipamentos'!Q41+'04 - Veículos e Equipamentos'!Q44+'04 - Veículos e Equipamentos'!Q55+'04 - Veículos e Equipamentos'!Q65)</f>
        <v>220800</v>
      </c>
      <c r="S127" s="467">
        <f>'01 - Dados de Entrada'!$C$247*('04 - Veículos e Equipamentos'!R7+'04 - Veículos e Equipamentos'!R9+'04 - Veículos e Equipamentos'!R10+'04 - Veículos e Equipamentos'!R14+'04 - Veículos e Equipamentos'!R18+'04 - Veículos e Equipamentos'!R20+'04 - Veículos e Equipamentos'!R41+'04 - Veículos e Equipamentos'!R44+'04 - Veículos e Equipamentos'!R55+'04 - Veículos e Equipamentos'!R65)</f>
        <v>220800</v>
      </c>
      <c r="T127" s="467">
        <f>'01 - Dados de Entrada'!$C$247*('04 - Veículos e Equipamentos'!S7+'04 - Veículos e Equipamentos'!S9+'04 - Veículos e Equipamentos'!S10+'04 - Veículos e Equipamentos'!S14+'04 - Veículos e Equipamentos'!S18+'04 - Veículos e Equipamentos'!S20+'04 - Veículos e Equipamentos'!S41+'04 - Veículos e Equipamentos'!S44+'04 - Veículos e Equipamentos'!S55+'04 - Veículos e Equipamentos'!S65)</f>
        <v>220800</v>
      </c>
      <c r="U127" s="467">
        <f>'01 - Dados de Entrada'!$C$247*('04 - Veículos e Equipamentos'!T7+'04 - Veículos e Equipamentos'!T9+'04 - Veículos e Equipamentos'!T10+'04 - Veículos e Equipamentos'!T14+'04 - Veículos e Equipamentos'!T18+'04 - Veículos e Equipamentos'!T20+'04 - Veículos e Equipamentos'!T41+'04 - Veículos e Equipamentos'!T44+'04 - Veículos e Equipamentos'!T55+'04 - Veículos e Equipamentos'!T65)</f>
        <v>220800</v>
      </c>
      <c r="V127" s="467">
        <f>'01 - Dados de Entrada'!$C$247*('04 - Veículos e Equipamentos'!U7+'04 - Veículos e Equipamentos'!U9+'04 - Veículos e Equipamentos'!U10+'04 - Veículos e Equipamentos'!U14+'04 - Veículos e Equipamentos'!U18+'04 - Veículos e Equipamentos'!U20+'04 - Veículos e Equipamentos'!U41+'04 - Veículos e Equipamentos'!U44+'04 - Veículos e Equipamentos'!U55+'04 - Veículos e Equipamentos'!U65)</f>
        <v>220800</v>
      </c>
      <c r="W127" s="467">
        <f>'01 - Dados de Entrada'!$C$247*('04 - Veículos e Equipamentos'!V7+'04 - Veículos e Equipamentos'!V9+'04 - Veículos e Equipamentos'!V10+'04 - Veículos e Equipamentos'!V14+'04 - Veículos e Equipamentos'!V18+'04 - Veículos e Equipamentos'!V20+'04 - Veículos e Equipamentos'!V41+'04 - Veículos e Equipamentos'!V44+'04 - Veículos e Equipamentos'!V55+'04 - Veículos e Equipamentos'!V65)</f>
        <v>220800</v>
      </c>
      <c r="X127" s="467">
        <f>'01 - Dados de Entrada'!$C$247*('04 - Veículos e Equipamentos'!W7+'04 - Veículos e Equipamentos'!W9+'04 - Veículos e Equipamentos'!W10+'04 - Veículos e Equipamentos'!W14+'04 - Veículos e Equipamentos'!W18+'04 - Veículos e Equipamentos'!W20+'04 - Veículos e Equipamentos'!W41+'04 - Veículos e Equipamentos'!W44+'04 - Veículos e Equipamentos'!W55+'04 - Veículos e Equipamentos'!W65)</f>
        <v>220800</v>
      </c>
      <c r="Y127" s="467">
        <f>'01 - Dados de Entrada'!$C$247*('04 - Veículos e Equipamentos'!X7+'04 - Veículos e Equipamentos'!X9+'04 - Veículos e Equipamentos'!X10+'04 - Veículos e Equipamentos'!X14+'04 - Veículos e Equipamentos'!X18+'04 - Veículos e Equipamentos'!X20+'04 - Veículos e Equipamentos'!X41+'04 - Veículos e Equipamentos'!X44+'04 - Veículos e Equipamentos'!X55+'04 - Veículos e Equipamentos'!X65)</f>
        <v>220800</v>
      </c>
      <c r="Z127" s="467">
        <f>'01 - Dados de Entrada'!$C$247*('04 - Veículos e Equipamentos'!Y7+'04 - Veículos e Equipamentos'!Y9+'04 - Veículos e Equipamentos'!Y10+'04 - Veículos e Equipamentos'!Y14+'04 - Veículos e Equipamentos'!Y18+'04 - Veículos e Equipamentos'!Y20+'04 - Veículos e Equipamentos'!Y41+'04 - Veículos e Equipamentos'!Y44+'04 - Veículos e Equipamentos'!Y55+'04 - Veículos e Equipamentos'!Y65)</f>
        <v>220800</v>
      </c>
      <c r="AA127" s="467">
        <f>'01 - Dados de Entrada'!$C$247*('04 - Veículos e Equipamentos'!Z7+'04 - Veículos e Equipamentos'!Z9+'04 - Veículos e Equipamentos'!Z10+'04 - Veículos e Equipamentos'!Z14+'04 - Veículos e Equipamentos'!Z18+'04 - Veículos e Equipamentos'!Z20+'04 - Veículos e Equipamentos'!Z41+'04 - Veículos e Equipamentos'!Z44+'04 - Veículos e Equipamentos'!Z55+'04 - Veículos e Equipamentos'!Z65)</f>
        <v>220800</v>
      </c>
      <c r="AB127" s="467">
        <f>'01 - Dados de Entrada'!$C$247*('04 - Veículos e Equipamentos'!AA7+'04 - Veículos e Equipamentos'!AA9+'04 - Veículos e Equipamentos'!AA10+'04 - Veículos e Equipamentos'!AA14+'04 - Veículos e Equipamentos'!AA18+'04 - Veículos e Equipamentos'!AA20+'04 - Veículos e Equipamentos'!AA41+'04 - Veículos e Equipamentos'!AA44+'04 - Veículos e Equipamentos'!AA55+'04 - Veículos e Equipamentos'!AA65)</f>
        <v>220800</v>
      </c>
      <c r="AC127" s="467">
        <f>'01 - Dados de Entrada'!$C$247*('04 - Veículos e Equipamentos'!AB7+'04 - Veículos e Equipamentos'!AB9+'04 - Veículos e Equipamentos'!AB10+'04 - Veículos e Equipamentos'!AB14+'04 - Veículos e Equipamentos'!AB18+'04 - Veículos e Equipamentos'!AB20+'04 - Veículos e Equipamentos'!AB41+'04 - Veículos e Equipamentos'!AB44+'04 - Veículos e Equipamentos'!AB55+'04 - Veículos e Equipamentos'!AB65)</f>
        <v>220800</v>
      </c>
      <c r="AD127" s="467">
        <f>'01 - Dados de Entrada'!$C$247*('04 - Veículos e Equipamentos'!AC7+'04 - Veículos e Equipamentos'!AC9+'04 - Veículos e Equipamentos'!AC10+'04 - Veículos e Equipamentos'!AC14+'04 - Veículos e Equipamentos'!AC18+'04 - Veículos e Equipamentos'!AC20+'04 - Veículos e Equipamentos'!AC41+'04 - Veículos e Equipamentos'!AC44+'04 - Veículos e Equipamentos'!AC55+'04 - Veículos e Equipamentos'!AC65)</f>
        <v>220800</v>
      </c>
      <c r="AE127" s="467">
        <f>'01 - Dados de Entrada'!$C$247*('04 - Veículos e Equipamentos'!AD7+'04 - Veículos e Equipamentos'!AD9+'04 - Veículos e Equipamentos'!AD10+'04 - Veículos e Equipamentos'!AD14+'04 - Veículos e Equipamentos'!AD18+'04 - Veículos e Equipamentos'!AD20+'04 - Veículos e Equipamentos'!AD41+'04 - Veículos e Equipamentos'!AD44+'04 - Veículos e Equipamentos'!AD55+'04 - Veículos e Equipamentos'!AD65)</f>
        <v>220800</v>
      </c>
      <c r="AF127" s="467">
        <f>'01 - Dados de Entrada'!$C$247*('04 - Veículos e Equipamentos'!AE7+'04 - Veículos e Equipamentos'!AE9+'04 - Veículos e Equipamentos'!AE10+'04 - Veículos e Equipamentos'!AE14+'04 - Veículos e Equipamentos'!AE18+'04 - Veículos e Equipamentos'!AE20+'04 - Veículos e Equipamentos'!AE41+'04 - Veículos e Equipamentos'!AE44+'04 - Veículos e Equipamentos'!AE55+'04 - Veículos e Equipamentos'!AE65)</f>
        <v>220800</v>
      </c>
      <c r="AG127" s="467">
        <f>'01 - Dados de Entrada'!$C$247*('04 - Veículos e Equipamentos'!AF7+'04 - Veículos e Equipamentos'!AF9+'04 - Veículos e Equipamentos'!AF10+'04 - Veículos e Equipamentos'!AF14+'04 - Veículos e Equipamentos'!AF18+'04 - Veículos e Equipamentos'!AF20+'04 - Veículos e Equipamentos'!AF41+'04 - Veículos e Equipamentos'!AF44+'04 - Veículos e Equipamentos'!AF55+'04 - Veículos e Equipamentos'!AF65)</f>
        <v>220800</v>
      </c>
      <c r="AH127" s="467">
        <f>'01 - Dados de Entrada'!$C$247*('04 - Veículos e Equipamentos'!AG7+'04 - Veículos e Equipamentos'!AG9+'04 - Veículos e Equipamentos'!AG10+'04 - Veículos e Equipamentos'!AG14+'04 - Veículos e Equipamentos'!AG18+'04 - Veículos e Equipamentos'!AG20+'04 - Veículos e Equipamentos'!AG41+'04 - Veículos e Equipamentos'!AG44+'04 - Veículos e Equipamentos'!AG55+'04 - Veículos e Equipamentos'!AG65)</f>
        <v>220800</v>
      </c>
      <c r="AI127" s="467">
        <f>'01 - Dados de Entrada'!$C$247*('04 - Veículos e Equipamentos'!AH7+'04 - Veículos e Equipamentos'!AH9+'04 - Veículos e Equipamentos'!AH10+'04 - Veículos e Equipamentos'!AH14+'04 - Veículos e Equipamentos'!AH18+'04 - Veículos e Equipamentos'!AH20+'04 - Veículos e Equipamentos'!AH41+'04 - Veículos e Equipamentos'!AH44+'04 - Veículos e Equipamentos'!AH55+'04 - Veículos e Equipamentos'!AH65)</f>
        <v>220800</v>
      </c>
      <c r="AJ127" s="467">
        <f>'01 - Dados de Entrada'!$C$247*('04 - Veículos e Equipamentos'!AI7+'04 - Veículos e Equipamentos'!AI9+'04 - Veículos e Equipamentos'!AI10+'04 - Veículos e Equipamentos'!AI14+'04 - Veículos e Equipamentos'!AI18+'04 - Veículos e Equipamentos'!AI20+'04 - Veículos e Equipamentos'!AI41+'04 - Veículos e Equipamentos'!AI44+'04 - Veículos e Equipamentos'!AI55+'04 - Veículos e Equipamentos'!AI65)</f>
        <v>220800</v>
      </c>
      <c r="AK127" s="467">
        <f>'01 - Dados de Entrada'!$C$247*('04 - Veículos e Equipamentos'!AJ7+'04 - Veículos e Equipamentos'!AJ9+'04 - Veículos e Equipamentos'!AJ10+'04 - Veículos e Equipamentos'!AJ14+'04 - Veículos e Equipamentos'!AJ18+'04 - Veículos e Equipamentos'!AJ20+'04 - Veículos e Equipamentos'!AJ41+'04 - Veículos e Equipamentos'!AJ44+'04 - Veículos e Equipamentos'!AJ55+'04 - Veículos e Equipamentos'!AJ65)</f>
        <v>220800</v>
      </c>
    </row>
    <row r="128" spans="1:37" s="152" customFormat="1" ht="13.15" customHeight="1" x14ac:dyDescent="0.2">
      <c r="A128" s="464" t="s">
        <v>978</v>
      </c>
      <c r="B128" s="272">
        <f t="shared" si="9"/>
        <v>483000</v>
      </c>
      <c r="C128" s="465">
        <f>'01 - Dados de Entrada'!$C$248*('04 - Veículos e Equipamentos'!B8+'04 - Veículos e Equipamentos'!B11+'04 - Veículos e Equipamentos'!B19+'04 - Veículos e Equipamentos'!B42)</f>
        <v>13800</v>
      </c>
      <c r="D128" s="467">
        <f>'01 - Dados de Entrada'!$C$248*('04 - Veículos e Equipamentos'!C8+'04 - Veículos e Equipamentos'!C11+'04 - Veículos e Equipamentos'!C19+'04 - Veículos e Equipamentos'!C42)</f>
        <v>13800</v>
      </c>
      <c r="E128" s="467">
        <f>'01 - Dados de Entrada'!$C$248*('04 - Veículos e Equipamentos'!D8+'04 - Veículos e Equipamentos'!D11+'04 - Veículos e Equipamentos'!D19+'04 - Veículos e Equipamentos'!D42)</f>
        <v>13800</v>
      </c>
      <c r="F128" s="467">
        <f>'01 - Dados de Entrada'!$C$248*('04 - Veículos e Equipamentos'!E8+'04 - Veículos e Equipamentos'!E11+'04 - Veículos e Equipamentos'!E19+'04 - Veículos e Equipamentos'!E42)</f>
        <v>13800</v>
      </c>
      <c r="G128" s="467">
        <f>'01 - Dados de Entrada'!$C$248*('04 - Veículos e Equipamentos'!F8+'04 - Veículos e Equipamentos'!F11+'04 - Veículos e Equipamentos'!F19+'04 - Veículos e Equipamentos'!F42)</f>
        <v>13800</v>
      </c>
      <c r="H128" s="467">
        <f>'01 - Dados de Entrada'!$C$248*('04 - Veículos e Equipamentos'!G8+'04 - Veículos e Equipamentos'!G11+'04 - Veículos e Equipamentos'!G19+'04 - Veículos e Equipamentos'!G42)</f>
        <v>13800</v>
      </c>
      <c r="I128" s="467">
        <f>'01 - Dados de Entrada'!$C$248*('04 - Veículos e Equipamentos'!H8+'04 - Veículos e Equipamentos'!H11+'04 - Veículos e Equipamentos'!H19+'04 - Veículos e Equipamentos'!H42)</f>
        <v>13800</v>
      </c>
      <c r="J128" s="467">
        <f>'01 - Dados de Entrada'!$C$248*('04 - Veículos e Equipamentos'!I8+'04 - Veículos e Equipamentos'!I11+'04 - Veículos e Equipamentos'!I19+'04 - Veículos e Equipamentos'!I42)</f>
        <v>13800</v>
      </c>
      <c r="K128" s="467">
        <f>'01 - Dados de Entrada'!$C$248*('04 - Veículos e Equipamentos'!J8+'04 - Veículos e Equipamentos'!J11+'04 - Veículos e Equipamentos'!J19+'04 - Veículos e Equipamentos'!J42)</f>
        <v>13800</v>
      </c>
      <c r="L128" s="467">
        <f>'01 - Dados de Entrada'!$C$248*('04 - Veículos e Equipamentos'!K8+'04 - Veículos e Equipamentos'!K11+'04 - Veículos e Equipamentos'!K19+'04 - Veículos e Equipamentos'!K42)</f>
        <v>13800</v>
      </c>
      <c r="M128" s="467">
        <f>'01 - Dados de Entrada'!$C$248*('04 - Veículos e Equipamentos'!L8+'04 - Veículos e Equipamentos'!L11+'04 - Veículos e Equipamentos'!L19+'04 - Veículos e Equipamentos'!L42)</f>
        <v>13800</v>
      </c>
      <c r="N128" s="467">
        <f>'01 - Dados de Entrada'!$C$248*('04 - Veículos e Equipamentos'!M8+'04 - Veículos e Equipamentos'!M11+'04 - Veículos e Equipamentos'!M19+'04 - Veículos e Equipamentos'!M42)</f>
        <v>13800</v>
      </c>
      <c r="O128" s="467">
        <f>'01 - Dados de Entrada'!$C$248*('04 - Veículos e Equipamentos'!N8+'04 - Veículos e Equipamentos'!N11+'04 - Veículos e Equipamentos'!N19+'04 - Veículos e Equipamentos'!N42)</f>
        <v>13800</v>
      </c>
      <c r="P128" s="467">
        <f>'01 - Dados de Entrada'!$C$248*('04 - Veículos e Equipamentos'!O8+'04 - Veículos e Equipamentos'!O11+'04 - Veículos e Equipamentos'!O19+'04 - Veículos e Equipamentos'!O42)</f>
        <v>13800</v>
      </c>
      <c r="Q128" s="467">
        <f>'01 - Dados de Entrada'!$C$248*('04 - Veículos e Equipamentos'!P8+'04 - Veículos e Equipamentos'!P11+'04 - Veículos e Equipamentos'!P19+'04 - Veículos e Equipamentos'!P42)</f>
        <v>13800</v>
      </c>
      <c r="R128" s="467">
        <f>'01 - Dados de Entrada'!$C$248*('04 - Veículos e Equipamentos'!Q8+'04 - Veículos e Equipamentos'!Q11+'04 - Veículos e Equipamentos'!Q19+'04 - Veículos e Equipamentos'!Q42)</f>
        <v>13800</v>
      </c>
      <c r="S128" s="467">
        <f>'01 - Dados de Entrada'!$C$248*('04 - Veículos e Equipamentos'!R8+'04 - Veículos e Equipamentos'!R11+'04 - Veículos e Equipamentos'!R19+'04 - Veículos e Equipamentos'!R42)</f>
        <v>13800</v>
      </c>
      <c r="T128" s="467">
        <f>'01 - Dados de Entrada'!$C$248*('04 - Veículos e Equipamentos'!S8+'04 - Veículos e Equipamentos'!S11+'04 - Veículos e Equipamentos'!S19+'04 - Veículos e Equipamentos'!S42)</f>
        <v>13800</v>
      </c>
      <c r="U128" s="467">
        <f>'01 - Dados de Entrada'!$C$248*('04 - Veículos e Equipamentos'!T8+'04 - Veículos e Equipamentos'!T11+'04 - Veículos e Equipamentos'!T19+'04 - Veículos e Equipamentos'!T42)</f>
        <v>13800</v>
      </c>
      <c r="V128" s="467">
        <f>'01 - Dados de Entrada'!$C$248*('04 - Veículos e Equipamentos'!U8+'04 - Veículos e Equipamentos'!U11+'04 - Veículos e Equipamentos'!U19+'04 - Veículos e Equipamentos'!U42)</f>
        <v>13800</v>
      </c>
      <c r="W128" s="467">
        <f>'01 - Dados de Entrada'!$C$248*('04 - Veículos e Equipamentos'!V8+'04 - Veículos e Equipamentos'!V11+'04 - Veículos e Equipamentos'!V19+'04 - Veículos e Equipamentos'!V42)</f>
        <v>13800</v>
      </c>
      <c r="X128" s="467">
        <f>'01 - Dados de Entrada'!$C$248*('04 - Veículos e Equipamentos'!W8+'04 - Veículos e Equipamentos'!W11+'04 - Veículos e Equipamentos'!W19+'04 - Veículos e Equipamentos'!W42)</f>
        <v>13800</v>
      </c>
      <c r="Y128" s="467">
        <f>'01 - Dados de Entrada'!$C$248*('04 - Veículos e Equipamentos'!X8+'04 - Veículos e Equipamentos'!X11+'04 - Veículos e Equipamentos'!X19+'04 - Veículos e Equipamentos'!X42)</f>
        <v>13800</v>
      </c>
      <c r="Z128" s="467">
        <f>'01 - Dados de Entrada'!$C$248*('04 - Veículos e Equipamentos'!Y8+'04 - Veículos e Equipamentos'!Y11+'04 - Veículos e Equipamentos'!Y19+'04 - Veículos e Equipamentos'!Y42)</f>
        <v>13800</v>
      </c>
      <c r="AA128" s="467">
        <f>'01 - Dados de Entrada'!$C$248*('04 - Veículos e Equipamentos'!Z8+'04 - Veículos e Equipamentos'!Z11+'04 - Veículos e Equipamentos'!Z19+'04 - Veículos e Equipamentos'!Z42)</f>
        <v>13800</v>
      </c>
      <c r="AB128" s="467">
        <f>'01 - Dados de Entrada'!$C$248*('04 - Veículos e Equipamentos'!AA8+'04 - Veículos e Equipamentos'!AA11+'04 - Veículos e Equipamentos'!AA19+'04 - Veículos e Equipamentos'!AA42)</f>
        <v>13800</v>
      </c>
      <c r="AC128" s="467">
        <f>'01 - Dados de Entrada'!$C$248*('04 - Veículos e Equipamentos'!AB8+'04 - Veículos e Equipamentos'!AB11+'04 - Veículos e Equipamentos'!AB19+'04 - Veículos e Equipamentos'!AB42)</f>
        <v>13800</v>
      </c>
      <c r="AD128" s="467">
        <f>'01 - Dados de Entrada'!$C$248*('04 - Veículos e Equipamentos'!AC8+'04 - Veículos e Equipamentos'!AC11+'04 - Veículos e Equipamentos'!AC19+'04 - Veículos e Equipamentos'!AC42)</f>
        <v>13800</v>
      </c>
      <c r="AE128" s="467">
        <f>'01 - Dados de Entrada'!$C$248*('04 - Veículos e Equipamentos'!AD8+'04 - Veículos e Equipamentos'!AD11+'04 - Veículos e Equipamentos'!AD19+'04 - Veículos e Equipamentos'!AD42)</f>
        <v>13800</v>
      </c>
      <c r="AF128" s="467">
        <f>'01 - Dados de Entrada'!$C$248*('04 - Veículos e Equipamentos'!AE8+'04 - Veículos e Equipamentos'!AE11+'04 - Veículos e Equipamentos'!AE19+'04 - Veículos e Equipamentos'!AE42)</f>
        <v>13800</v>
      </c>
      <c r="AG128" s="467">
        <f>'01 - Dados de Entrada'!$C$248*('04 - Veículos e Equipamentos'!AF8+'04 - Veículos e Equipamentos'!AF11+'04 - Veículos e Equipamentos'!AF19+'04 - Veículos e Equipamentos'!AF42)</f>
        <v>13800</v>
      </c>
      <c r="AH128" s="467">
        <f>'01 - Dados de Entrada'!$C$248*('04 - Veículos e Equipamentos'!AG8+'04 - Veículos e Equipamentos'!AG11+'04 - Veículos e Equipamentos'!AG19+'04 - Veículos e Equipamentos'!AG42)</f>
        <v>13800</v>
      </c>
      <c r="AI128" s="467">
        <f>'01 - Dados de Entrada'!$C$248*('04 - Veículos e Equipamentos'!AH8+'04 - Veículos e Equipamentos'!AH11+'04 - Veículos e Equipamentos'!AH19+'04 - Veículos e Equipamentos'!AH42)</f>
        <v>13800</v>
      </c>
      <c r="AJ128" s="467">
        <f>'01 - Dados de Entrada'!$C$248*('04 - Veículos e Equipamentos'!AI8+'04 - Veículos e Equipamentos'!AI11+'04 - Veículos e Equipamentos'!AI19+'04 - Veículos e Equipamentos'!AI42)</f>
        <v>13800</v>
      </c>
      <c r="AK128" s="467">
        <f>'01 - Dados de Entrada'!$C$248*('04 - Veículos e Equipamentos'!AJ8+'04 - Veículos e Equipamentos'!AJ11+'04 - Veículos e Equipamentos'!AJ19+'04 - Veículos e Equipamentos'!AJ42)</f>
        <v>13800</v>
      </c>
    </row>
    <row r="129" spans="1:37" s="152" customFormat="1" ht="13.15" customHeight="1" x14ac:dyDescent="0.2">
      <c r="A129" s="464" t="s">
        <v>465</v>
      </c>
      <c r="B129" s="272">
        <f t="shared" si="9"/>
        <v>147000</v>
      </c>
      <c r="C129" s="466">
        <f>'01 - Dados de Entrada'!$C$249*('04 - Veículos e Equipamentos'!B15+'04 - Veículos e Equipamentos'!B22+'04 - Veículos e Equipamentos'!B25+'04 - Veículos e Equipamentos'!B27+'04 - Veículos e Equipamentos'!B29+'04 - Veículos e Equipamentos'!B31)</f>
        <v>4200</v>
      </c>
      <c r="D129" s="154">
        <f>'01 - Dados de Entrada'!$C$249*('04 - Veículos e Equipamentos'!C15+'04 - Veículos e Equipamentos'!C22+'04 - Veículos e Equipamentos'!C25+'04 - Veículos e Equipamentos'!C27+'04 - Veículos e Equipamentos'!C29+'04 - Veículos e Equipamentos'!C31)</f>
        <v>4200</v>
      </c>
      <c r="E129" s="154">
        <f>'01 - Dados de Entrada'!$C$249*('04 - Veículos e Equipamentos'!D15+'04 - Veículos e Equipamentos'!D22+'04 - Veículos e Equipamentos'!D25+'04 - Veículos e Equipamentos'!D27+'04 - Veículos e Equipamentos'!D29+'04 - Veículos e Equipamentos'!D31)</f>
        <v>4200</v>
      </c>
      <c r="F129" s="154">
        <f>'01 - Dados de Entrada'!$C$249*('04 - Veículos e Equipamentos'!E15+'04 - Veículos e Equipamentos'!E22+'04 - Veículos e Equipamentos'!E25+'04 - Veículos e Equipamentos'!E27+'04 - Veículos e Equipamentos'!E29+'04 - Veículos e Equipamentos'!E31)</f>
        <v>4200</v>
      </c>
      <c r="G129" s="154">
        <f>'01 - Dados de Entrada'!$C$249*('04 - Veículos e Equipamentos'!F15+'04 - Veículos e Equipamentos'!F22+'04 - Veículos e Equipamentos'!F25+'04 - Veículos e Equipamentos'!F27+'04 - Veículos e Equipamentos'!F29+'04 - Veículos e Equipamentos'!F31)</f>
        <v>4200</v>
      </c>
      <c r="H129" s="154">
        <f>'01 - Dados de Entrada'!$C$249*('04 - Veículos e Equipamentos'!G15+'04 - Veículos e Equipamentos'!G22+'04 - Veículos e Equipamentos'!G25+'04 - Veículos e Equipamentos'!G27+'04 - Veículos e Equipamentos'!G29+'04 - Veículos e Equipamentos'!G31)</f>
        <v>4200</v>
      </c>
      <c r="I129" s="154">
        <f>'01 - Dados de Entrada'!$C$249*('04 - Veículos e Equipamentos'!H15+'04 - Veículos e Equipamentos'!H22+'04 - Veículos e Equipamentos'!H25+'04 - Veículos e Equipamentos'!H27+'04 - Veículos e Equipamentos'!H29+'04 - Veículos e Equipamentos'!H31)</f>
        <v>4200</v>
      </c>
      <c r="J129" s="154">
        <f>'01 - Dados de Entrada'!$C$249*('04 - Veículos e Equipamentos'!I15+'04 - Veículos e Equipamentos'!I22+'04 - Veículos e Equipamentos'!I25+'04 - Veículos e Equipamentos'!I27+'04 - Veículos e Equipamentos'!I29+'04 - Veículos e Equipamentos'!I31)</f>
        <v>4200</v>
      </c>
      <c r="K129" s="154">
        <f>'01 - Dados de Entrada'!$C$249*('04 - Veículos e Equipamentos'!J15+'04 - Veículos e Equipamentos'!J22+'04 - Veículos e Equipamentos'!J25+'04 - Veículos e Equipamentos'!J27+'04 - Veículos e Equipamentos'!J29+'04 - Veículos e Equipamentos'!J31)</f>
        <v>4200</v>
      </c>
      <c r="L129" s="154">
        <f>'01 - Dados de Entrada'!$C$249*('04 - Veículos e Equipamentos'!K15+'04 - Veículos e Equipamentos'!K22+'04 - Veículos e Equipamentos'!K25+'04 - Veículos e Equipamentos'!K27+'04 - Veículos e Equipamentos'!K29+'04 - Veículos e Equipamentos'!K31)</f>
        <v>4200</v>
      </c>
      <c r="M129" s="154">
        <f>'01 - Dados de Entrada'!$C$249*('04 - Veículos e Equipamentos'!L15+'04 - Veículos e Equipamentos'!L22+'04 - Veículos e Equipamentos'!L25+'04 - Veículos e Equipamentos'!L27+'04 - Veículos e Equipamentos'!L29+'04 - Veículos e Equipamentos'!L31)</f>
        <v>4200</v>
      </c>
      <c r="N129" s="154">
        <f>'01 - Dados de Entrada'!$C$249*('04 - Veículos e Equipamentos'!M15+'04 - Veículos e Equipamentos'!M22+'04 - Veículos e Equipamentos'!M25+'04 - Veículos e Equipamentos'!M27+'04 - Veículos e Equipamentos'!M29+'04 - Veículos e Equipamentos'!M31)</f>
        <v>4200</v>
      </c>
      <c r="O129" s="154">
        <f>'01 - Dados de Entrada'!$C$249*('04 - Veículos e Equipamentos'!N15+'04 - Veículos e Equipamentos'!N22+'04 - Veículos e Equipamentos'!N25+'04 - Veículos e Equipamentos'!N27+'04 - Veículos e Equipamentos'!N29+'04 - Veículos e Equipamentos'!N31)</f>
        <v>4200</v>
      </c>
      <c r="P129" s="154">
        <f>'01 - Dados de Entrada'!$C$249*('04 - Veículos e Equipamentos'!O15+'04 - Veículos e Equipamentos'!O22+'04 - Veículos e Equipamentos'!O25+'04 - Veículos e Equipamentos'!O27+'04 - Veículos e Equipamentos'!O29+'04 - Veículos e Equipamentos'!O31)</f>
        <v>4200</v>
      </c>
      <c r="Q129" s="154">
        <f>'01 - Dados de Entrada'!$C$249*('04 - Veículos e Equipamentos'!P15+'04 - Veículos e Equipamentos'!P22+'04 - Veículos e Equipamentos'!P25+'04 - Veículos e Equipamentos'!P27+'04 - Veículos e Equipamentos'!P29+'04 - Veículos e Equipamentos'!P31)</f>
        <v>4200</v>
      </c>
      <c r="R129" s="154">
        <f>'01 - Dados de Entrada'!$C$249*('04 - Veículos e Equipamentos'!Q15+'04 - Veículos e Equipamentos'!Q22+'04 - Veículos e Equipamentos'!Q25+'04 - Veículos e Equipamentos'!Q27+'04 - Veículos e Equipamentos'!Q29+'04 - Veículos e Equipamentos'!Q31)</f>
        <v>4200</v>
      </c>
      <c r="S129" s="154">
        <f>'01 - Dados de Entrada'!$C$249*('04 - Veículos e Equipamentos'!R15+'04 - Veículos e Equipamentos'!R22+'04 - Veículos e Equipamentos'!R25+'04 - Veículos e Equipamentos'!R27+'04 - Veículos e Equipamentos'!R29+'04 - Veículos e Equipamentos'!R31)</f>
        <v>4200</v>
      </c>
      <c r="T129" s="154">
        <f>'01 - Dados de Entrada'!$C$249*('04 - Veículos e Equipamentos'!S15+'04 - Veículos e Equipamentos'!S22+'04 - Veículos e Equipamentos'!S25+'04 - Veículos e Equipamentos'!S27+'04 - Veículos e Equipamentos'!S29+'04 - Veículos e Equipamentos'!S31)</f>
        <v>4200</v>
      </c>
      <c r="U129" s="154">
        <f>'01 - Dados de Entrada'!$C$249*('04 - Veículos e Equipamentos'!T15+'04 - Veículos e Equipamentos'!T22+'04 - Veículos e Equipamentos'!T25+'04 - Veículos e Equipamentos'!T27+'04 - Veículos e Equipamentos'!T29+'04 - Veículos e Equipamentos'!T31)</f>
        <v>4200</v>
      </c>
      <c r="V129" s="154">
        <f>'01 - Dados de Entrada'!$C$249*('04 - Veículos e Equipamentos'!U15+'04 - Veículos e Equipamentos'!U22+'04 - Veículos e Equipamentos'!U25+'04 - Veículos e Equipamentos'!U27+'04 - Veículos e Equipamentos'!U29+'04 - Veículos e Equipamentos'!U31)</f>
        <v>4200</v>
      </c>
      <c r="W129" s="154">
        <f>'01 - Dados de Entrada'!$C$249*('04 - Veículos e Equipamentos'!V15+'04 - Veículos e Equipamentos'!V22+'04 - Veículos e Equipamentos'!V25+'04 - Veículos e Equipamentos'!V27+'04 - Veículos e Equipamentos'!V29+'04 - Veículos e Equipamentos'!V31)</f>
        <v>4200</v>
      </c>
      <c r="X129" s="154">
        <f>'01 - Dados de Entrada'!$C$249*('04 - Veículos e Equipamentos'!W15+'04 - Veículos e Equipamentos'!W22+'04 - Veículos e Equipamentos'!W25+'04 - Veículos e Equipamentos'!W27+'04 - Veículos e Equipamentos'!W29+'04 - Veículos e Equipamentos'!W31)</f>
        <v>4200</v>
      </c>
      <c r="Y129" s="154">
        <f>'01 - Dados de Entrada'!$C$249*('04 - Veículos e Equipamentos'!X15+'04 - Veículos e Equipamentos'!X22+'04 - Veículos e Equipamentos'!X25+'04 - Veículos e Equipamentos'!X27+'04 - Veículos e Equipamentos'!X29+'04 - Veículos e Equipamentos'!X31)</f>
        <v>4200</v>
      </c>
      <c r="Z129" s="154">
        <f>'01 - Dados de Entrada'!$C$249*('04 - Veículos e Equipamentos'!Y15+'04 - Veículos e Equipamentos'!Y22+'04 - Veículos e Equipamentos'!Y25+'04 - Veículos e Equipamentos'!Y27+'04 - Veículos e Equipamentos'!Y29+'04 - Veículos e Equipamentos'!Y31)</f>
        <v>4200</v>
      </c>
      <c r="AA129" s="154">
        <f>'01 - Dados de Entrada'!$C$249*('04 - Veículos e Equipamentos'!Z15+'04 - Veículos e Equipamentos'!Z22+'04 - Veículos e Equipamentos'!Z25+'04 - Veículos e Equipamentos'!Z27+'04 - Veículos e Equipamentos'!Z29+'04 - Veículos e Equipamentos'!Z31)</f>
        <v>4200</v>
      </c>
      <c r="AB129" s="154">
        <f>'01 - Dados de Entrada'!$C$249*('04 - Veículos e Equipamentos'!AA15+'04 - Veículos e Equipamentos'!AA22+'04 - Veículos e Equipamentos'!AA25+'04 - Veículos e Equipamentos'!AA27+'04 - Veículos e Equipamentos'!AA29+'04 - Veículos e Equipamentos'!AA31)</f>
        <v>4200</v>
      </c>
      <c r="AC129" s="154">
        <f>'01 - Dados de Entrada'!$C$249*('04 - Veículos e Equipamentos'!AB15+'04 - Veículos e Equipamentos'!AB22+'04 - Veículos e Equipamentos'!AB25+'04 - Veículos e Equipamentos'!AB27+'04 - Veículos e Equipamentos'!AB29+'04 - Veículos e Equipamentos'!AB31)</f>
        <v>4200</v>
      </c>
      <c r="AD129" s="154">
        <f>'01 - Dados de Entrada'!$C$249*('04 - Veículos e Equipamentos'!AC15+'04 - Veículos e Equipamentos'!AC22+'04 - Veículos e Equipamentos'!AC25+'04 - Veículos e Equipamentos'!AC27+'04 - Veículos e Equipamentos'!AC29+'04 - Veículos e Equipamentos'!AC31)</f>
        <v>4200</v>
      </c>
      <c r="AE129" s="154">
        <f>'01 - Dados de Entrada'!$C$249*('04 - Veículos e Equipamentos'!AD15+'04 - Veículos e Equipamentos'!AD22+'04 - Veículos e Equipamentos'!AD25+'04 - Veículos e Equipamentos'!AD27+'04 - Veículos e Equipamentos'!AD29+'04 - Veículos e Equipamentos'!AD31)</f>
        <v>4200</v>
      </c>
      <c r="AF129" s="154">
        <f>'01 - Dados de Entrada'!$C$249*('04 - Veículos e Equipamentos'!AE15+'04 - Veículos e Equipamentos'!AE22+'04 - Veículos e Equipamentos'!AE25+'04 - Veículos e Equipamentos'!AE27+'04 - Veículos e Equipamentos'!AE29+'04 - Veículos e Equipamentos'!AE31)</f>
        <v>4200</v>
      </c>
      <c r="AG129" s="154">
        <f>'01 - Dados de Entrada'!$C$249*('04 - Veículos e Equipamentos'!AF15+'04 - Veículos e Equipamentos'!AF22+'04 - Veículos e Equipamentos'!AF25+'04 - Veículos e Equipamentos'!AF27+'04 - Veículos e Equipamentos'!AF29+'04 - Veículos e Equipamentos'!AF31)</f>
        <v>4200</v>
      </c>
      <c r="AH129" s="154">
        <f>'01 - Dados de Entrada'!$C$249*('04 - Veículos e Equipamentos'!AG15+'04 - Veículos e Equipamentos'!AG22+'04 - Veículos e Equipamentos'!AG25+'04 - Veículos e Equipamentos'!AG27+'04 - Veículos e Equipamentos'!AG29+'04 - Veículos e Equipamentos'!AG31)</f>
        <v>4200</v>
      </c>
      <c r="AI129" s="154">
        <f>'01 - Dados de Entrada'!$C$249*('04 - Veículos e Equipamentos'!AH15+'04 - Veículos e Equipamentos'!AH22+'04 - Veículos e Equipamentos'!AH25+'04 - Veículos e Equipamentos'!AH27+'04 - Veículos e Equipamentos'!AH29+'04 - Veículos e Equipamentos'!AH31)</f>
        <v>4200</v>
      </c>
      <c r="AJ129" s="154">
        <f>'01 - Dados de Entrada'!$C$249*('04 - Veículos e Equipamentos'!AI15+'04 - Veículos e Equipamentos'!AI22+'04 - Veículos e Equipamentos'!AI25+'04 - Veículos e Equipamentos'!AI27+'04 - Veículos e Equipamentos'!AI29+'04 - Veículos e Equipamentos'!AI31)</f>
        <v>4200</v>
      </c>
      <c r="AK129" s="154">
        <f>'01 - Dados de Entrada'!$C$249*('04 - Veículos e Equipamentos'!AJ15+'04 - Veículos e Equipamentos'!AJ22+'04 - Veículos e Equipamentos'!AJ25+'04 - Veículos e Equipamentos'!AJ27+'04 - Veículos e Equipamentos'!AJ29+'04 - Veículos e Equipamentos'!AJ31)</f>
        <v>4200</v>
      </c>
    </row>
    <row r="130" spans="1:37" s="152" customFormat="1" ht="13.15" customHeight="1" x14ac:dyDescent="0.2">
      <c r="A130" s="464" t="s">
        <v>467</v>
      </c>
      <c r="B130" s="272">
        <f t="shared" si="9"/>
        <v>82500</v>
      </c>
      <c r="C130" s="466">
        <f>'01 - Dados de Entrada'!$C$250*('04 - Veículos e Equipamentos'!B16+'04 - Veículos e Equipamentos'!B23+'04 - Veículos e Equipamentos'!B53+'04 - Veículos e Equipamentos'!B57+'04 - Veículos e Equipamentos'!B66+'04 - Veículos e Equipamentos'!B74)</f>
        <v>2100</v>
      </c>
      <c r="D130" s="154">
        <f>'01 - Dados de Entrada'!$C$250*('04 - Veículos e Equipamentos'!C16+'04 - Veículos e Equipamentos'!C23+'04 - Veículos e Equipamentos'!C53+'04 - Veículos e Equipamentos'!C57+'04 - Veículos e Equipamentos'!C66+'04 - Veículos e Equipamentos'!C74)</f>
        <v>2100</v>
      </c>
      <c r="E130" s="154">
        <f>'01 - Dados de Entrada'!$C$250*('04 - Veículos e Equipamentos'!D16+'04 - Veículos e Equipamentos'!D23+'04 - Veículos e Equipamentos'!D53+'04 - Veículos e Equipamentos'!D57+'04 - Veículos e Equipamentos'!D66+'04 - Veículos e Equipamentos'!D74)</f>
        <v>2100</v>
      </c>
      <c r="F130" s="154">
        <f>'01 - Dados de Entrada'!$C$250*('04 - Veículos e Equipamentos'!E16+'04 - Veículos e Equipamentos'!E23+'04 - Veículos e Equipamentos'!E53+'04 - Veículos e Equipamentos'!E57+'04 - Veículos e Equipamentos'!E66+'04 - Veículos e Equipamentos'!E74)</f>
        <v>2100</v>
      </c>
      <c r="G130" s="154">
        <f>'01 - Dados de Entrada'!$C$250*('04 - Veículos e Equipamentos'!F16+'04 - Veículos e Equipamentos'!F23+'04 - Veículos e Equipamentos'!F53+'04 - Veículos e Equipamentos'!F57+'04 - Veículos e Equipamentos'!F66+'04 - Veículos e Equipamentos'!F74)</f>
        <v>2100</v>
      </c>
      <c r="H130" s="154">
        <f>'01 - Dados de Entrada'!$C$250*('04 - Veículos e Equipamentos'!G16+'04 - Veículos e Equipamentos'!G23+'04 - Veículos e Equipamentos'!G53+'04 - Veículos e Equipamentos'!G57+'04 - Veículos e Equipamentos'!G66+'04 - Veículos e Equipamentos'!G74)</f>
        <v>2400</v>
      </c>
      <c r="I130" s="154">
        <f>'01 - Dados de Entrada'!$C$250*('04 - Veículos e Equipamentos'!H16+'04 - Veículos e Equipamentos'!H23+'04 - Veículos e Equipamentos'!H53+'04 - Veículos e Equipamentos'!H57+'04 - Veículos e Equipamentos'!H66+'04 - Veículos e Equipamentos'!H74)</f>
        <v>2400</v>
      </c>
      <c r="J130" s="154">
        <f>'01 - Dados de Entrada'!$C$250*('04 - Veículos e Equipamentos'!I16+'04 - Veículos e Equipamentos'!I23+'04 - Veículos e Equipamentos'!I53+'04 - Veículos e Equipamentos'!I57+'04 - Veículos e Equipamentos'!I66+'04 - Veículos e Equipamentos'!I74)</f>
        <v>2400</v>
      </c>
      <c r="K130" s="154">
        <f>'01 - Dados de Entrada'!$C$250*('04 - Veículos e Equipamentos'!J16+'04 - Veículos e Equipamentos'!J23+'04 - Veículos e Equipamentos'!J53+'04 - Veículos e Equipamentos'!J57+'04 - Veículos e Equipamentos'!J66+'04 - Veículos e Equipamentos'!J74)</f>
        <v>2400</v>
      </c>
      <c r="L130" s="154">
        <f>'01 - Dados de Entrada'!$C$250*('04 - Veículos e Equipamentos'!K16+'04 - Veículos e Equipamentos'!K23+'04 - Veículos e Equipamentos'!K53+'04 - Veículos e Equipamentos'!K57+'04 - Veículos e Equipamentos'!K66+'04 - Veículos e Equipamentos'!K74)</f>
        <v>2400</v>
      </c>
      <c r="M130" s="154">
        <f>'01 - Dados de Entrada'!$C$250*('04 - Veículos e Equipamentos'!L16+'04 - Veículos e Equipamentos'!L23+'04 - Veículos e Equipamentos'!L53+'04 - Veículos e Equipamentos'!L57+'04 - Veículos e Equipamentos'!L66+'04 - Veículos e Equipamentos'!L74)</f>
        <v>2400</v>
      </c>
      <c r="N130" s="154">
        <f>'01 - Dados de Entrada'!$C$250*('04 - Veículos e Equipamentos'!M16+'04 - Veículos e Equipamentos'!M23+'04 - Veículos e Equipamentos'!M53+'04 - Veículos e Equipamentos'!M57+'04 - Veículos e Equipamentos'!M66+'04 - Veículos e Equipamentos'!M74)</f>
        <v>2400</v>
      </c>
      <c r="O130" s="154">
        <f>'01 - Dados de Entrada'!$C$250*('04 - Veículos e Equipamentos'!N16+'04 - Veículos e Equipamentos'!N23+'04 - Veículos e Equipamentos'!N53+'04 - Veículos e Equipamentos'!N57+'04 - Veículos e Equipamentos'!N66+'04 - Veículos e Equipamentos'!N74)</f>
        <v>2400</v>
      </c>
      <c r="P130" s="154">
        <f>'01 - Dados de Entrada'!$C$250*('04 - Veículos e Equipamentos'!O16+'04 - Veículos e Equipamentos'!O23+'04 - Veículos e Equipamentos'!O53+'04 - Veículos e Equipamentos'!O57+'04 - Veículos e Equipamentos'!O66+'04 - Veículos e Equipamentos'!O74)</f>
        <v>2400</v>
      </c>
      <c r="Q130" s="154">
        <f>'01 - Dados de Entrada'!$C$250*('04 - Veículos e Equipamentos'!P16+'04 - Veículos e Equipamentos'!P23+'04 - Veículos e Equipamentos'!P53+'04 - Veículos e Equipamentos'!P57+'04 - Veículos e Equipamentos'!P66+'04 - Veículos e Equipamentos'!P74)</f>
        <v>2400</v>
      </c>
      <c r="R130" s="154">
        <f>'01 - Dados de Entrada'!$C$250*('04 - Veículos e Equipamentos'!Q16+'04 - Veículos e Equipamentos'!Q23+'04 - Veículos e Equipamentos'!Q53+'04 - Veículos e Equipamentos'!Q57+'04 - Veículos e Equipamentos'!Q66+'04 - Veículos e Equipamentos'!Q74)</f>
        <v>2400</v>
      </c>
      <c r="S130" s="154">
        <f>'01 - Dados de Entrada'!$C$250*('04 - Veículos e Equipamentos'!R16+'04 - Veículos e Equipamentos'!R23+'04 - Veículos e Equipamentos'!R53+'04 - Veículos e Equipamentos'!R57+'04 - Veículos e Equipamentos'!R66+'04 - Veículos e Equipamentos'!R74)</f>
        <v>2400</v>
      </c>
      <c r="T130" s="154">
        <f>'01 - Dados de Entrada'!$C$250*('04 - Veículos e Equipamentos'!S16+'04 - Veículos e Equipamentos'!S23+'04 - Veículos e Equipamentos'!S53+'04 - Veículos e Equipamentos'!S57+'04 - Veículos e Equipamentos'!S66+'04 - Veículos e Equipamentos'!S74)</f>
        <v>2400</v>
      </c>
      <c r="U130" s="154">
        <f>'01 - Dados de Entrada'!$C$250*('04 - Veículos e Equipamentos'!T16+'04 - Veículos e Equipamentos'!T23+'04 - Veículos e Equipamentos'!T53+'04 - Veículos e Equipamentos'!T57+'04 - Veículos e Equipamentos'!T66+'04 - Veículos e Equipamentos'!T74)</f>
        <v>2400</v>
      </c>
      <c r="V130" s="154">
        <f>'01 - Dados de Entrada'!$C$250*('04 - Veículos e Equipamentos'!U16+'04 - Veículos e Equipamentos'!U23+'04 - Veículos e Equipamentos'!U53+'04 - Veículos e Equipamentos'!U57+'04 - Veículos e Equipamentos'!U66+'04 - Veículos e Equipamentos'!U74)</f>
        <v>2400</v>
      </c>
      <c r="W130" s="154">
        <f>'01 - Dados de Entrada'!$C$250*('04 - Veículos e Equipamentos'!V16+'04 - Veículos e Equipamentos'!V23+'04 - Veículos e Equipamentos'!V53+'04 - Veículos e Equipamentos'!V57+'04 - Veículos e Equipamentos'!V66+'04 - Veículos e Equipamentos'!V74)</f>
        <v>2400</v>
      </c>
      <c r="X130" s="154">
        <f>'01 - Dados de Entrada'!$C$250*('04 - Veículos e Equipamentos'!W16+'04 - Veículos e Equipamentos'!W23+'04 - Veículos e Equipamentos'!W53+'04 - Veículos e Equipamentos'!W57+'04 - Veículos e Equipamentos'!W66+'04 - Veículos e Equipamentos'!W74)</f>
        <v>2400</v>
      </c>
      <c r="Y130" s="154">
        <f>'01 - Dados de Entrada'!$C$250*('04 - Veículos e Equipamentos'!X16+'04 - Veículos e Equipamentos'!X23+'04 - Veículos e Equipamentos'!X53+'04 - Veículos e Equipamentos'!X57+'04 - Veículos e Equipamentos'!X66+'04 - Veículos e Equipamentos'!X74)</f>
        <v>2400</v>
      </c>
      <c r="Z130" s="154">
        <f>'01 - Dados de Entrada'!$C$250*('04 - Veículos e Equipamentos'!Y16+'04 - Veículos e Equipamentos'!Y23+'04 - Veículos e Equipamentos'!Y53+'04 - Veículos e Equipamentos'!Y57+'04 - Veículos e Equipamentos'!Y66+'04 - Veículos e Equipamentos'!Y74)</f>
        <v>2400</v>
      </c>
      <c r="AA130" s="154">
        <f>'01 - Dados de Entrada'!$C$250*('04 - Veículos e Equipamentos'!Z16+'04 - Veículos e Equipamentos'!Z23+'04 - Veículos e Equipamentos'!Z53+'04 - Veículos e Equipamentos'!Z57+'04 - Veículos e Equipamentos'!Z66+'04 - Veículos e Equipamentos'!Z74)</f>
        <v>2400</v>
      </c>
      <c r="AB130" s="154">
        <f>'01 - Dados de Entrada'!$C$250*('04 - Veículos e Equipamentos'!AA16+'04 - Veículos e Equipamentos'!AA23+'04 - Veículos e Equipamentos'!AA53+'04 - Veículos e Equipamentos'!AA57+'04 - Veículos e Equipamentos'!AA66+'04 - Veículos e Equipamentos'!AA74)</f>
        <v>2400</v>
      </c>
      <c r="AC130" s="154">
        <f>'01 - Dados de Entrada'!$C$250*('04 - Veículos e Equipamentos'!AB16+'04 - Veículos e Equipamentos'!AB23+'04 - Veículos e Equipamentos'!AB53+'04 - Veículos e Equipamentos'!AB57+'04 - Veículos e Equipamentos'!AB66+'04 - Veículos e Equipamentos'!AB74)</f>
        <v>2400</v>
      </c>
      <c r="AD130" s="154">
        <f>'01 - Dados de Entrada'!$C$250*('04 - Veículos e Equipamentos'!AC16+'04 - Veículos e Equipamentos'!AC23+'04 - Veículos e Equipamentos'!AC53+'04 - Veículos e Equipamentos'!AC57+'04 - Veículos e Equipamentos'!AC66+'04 - Veículos e Equipamentos'!AC74)</f>
        <v>2400</v>
      </c>
      <c r="AE130" s="154">
        <f>'01 - Dados de Entrada'!$C$250*('04 - Veículos e Equipamentos'!AD16+'04 - Veículos e Equipamentos'!AD23+'04 - Veículos e Equipamentos'!AD53+'04 - Veículos e Equipamentos'!AD57+'04 - Veículos e Equipamentos'!AD66+'04 - Veículos e Equipamentos'!AD74)</f>
        <v>2400</v>
      </c>
      <c r="AF130" s="154">
        <f>'01 - Dados de Entrada'!$C$250*('04 - Veículos e Equipamentos'!AE16+'04 - Veículos e Equipamentos'!AE23+'04 - Veículos e Equipamentos'!AE53+'04 - Veículos e Equipamentos'!AE57+'04 - Veículos e Equipamentos'!AE66+'04 - Veículos e Equipamentos'!AE74)</f>
        <v>2400</v>
      </c>
      <c r="AG130" s="154">
        <f>'01 - Dados de Entrada'!$C$250*('04 - Veículos e Equipamentos'!AF16+'04 - Veículos e Equipamentos'!AF23+'04 - Veículos e Equipamentos'!AF53+'04 - Veículos e Equipamentos'!AF57+'04 - Veículos e Equipamentos'!AF66+'04 - Veículos e Equipamentos'!AF74)</f>
        <v>2400</v>
      </c>
      <c r="AH130" s="154">
        <f>'01 - Dados de Entrada'!$C$250*('04 - Veículos e Equipamentos'!AG16+'04 - Veículos e Equipamentos'!AG23+'04 - Veículos e Equipamentos'!AG53+'04 - Veículos e Equipamentos'!AG57+'04 - Veículos e Equipamentos'!AG66+'04 - Veículos e Equipamentos'!AG74)</f>
        <v>2400</v>
      </c>
      <c r="AI130" s="154">
        <f>'01 - Dados de Entrada'!$C$250*('04 - Veículos e Equipamentos'!AH16+'04 - Veículos e Equipamentos'!AH23+'04 - Veículos e Equipamentos'!AH53+'04 - Veículos e Equipamentos'!AH57+'04 - Veículos e Equipamentos'!AH66+'04 - Veículos e Equipamentos'!AH74)</f>
        <v>2400</v>
      </c>
      <c r="AJ130" s="154">
        <f>'01 - Dados de Entrada'!$C$250*('04 - Veículos e Equipamentos'!AI16+'04 - Veículos e Equipamentos'!AI23+'04 - Veículos e Equipamentos'!AI53+'04 - Veículos e Equipamentos'!AI57+'04 - Veículos e Equipamentos'!AI66+'04 - Veículos e Equipamentos'!AI74)</f>
        <v>2400</v>
      </c>
      <c r="AK130" s="154">
        <f>'01 - Dados de Entrada'!$C$250*('04 - Veículos e Equipamentos'!AJ16+'04 - Veículos e Equipamentos'!AJ23+'04 - Veículos e Equipamentos'!AJ53+'04 - Veículos e Equipamentos'!AJ57+'04 - Veículos e Equipamentos'!AJ66+'04 - Veículos e Equipamentos'!AJ74)</f>
        <v>2400</v>
      </c>
    </row>
    <row r="131" spans="1:37" s="152" customFormat="1" ht="13.15" customHeight="1" x14ac:dyDescent="0.2">
      <c r="A131" s="464" t="s">
        <v>979</v>
      </c>
      <c r="B131" s="272">
        <f t="shared" si="9"/>
        <v>201600</v>
      </c>
      <c r="C131" s="466">
        <f>'01 - Dados de Entrada'!$C$251*('04 - Veículos e Equipamentos'!B51+'04 - Veículos e Equipamentos'!B52+'04 - Veículos e Equipamentos'!B56)</f>
        <v>5760</v>
      </c>
      <c r="D131" s="154">
        <f>'01 - Dados de Entrada'!$C$251*('04 - Veículos e Equipamentos'!C51+'04 - Veículos e Equipamentos'!C52+'04 - Veículos e Equipamentos'!C56)</f>
        <v>5760</v>
      </c>
      <c r="E131" s="154">
        <f>'01 - Dados de Entrada'!$C$251*('04 - Veículos e Equipamentos'!D51+'04 - Veículos e Equipamentos'!D52+'04 - Veículos e Equipamentos'!D56)</f>
        <v>5760</v>
      </c>
      <c r="F131" s="154">
        <f>'01 - Dados de Entrada'!$C$251*('04 - Veículos e Equipamentos'!E51+'04 - Veículos e Equipamentos'!E52+'04 - Veículos e Equipamentos'!E56)</f>
        <v>5760</v>
      </c>
      <c r="G131" s="154">
        <f>'01 - Dados de Entrada'!$C$251*('04 - Veículos e Equipamentos'!F51+'04 - Veículos e Equipamentos'!F52+'04 - Veículos e Equipamentos'!F56)</f>
        <v>5760</v>
      </c>
      <c r="H131" s="154">
        <f>'01 - Dados de Entrada'!$C$251*('04 - Veículos e Equipamentos'!G51+'04 - Veículos e Equipamentos'!G52+'04 - Veículos e Equipamentos'!G56)</f>
        <v>5760</v>
      </c>
      <c r="I131" s="154">
        <f>'01 - Dados de Entrada'!$C$251*('04 - Veículos e Equipamentos'!H51+'04 - Veículos e Equipamentos'!H52+'04 - Veículos e Equipamentos'!H56)</f>
        <v>5760</v>
      </c>
      <c r="J131" s="154">
        <f>'01 - Dados de Entrada'!$C$251*('04 - Veículos e Equipamentos'!I51+'04 - Veículos e Equipamentos'!I52+'04 - Veículos e Equipamentos'!I56)</f>
        <v>5760</v>
      </c>
      <c r="K131" s="154">
        <f>'01 - Dados de Entrada'!$C$251*('04 - Veículos e Equipamentos'!J51+'04 - Veículos e Equipamentos'!J52+'04 - Veículos e Equipamentos'!J56)</f>
        <v>5760</v>
      </c>
      <c r="L131" s="154">
        <f>'01 - Dados de Entrada'!$C$251*('04 - Veículos e Equipamentos'!K51+'04 - Veículos e Equipamentos'!K52+'04 - Veículos e Equipamentos'!K56)</f>
        <v>5760</v>
      </c>
      <c r="M131" s="154">
        <f>'01 - Dados de Entrada'!$C$251*('04 - Veículos e Equipamentos'!L51+'04 - Veículos e Equipamentos'!L52+'04 - Veículos e Equipamentos'!L56)</f>
        <v>5760</v>
      </c>
      <c r="N131" s="154">
        <f>'01 - Dados de Entrada'!$C$251*('04 - Veículos e Equipamentos'!M51+'04 - Veículos e Equipamentos'!M52+'04 - Veículos e Equipamentos'!M56)</f>
        <v>5760</v>
      </c>
      <c r="O131" s="154">
        <f>'01 - Dados de Entrada'!$C$251*('04 - Veículos e Equipamentos'!N51+'04 - Veículos e Equipamentos'!N52+'04 - Veículos e Equipamentos'!N56)</f>
        <v>5760</v>
      </c>
      <c r="P131" s="154">
        <f>'01 - Dados de Entrada'!$C$251*('04 - Veículos e Equipamentos'!O51+'04 - Veículos e Equipamentos'!O52+'04 - Veículos e Equipamentos'!O56)</f>
        <v>5760</v>
      </c>
      <c r="Q131" s="154">
        <f>'01 - Dados de Entrada'!$C$251*('04 - Veículos e Equipamentos'!P51+'04 - Veículos e Equipamentos'!P52+'04 - Veículos e Equipamentos'!P56)</f>
        <v>5760</v>
      </c>
      <c r="R131" s="154">
        <f>'01 - Dados de Entrada'!$C$251*('04 - Veículos e Equipamentos'!Q51+'04 - Veículos e Equipamentos'!Q52+'04 - Veículos e Equipamentos'!Q56)</f>
        <v>5760</v>
      </c>
      <c r="S131" s="154">
        <f>'01 - Dados de Entrada'!$C$251*('04 - Veículos e Equipamentos'!R51+'04 - Veículos e Equipamentos'!R52+'04 - Veículos e Equipamentos'!R56)</f>
        <v>5760</v>
      </c>
      <c r="T131" s="154">
        <f>'01 - Dados de Entrada'!$C$251*('04 - Veículos e Equipamentos'!S51+'04 - Veículos e Equipamentos'!S52+'04 - Veículos e Equipamentos'!S56)</f>
        <v>5760</v>
      </c>
      <c r="U131" s="154">
        <f>'01 - Dados de Entrada'!$C$251*('04 - Veículos e Equipamentos'!T51+'04 - Veículos e Equipamentos'!T52+'04 - Veículos e Equipamentos'!T56)</f>
        <v>5760</v>
      </c>
      <c r="V131" s="154">
        <f>'01 - Dados de Entrada'!$C$251*('04 - Veículos e Equipamentos'!U51+'04 - Veículos e Equipamentos'!U52+'04 - Veículos e Equipamentos'!U56)</f>
        <v>5760</v>
      </c>
      <c r="W131" s="154">
        <f>'01 - Dados de Entrada'!$C$251*('04 - Veículos e Equipamentos'!V51+'04 - Veículos e Equipamentos'!V52+'04 - Veículos e Equipamentos'!V56)</f>
        <v>5760</v>
      </c>
      <c r="X131" s="154">
        <f>'01 - Dados de Entrada'!$C$251*('04 - Veículos e Equipamentos'!W51+'04 - Veículos e Equipamentos'!W52+'04 - Veículos e Equipamentos'!W56)</f>
        <v>5760</v>
      </c>
      <c r="Y131" s="154">
        <f>'01 - Dados de Entrada'!$C$251*('04 - Veículos e Equipamentos'!X51+'04 - Veículos e Equipamentos'!X52+'04 - Veículos e Equipamentos'!X56)</f>
        <v>5760</v>
      </c>
      <c r="Z131" s="154">
        <f>'01 - Dados de Entrada'!$C$251*('04 - Veículos e Equipamentos'!Y51+'04 - Veículos e Equipamentos'!Y52+'04 - Veículos e Equipamentos'!Y56)</f>
        <v>5760</v>
      </c>
      <c r="AA131" s="154">
        <f>'01 - Dados de Entrada'!$C$251*('04 - Veículos e Equipamentos'!Z51+'04 - Veículos e Equipamentos'!Z52+'04 - Veículos e Equipamentos'!Z56)</f>
        <v>5760</v>
      </c>
      <c r="AB131" s="154">
        <f>'01 - Dados de Entrada'!$C$251*('04 - Veículos e Equipamentos'!AA51+'04 - Veículos e Equipamentos'!AA52+'04 - Veículos e Equipamentos'!AA56)</f>
        <v>5760</v>
      </c>
      <c r="AC131" s="154">
        <f>'01 - Dados de Entrada'!$C$251*('04 - Veículos e Equipamentos'!AB51+'04 - Veículos e Equipamentos'!AB52+'04 - Veículos e Equipamentos'!AB56)</f>
        <v>5760</v>
      </c>
      <c r="AD131" s="154">
        <f>'01 - Dados de Entrada'!$C$251*('04 - Veículos e Equipamentos'!AC51+'04 - Veículos e Equipamentos'!AC52+'04 - Veículos e Equipamentos'!AC56)</f>
        <v>5760</v>
      </c>
      <c r="AE131" s="154">
        <f>'01 - Dados de Entrada'!$C$251*('04 - Veículos e Equipamentos'!AD51+'04 - Veículos e Equipamentos'!AD52+'04 - Veículos e Equipamentos'!AD56)</f>
        <v>5760</v>
      </c>
      <c r="AF131" s="154">
        <f>'01 - Dados de Entrada'!$C$251*('04 - Veículos e Equipamentos'!AE51+'04 - Veículos e Equipamentos'!AE52+'04 - Veículos e Equipamentos'!AE56)</f>
        <v>5760</v>
      </c>
      <c r="AG131" s="154">
        <f>'01 - Dados de Entrada'!$C$251*('04 - Veículos e Equipamentos'!AF51+'04 - Veículos e Equipamentos'!AF52+'04 - Veículos e Equipamentos'!AF56)</f>
        <v>5760</v>
      </c>
      <c r="AH131" s="154">
        <f>'01 - Dados de Entrada'!$C$251*('04 - Veículos e Equipamentos'!AG51+'04 - Veículos e Equipamentos'!AG52+'04 - Veículos e Equipamentos'!AG56)</f>
        <v>5760</v>
      </c>
      <c r="AI131" s="154">
        <f>'01 - Dados de Entrada'!$C$251*('04 - Veículos e Equipamentos'!AH51+'04 - Veículos e Equipamentos'!AH52+'04 - Veículos e Equipamentos'!AH56)</f>
        <v>5760</v>
      </c>
      <c r="AJ131" s="154">
        <f>'01 - Dados de Entrada'!$C$251*('04 - Veículos e Equipamentos'!AI51+'04 - Veículos e Equipamentos'!AI52+'04 - Veículos e Equipamentos'!AI56)</f>
        <v>5760</v>
      </c>
      <c r="AK131" s="154">
        <f>'01 - Dados de Entrada'!$C$251*('04 - Veículos e Equipamentos'!AJ51+'04 - Veículos e Equipamentos'!AJ52+'04 - Veículos e Equipamentos'!AJ56)</f>
        <v>5760</v>
      </c>
    </row>
    <row r="132" spans="1:37" s="152" customFormat="1" ht="13.15" customHeight="1" x14ac:dyDescent="0.2">
      <c r="B132" s="272"/>
    </row>
    <row r="133" spans="1:37" s="152" customFormat="1" ht="13.15" customHeight="1" x14ac:dyDescent="0.2">
      <c r="A133" s="271" t="s">
        <v>980</v>
      </c>
      <c r="B133" s="272">
        <f>SUM(C133:AK133)</f>
        <v>137801840.38405889</v>
      </c>
      <c r="C133" s="272">
        <f>C6+C116+C126</f>
        <v>3635362.264792237</v>
      </c>
      <c r="D133" s="272">
        <f t="shared" ref="D133:AK133" si="11">D6+D116+D126</f>
        <v>3635362.264792237</v>
      </c>
      <c r="E133" s="272">
        <f t="shared" si="11"/>
        <v>3635362.264792237</v>
      </c>
      <c r="F133" s="272">
        <f t="shared" si="11"/>
        <v>3635362.264792237</v>
      </c>
      <c r="G133" s="272">
        <f t="shared" si="11"/>
        <v>3635362.264792237</v>
      </c>
      <c r="H133" s="272">
        <f t="shared" si="11"/>
        <v>3855048.5945112007</v>
      </c>
      <c r="I133" s="272">
        <f t="shared" si="11"/>
        <v>3855048.5945112007</v>
      </c>
      <c r="J133" s="272">
        <f t="shared" si="11"/>
        <v>3996961.8525384003</v>
      </c>
      <c r="K133" s="272">
        <f t="shared" si="11"/>
        <v>3996961.8525384003</v>
      </c>
      <c r="L133" s="272">
        <f t="shared" si="11"/>
        <v>3996961.8525384003</v>
      </c>
      <c r="M133" s="272">
        <f t="shared" si="11"/>
        <v>3996961.8525384003</v>
      </c>
      <c r="N133" s="272">
        <f t="shared" si="11"/>
        <v>3996961.8525384003</v>
      </c>
      <c r="O133" s="272">
        <f t="shared" si="11"/>
        <v>3996961.8525384003</v>
      </c>
      <c r="P133" s="272">
        <f t="shared" si="11"/>
        <v>3996961.8525384003</v>
      </c>
      <c r="Q133" s="272">
        <f t="shared" si="11"/>
        <v>3996961.8525384003</v>
      </c>
      <c r="R133" s="272">
        <f t="shared" si="11"/>
        <v>3996961.8525384003</v>
      </c>
      <c r="S133" s="272">
        <f t="shared" si="11"/>
        <v>3996961.8525384003</v>
      </c>
      <c r="T133" s="272">
        <f t="shared" si="11"/>
        <v>3996961.8525384003</v>
      </c>
      <c r="U133" s="272">
        <f t="shared" si="11"/>
        <v>3996961.8525384003</v>
      </c>
      <c r="V133" s="272">
        <f t="shared" si="11"/>
        <v>3996961.8525384003</v>
      </c>
      <c r="W133" s="272">
        <f t="shared" si="11"/>
        <v>3996961.8525384003</v>
      </c>
      <c r="X133" s="272">
        <f t="shared" si="11"/>
        <v>3996961.8525384003</v>
      </c>
      <c r="Y133" s="272">
        <f t="shared" si="11"/>
        <v>3996961.8525384003</v>
      </c>
      <c r="Z133" s="272">
        <f t="shared" si="11"/>
        <v>3996961.8525384003</v>
      </c>
      <c r="AA133" s="272">
        <f t="shared" si="11"/>
        <v>3996961.8525384003</v>
      </c>
      <c r="AB133" s="272">
        <f t="shared" si="11"/>
        <v>3996961.8525384003</v>
      </c>
      <c r="AC133" s="272">
        <f t="shared" si="11"/>
        <v>3996961.8525384003</v>
      </c>
      <c r="AD133" s="272">
        <f t="shared" si="11"/>
        <v>3996961.8525384003</v>
      </c>
      <c r="AE133" s="272">
        <f t="shared" si="11"/>
        <v>3996961.8525384003</v>
      </c>
      <c r="AF133" s="272">
        <f t="shared" si="11"/>
        <v>3996961.8525384003</v>
      </c>
      <c r="AG133" s="272">
        <f t="shared" si="11"/>
        <v>3996961.8525384003</v>
      </c>
      <c r="AH133" s="272">
        <f t="shared" si="11"/>
        <v>3996961.8525384003</v>
      </c>
      <c r="AI133" s="272">
        <f t="shared" si="11"/>
        <v>3996961.8525384003</v>
      </c>
      <c r="AJ133" s="272">
        <f t="shared" si="11"/>
        <v>3996961.8525384003</v>
      </c>
      <c r="AK133" s="272">
        <f t="shared" si="11"/>
        <v>3996961.8525384003</v>
      </c>
    </row>
  </sheetData>
  <pageMargins left="0.511811024" right="0.511811024" top="0.78740157499999996" bottom="0.78740157499999996" header="0.31496062000000002" footer="0.31496062000000002"/>
  <pageSetup paperSize="9" scale="2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/>
  <dimension ref="A1:AK94"/>
  <sheetViews>
    <sheetView showGridLines="0"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44.28515625" style="68" customWidth="1"/>
    <col min="2" max="32" width="14" style="68" bestFit="1" customWidth="1"/>
    <col min="33" max="37" width="14" style="68" customWidth="1"/>
    <col min="38" max="16384" width="9.28515625" style="68"/>
  </cols>
  <sheetData>
    <row r="1" spans="1:37" ht="13.15" customHeight="1" x14ac:dyDescent="0.2">
      <c r="A1" s="21" t="s">
        <v>0</v>
      </c>
      <c r="C1" s="67"/>
    </row>
    <row r="2" spans="1:37" ht="13.15" customHeight="1" x14ac:dyDescent="0.2">
      <c r="A2" s="21" t="s">
        <v>1</v>
      </c>
      <c r="C2" s="67"/>
    </row>
    <row r="3" spans="1:37" ht="13.15" customHeight="1" x14ac:dyDescent="0.2">
      <c r="A3" s="21" t="s">
        <v>981</v>
      </c>
      <c r="C3" s="67"/>
    </row>
    <row r="4" spans="1:37" ht="13.15" customHeight="1" x14ac:dyDescent="0.2">
      <c r="A4" s="21"/>
      <c r="B4" s="101"/>
      <c r="C4" s="67"/>
    </row>
    <row r="5" spans="1:37" s="152" customFormat="1" ht="13.15" customHeight="1" x14ac:dyDescent="0.2">
      <c r="A5" s="147"/>
      <c r="B5" s="53" t="s">
        <v>71</v>
      </c>
      <c r="C5" s="53" t="s">
        <v>775</v>
      </c>
      <c r="D5" s="53" t="s">
        <v>776</v>
      </c>
      <c r="E5" s="53" t="s">
        <v>777</v>
      </c>
      <c r="F5" s="53" t="s">
        <v>778</v>
      </c>
      <c r="G5" s="53" t="s">
        <v>779</v>
      </c>
      <c r="H5" s="53" t="s">
        <v>780</v>
      </c>
      <c r="I5" s="53" t="s">
        <v>781</v>
      </c>
      <c r="J5" s="53" t="s">
        <v>782</v>
      </c>
      <c r="K5" s="53" t="s">
        <v>783</v>
      </c>
      <c r="L5" s="53" t="s">
        <v>717</v>
      </c>
      <c r="M5" s="53" t="s">
        <v>718</v>
      </c>
      <c r="N5" s="53" t="s">
        <v>719</v>
      </c>
      <c r="O5" s="53" t="s">
        <v>720</v>
      </c>
      <c r="P5" s="53" t="s">
        <v>721</v>
      </c>
      <c r="Q5" s="53" t="s">
        <v>722</v>
      </c>
      <c r="R5" s="53" t="s">
        <v>723</v>
      </c>
      <c r="S5" s="53" t="s">
        <v>724</v>
      </c>
      <c r="T5" s="53" t="s">
        <v>725</v>
      </c>
      <c r="U5" s="53" t="s">
        <v>726</v>
      </c>
      <c r="V5" s="53" t="s">
        <v>727</v>
      </c>
      <c r="W5" s="53" t="s">
        <v>728</v>
      </c>
      <c r="X5" s="53" t="s">
        <v>729</v>
      </c>
      <c r="Y5" s="53" t="s">
        <v>730</v>
      </c>
      <c r="Z5" s="53" t="s">
        <v>731</v>
      </c>
      <c r="AA5" s="53" t="s">
        <v>732</v>
      </c>
      <c r="AB5" s="53" t="s">
        <v>733</v>
      </c>
      <c r="AC5" s="53" t="s">
        <v>734</v>
      </c>
      <c r="AD5" s="53" t="s">
        <v>735</v>
      </c>
      <c r="AE5" s="53" t="s">
        <v>736</v>
      </c>
      <c r="AF5" s="53" t="s">
        <v>737</v>
      </c>
      <c r="AG5" s="53" t="s">
        <v>738</v>
      </c>
      <c r="AH5" s="53" t="s">
        <v>739</v>
      </c>
      <c r="AI5" s="53" t="s">
        <v>740</v>
      </c>
      <c r="AJ5" s="53" t="s">
        <v>741</v>
      </c>
      <c r="AK5" s="53" t="s">
        <v>742</v>
      </c>
    </row>
    <row r="6" spans="1:37" s="35" customFormat="1" ht="13.15" customHeight="1" x14ac:dyDescent="0.2">
      <c r="A6" s="271" t="s">
        <v>982</v>
      </c>
      <c r="B6" s="321">
        <f t="shared" ref="B6:B36" si="0">SUM(C6:AK6)</f>
        <v>21295721.4854546</v>
      </c>
      <c r="C6" s="321">
        <f>(C10+C30+C34+C38+C14+C18+C22+C46+C58+C54+C50+C66+C94+C26+C42+C62+C70+C74+C78+C86+C90+C82)</f>
        <v>558222.69726318272</v>
      </c>
      <c r="D6" s="321">
        <f t="shared" ref="D6:AK6" si="1">(D10+D30+D34+D38+D14+D18+D22+D46+D58+D54+D50+D66+D94+D26+D42+D62+D70+D74+D78+D86+D90+D82)</f>
        <v>558222.69726318272</v>
      </c>
      <c r="E6" s="321">
        <f t="shared" si="1"/>
        <v>558222.69726318272</v>
      </c>
      <c r="F6" s="321">
        <f t="shared" si="1"/>
        <v>558222.69726318272</v>
      </c>
      <c r="G6" s="321">
        <f t="shared" si="1"/>
        <v>558222.69726318272</v>
      </c>
      <c r="H6" s="321">
        <f t="shared" si="1"/>
        <v>593458.55566540873</v>
      </c>
      <c r="I6" s="321">
        <f t="shared" si="1"/>
        <v>593458.55566540873</v>
      </c>
      <c r="J6" s="321">
        <f t="shared" si="1"/>
        <v>618488.96027885238</v>
      </c>
      <c r="K6" s="321">
        <f t="shared" si="1"/>
        <v>618488.96027885238</v>
      </c>
      <c r="L6" s="321">
        <f t="shared" si="1"/>
        <v>618488.96027885238</v>
      </c>
      <c r="M6" s="321">
        <f t="shared" si="1"/>
        <v>618488.96027885238</v>
      </c>
      <c r="N6" s="321">
        <f t="shared" si="1"/>
        <v>618488.96027885238</v>
      </c>
      <c r="O6" s="321">
        <f t="shared" si="1"/>
        <v>618488.96027885238</v>
      </c>
      <c r="P6" s="321">
        <f t="shared" si="1"/>
        <v>618488.96027885238</v>
      </c>
      <c r="Q6" s="321">
        <f t="shared" si="1"/>
        <v>618488.96027885238</v>
      </c>
      <c r="R6" s="321">
        <f t="shared" si="1"/>
        <v>618488.96027885238</v>
      </c>
      <c r="S6" s="321">
        <f t="shared" si="1"/>
        <v>618488.96027885238</v>
      </c>
      <c r="T6" s="321">
        <f t="shared" si="1"/>
        <v>618488.96027885238</v>
      </c>
      <c r="U6" s="321">
        <f t="shared" si="1"/>
        <v>618488.96027885238</v>
      </c>
      <c r="V6" s="321">
        <f t="shared" si="1"/>
        <v>618488.96027885238</v>
      </c>
      <c r="W6" s="321">
        <f t="shared" si="1"/>
        <v>618488.96027885238</v>
      </c>
      <c r="X6" s="321">
        <f t="shared" si="1"/>
        <v>618488.96027885238</v>
      </c>
      <c r="Y6" s="321">
        <f t="shared" si="1"/>
        <v>618488.96027885238</v>
      </c>
      <c r="Z6" s="321">
        <f t="shared" si="1"/>
        <v>618488.96027885238</v>
      </c>
      <c r="AA6" s="321">
        <f t="shared" si="1"/>
        <v>618488.96027885238</v>
      </c>
      <c r="AB6" s="321">
        <f t="shared" si="1"/>
        <v>618488.96027885238</v>
      </c>
      <c r="AC6" s="321">
        <f t="shared" si="1"/>
        <v>618488.96027885238</v>
      </c>
      <c r="AD6" s="321">
        <f t="shared" si="1"/>
        <v>618488.96027885238</v>
      </c>
      <c r="AE6" s="321">
        <f t="shared" si="1"/>
        <v>618488.96027885238</v>
      </c>
      <c r="AF6" s="321">
        <f t="shared" si="1"/>
        <v>618488.96027885238</v>
      </c>
      <c r="AG6" s="321">
        <f t="shared" si="1"/>
        <v>618488.96027885238</v>
      </c>
      <c r="AH6" s="321">
        <f t="shared" si="1"/>
        <v>618488.96027885238</v>
      </c>
      <c r="AI6" s="321">
        <f t="shared" si="1"/>
        <v>618488.96027885238</v>
      </c>
      <c r="AJ6" s="321">
        <f t="shared" si="1"/>
        <v>618488.96027885238</v>
      </c>
      <c r="AK6" s="321">
        <f t="shared" si="1"/>
        <v>618488.96027885238</v>
      </c>
    </row>
    <row r="7" spans="1:37" s="152" customFormat="1" ht="13.15" customHeight="1" x14ac:dyDescent="0.2">
      <c r="A7" s="271" t="s">
        <v>983</v>
      </c>
      <c r="B7" s="275">
        <f t="shared" si="0"/>
        <v>0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5"/>
      <c r="AE7" s="275"/>
      <c r="AF7" s="275"/>
      <c r="AG7" s="275"/>
      <c r="AH7" s="275"/>
      <c r="AI7" s="275"/>
      <c r="AJ7" s="275"/>
      <c r="AK7" s="275"/>
    </row>
    <row r="8" spans="1:37" s="152" customFormat="1" ht="13.15" customHeight="1" x14ac:dyDescent="0.2">
      <c r="A8" s="147" t="s">
        <v>956</v>
      </c>
      <c r="B8" s="275">
        <f t="shared" si="0"/>
        <v>4158385</v>
      </c>
      <c r="C8" s="276">
        <f>'01 - Dados de Entrada'!$C$195*('04 - Veículos e Equipamentos'!B7+'04 - Veículos e Equipamentos'!B10)*12</f>
        <v>118811</v>
      </c>
      <c r="D8" s="276">
        <f>'01 - Dados de Entrada'!$C$195*('04 - Veículos e Equipamentos'!C7+'04 - Veículos e Equipamentos'!C10)*12</f>
        <v>118811</v>
      </c>
      <c r="E8" s="276">
        <f>'01 - Dados de Entrada'!$C$195*('04 - Veículos e Equipamentos'!D7+'04 - Veículos e Equipamentos'!D10)*12</f>
        <v>118811</v>
      </c>
      <c r="F8" s="276">
        <f>'01 - Dados de Entrada'!$C$195*('04 - Veículos e Equipamentos'!E7+'04 - Veículos e Equipamentos'!E10)*12</f>
        <v>118811</v>
      </c>
      <c r="G8" s="276">
        <f>'01 - Dados de Entrada'!$C$195*('04 - Veículos e Equipamentos'!F7+'04 - Veículos e Equipamentos'!F10)*12</f>
        <v>118811</v>
      </c>
      <c r="H8" s="276">
        <f>'01 - Dados de Entrada'!$C$195*('04 - Veículos e Equipamentos'!G7+'04 - Veículos e Equipamentos'!G10)*12</f>
        <v>118811</v>
      </c>
      <c r="I8" s="276">
        <f>'01 - Dados de Entrada'!$C$195*('04 - Veículos e Equipamentos'!H7+'04 - Veículos e Equipamentos'!H10)*12</f>
        <v>118811</v>
      </c>
      <c r="J8" s="276">
        <f>'01 - Dados de Entrada'!$C$195*('04 - Veículos e Equipamentos'!I7+'04 - Veículos e Equipamentos'!I10)*12</f>
        <v>118811</v>
      </c>
      <c r="K8" s="276">
        <f>'01 - Dados de Entrada'!$C$195*('04 - Veículos e Equipamentos'!J7+'04 - Veículos e Equipamentos'!J10)*12</f>
        <v>118811</v>
      </c>
      <c r="L8" s="276">
        <f>'01 - Dados de Entrada'!$C$195*('04 - Veículos e Equipamentos'!K7+'04 - Veículos e Equipamentos'!K10)*12</f>
        <v>118811</v>
      </c>
      <c r="M8" s="276">
        <f>'01 - Dados de Entrada'!$C$195*('04 - Veículos e Equipamentos'!L7+'04 - Veículos e Equipamentos'!L10)*12</f>
        <v>118811</v>
      </c>
      <c r="N8" s="276">
        <f>'01 - Dados de Entrada'!$C$195*('04 - Veículos e Equipamentos'!M7+'04 - Veículos e Equipamentos'!M10)*12</f>
        <v>118811</v>
      </c>
      <c r="O8" s="276">
        <f>'01 - Dados de Entrada'!$C$195*('04 - Veículos e Equipamentos'!N7+'04 - Veículos e Equipamentos'!N10)*12</f>
        <v>118811</v>
      </c>
      <c r="P8" s="276">
        <f>'01 - Dados de Entrada'!$C$195*('04 - Veículos e Equipamentos'!O7+'04 - Veículos e Equipamentos'!O10)*12</f>
        <v>118811</v>
      </c>
      <c r="Q8" s="276">
        <f>'01 - Dados de Entrada'!$C$195*('04 - Veículos e Equipamentos'!P7+'04 - Veículos e Equipamentos'!P10)*12</f>
        <v>118811</v>
      </c>
      <c r="R8" s="276">
        <f>'01 - Dados de Entrada'!$C$195*('04 - Veículos e Equipamentos'!Q7+'04 - Veículos e Equipamentos'!Q10)*12</f>
        <v>118811</v>
      </c>
      <c r="S8" s="276">
        <f>'01 - Dados de Entrada'!$C$195*('04 - Veículos e Equipamentos'!R7+'04 - Veículos e Equipamentos'!R10)*12</f>
        <v>118811</v>
      </c>
      <c r="T8" s="276">
        <f>'01 - Dados de Entrada'!$C$195*('04 - Veículos e Equipamentos'!S7+'04 - Veículos e Equipamentos'!S10)*12</f>
        <v>118811</v>
      </c>
      <c r="U8" s="276">
        <f>'01 - Dados de Entrada'!$C$195*('04 - Veículos e Equipamentos'!T7+'04 - Veículos e Equipamentos'!T10)*12</f>
        <v>118811</v>
      </c>
      <c r="V8" s="276">
        <f>'01 - Dados de Entrada'!$C$195*('04 - Veículos e Equipamentos'!U7+'04 - Veículos e Equipamentos'!U10)*12</f>
        <v>118811</v>
      </c>
      <c r="W8" s="276">
        <f>'01 - Dados de Entrada'!$C$195*('04 - Veículos e Equipamentos'!V7+'04 - Veículos e Equipamentos'!V10)*12</f>
        <v>118811</v>
      </c>
      <c r="X8" s="276">
        <f>'01 - Dados de Entrada'!$C$195*('04 - Veículos e Equipamentos'!W7+'04 - Veículos e Equipamentos'!W10)*12</f>
        <v>118811</v>
      </c>
      <c r="Y8" s="276">
        <f>'01 - Dados de Entrada'!$C$195*('04 - Veículos e Equipamentos'!X7+'04 - Veículos e Equipamentos'!X10)*12</f>
        <v>118811</v>
      </c>
      <c r="Z8" s="276">
        <f>'01 - Dados de Entrada'!$C$195*('04 - Veículos e Equipamentos'!Y7+'04 - Veículos e Equipamentos'!Y10)*12</f>
        <v>118811</v>
      </c>
      <c r="AA8" s="276">
        <f>'01 - Dados de Entrada'!$C$195*('04 - Veículos e Equipamentos'!Z7+'04 - Veículos e Equipamentos'!Z10)*12</f>
        <v>118811</v>
      </c>
      <c r="AB8" s="276">
        <f>'01 - Dados de Entrada'!$C$195*('04 - Veículos e Equipamentos'!AA7+'04 - Veículos e Equipamentos'!AA10)*12</f>
        <v>118811</v>
      </c>
      <c r="AC8" s="276">
        <f>'01 - Dados de Entrada'!$C$195*('04 - Veículos e Equipamentos'!AB7+'04 - Veículos e Equipamentos'!AB10)*12</f>
        <v>118811</v>
      </c>
      <c r="AD8" s="276">
        <f>'01 - Dados de Entrada'!$C$195*('04 - Veículos e Equipamentos'!AC7+'04 - Veículos e Equipamentos'!AC10)*12</f>
        <v>118811</v>
      </c>
      <c r="AE8" s="276">
        <f>'01 - Dados de Entrada'!$C$195*('04 - Veículos e Equipamentos'!AD7+'04 - Veículos e Equipamentos'!AD10)*12</f>
        <v>118811</v>
      </c>
      <c r="AF8" s="276">
        <f>'01 - Dados de Entrada'!$C$195*('04 - Veículos e Equipamentos'!AE7+'04 - Veículos e Equipamentos'!AE10)*12</f>
        <v>118811</v>
      </c>
      <c r="AG8" s="276">
        <f>'01 - Dados de Entrada'!$C$195*('04 - Veículos e Equipamentos'!AF7+'04 - Veículos e Equipamentos'!AF10)*12</f>
        <v>118811</v>
      </c>
      <c r="AH8" s="276">
        <f>'01 - Dados de Entrada'!$C$195*('04 - Veículos e Equipamentos'!AG7+'04 - Veículos e Equipamentos'!AG10)*12</f>
        <v>118811</v>
      </c>
      <c r="AI8" s="276">
        <f>'01 - Dados de Entrada'!$C$195*('04 - Veículos e Equipamentos'!AH7+'04 - Veículos e Equipamentos'!AH10)*12</f>
        <v>118811</v>
      </c>
      <c r="AJ8" s="276">
        <f>'01 - Dados de Entrada'!$C$195*('04 - Veículos e Equipamentos'!AI7+'04 - Veículos e Equipamentos'!AI10)*12</f>
        <v>118811</v>
      </c>
      <c r="AK8" s="276">
        <f>'01 - Dados de Entrada'!$C$195*('04 - Veículos e Equipamentos'!AJ7+'04 - Veículos e Equipamentos'!AJ10)*12</f>
        <v>118811</v>
      </c>
    </row>
    <row r="9" spans="1:37" s="152" customFormat="1" ht="13.15" customHeight="1" x14ac:dyDescent="0.2">
      <c r="A9" s="147" t="s">
        <v>984</v>
      </c>
      <c r="B9" s="275">
        <f t="shared" si="0"/>
        <v>83.167700000000067</v>
      </c>
      <c r="C9" s="277">
        <f>C8/'01 - Dados de Entrada'!$C$253</f>
        <v>2.37622</v>
      </c>
      <c r="D9" s="277">
        <f>D8/'01 - Dados de Entrada'!$C$253</f>
        <v>2.37622</v>
      </c>
      <c r="E9" s="277">
        <f>E8/'01 - Dados de Entrada'!$C$253</f>
        <v>2.37622</v>
      </c>
      <c r="F9" s="277">
        <f>F8/'01 - Dados de Entrada'!$C$253</f>
        <v>2.37622</v>
      </c>
      <c r="G9" s="277">
        <f>G8/'01 - Dados de Entrada'!$C$253</f>
        <v>2.37622</v>
      </c>
      <c r="H9" s="277">
        <f>H8/'01 - Dados de Entrada'!$C$253</f>
        <v>2.37622</v>
      </c>
      <c r="I9" s="277">
        <f>I8/'01 - Dados de Entrada'!$C$253</f>
        <v>2.37622</v>
      </c>
      <c r="J9" s="277">
        <f>J8/'01 - Dados de Entrada'!$C$253</f>
        <v>2.37622</v>
      </c>
      <c r="K9" s="277">
        <f>K8/'01 - Dados de Entrada'!$C$253</f>
        <v>2.37622</v>
      </c>
      <c r="L9" s="277">
        <f>L8/'01 - Dados de Entrada'!$C$253</f>
        <v>2.37622</v>
      </c>
      <c r="M9" s="277">
        <f>M8/'01 - Dados de Entrada'!$C$253</f>
        <v>2.37622</v>
      </c>
      <c r="N9" s="277">
        <f>N8/'01 - Dados de Entrada'!$C$253</f>
        <v>2.37622</v>
      </c>
      <c r="O9" s="277">
        <f>O8/'01 - Dados de Entrada'!$C$253</f>
        <v>2.37622</v>
      </c>
      <c r="P9" s="277">
        <f>P8/'01 - Dados de Entrada'!$C$253</f>
        <v>2.37622</v>
      </c>
      <c r="Q9" s="277">
        <f>Q8/'01 - Dados de Entrada'!$C$253</f>
        <v>2.37622</v>
      </c>
      <c r="R9" s="277">
        <f>R8/'01 - Dados de Entrada'!$C$253</f>
        <v>2.37622</v>
      </c>
      <c r="S9" s="277">
        <f>S8/'01 - Dados de Entrada'!$C$253</f>
        <v>2.37622</v>
      </c>
      <c r="T9" s="277">
        <f>T8/'01 - Dados de Entrada'!$C$253</f>
        <v>2.37622</v>
      </c>
      <c r="U9" s="277">
        <f>U8/'01 - Dados de Entrada'!$C$253</f>
        <v>2.37622</v>
      </c>
      <c r="V9" s="277">
        <f>V8/'01 - Dados de Entrada'!$C$253</f>
        <v>2.37622</v>
      </c>
      <c r="W9" s="277">
        <f>W8/'01 - Dados de Entrada'!$C$253</f>
        <v>2.37622</v>
      </c>
      <c r="X9" s="277">
        <f>X8/'01 - Dados de Entrada'!$C$253</f>
        <v>2.37622</v>
      </c>
      <c r="Y9" s="277">
        <f>Y8/'01 - Dados de Entrada'!$C$253</f>
        <v>2.37622</v>
      </c>
      <c r="Z9" s="277">
        <f>Z8/'01 - Dados de Entrada'!$C$253</f>
        <v>2.37622</v>
      </c>
      <c r="AA9" s="277">
        <f>AA8/'01 - Dados de Entrada'!$C$253</f>
        <v>2.37622</v>
      </c>
      <c r="AB9" s="277">
        <f>AB8/'01 - Dados de Entrada'!$C$253</f>
        <v>2.37622</v>
      </c>
      <c r="AC9" s="277">
        <f>AC8/'01 - Dados de Entrada'!$C$253</f>
        <v>2.37622</v>
      </c>
      <c r="AD9" s="277">
        <f>AD8/'01 - Dados de Entrada'!$C$253</f>
        <v>2.37622</v>
      </c>
      <c r="AE9" s="277">
        <f>AE8/'01 - Dados de Entrada'!$C$253</f>
        <v>2.37622</v>
      </c>
      <c r="AF9" s="277">
        <f>AF8/'01 - Dados de Entrada'!$C$253</f>
        <v>2.37622</v>
      </c>
      <c r="AG9" s="277">
        <f>AG8/'01 - Dados de Entrada'!$C$253</f>
        <v>2.37622</v>
      </c>
      <c r="AH9" s="277">
        <f>AH8/'01 - Dados de Entrada'!$C$253</f>
        <v>2.37622</v>
      </c>
      <c r="AI9" s="277">
        <f>AI8/'01 - Dados de Entrada'!$C$253</f>
        <v>2.37622</v>
      </c>
      <c r="AJ9" s="277">
        <f>AJ8/'01 - Dados de Entrada'!$C$253</f>
        <v>2.37622</v>
      </c>
      <c r="AK9" s="277">
        <f>AK8/'01 - Dados de Entrada'!$C$253</f>
        <v>2.37622</v>
      </c>
    </row>
    <row r="10" spans="1:37" s="152" customFormat="1" ht="13.15" customHeight="1" x14ac:dyDescent="0.2">
      <c r="A10" s="147" t="s">
        <v>985</v>
      </c>
      <c r="B10" s="275">
        <f t="shared" si="0"/>
        <v>2441161.7426102147</v>
      </c>
      <c r="C10" s="275">
        <f>C9*'01 - Dados de Entrada'!$C$277</f>
        <v>69747.478360291861</v>
      </c>
      <c r="D10" s="275">
        <f>D9*'01 - Dados de Entrada'!$C$277</f>
        <v>69747.478360291861</v>
      </c>
      <c r="E10" s="275">
        <f>E9*'01 - Dados de Entrada'!$C$277</f>
        <v>69747.478360291861</v>
      </c>
      <c r="F10" s="275">
        <f>F9*'01 - Dados de Entrada'!$C$277</f>
        <v>69747.478360291861</v>
      </c>
      <c r="G10" s="275">
        <f>G9*'01 - Dados de Entrada'!$C$277</f>
        <v>69747.478360291861</v>
      </c>
      <c r="H10" s="275">
        <f>H9*'01 - Dados de Entrada'!$C$277</f>
        <v>69747.478360291861</v>
      </c>
      <c r="I10" s="275">
        <f>I9*'01 - Dados de Entrada'!$C$277</f>
        <v>69747.478360291861</v>
      </c>
      <c r="J10" s="275">
        <f>J9*'01 - Dados de Entrada'!$C$277</f>
        <v>69747.478360291861</v>
      </c>
      <c r="K10" s="275">
        <f>K9*'01 - Dados de Entrada'!$C$277</f>
        <v>69747.478360291861</v>
      </c>
      <c r="L10" s="275">
        <f>L9*'01 - Dados de Entrada'!$C$277</f>
        <v>69747.478360291861</v>
      </c>
      <c r="M10" s="275">
        <f>M9*'01 - Dados de Entrada'!$C$277</f>
        <v>69747.478360291861</v>
      </c>
      <c r="N10" s="275">
        <f>N9*'01 - Dados de Entrada'!$C$277</f>
        <v>69747.478360291861</v>
      </c>
      <c r="O10" s="275">
        <f>O9*'01 - Dados de Entrada'!$C$277</f>
        <v>69747.478360291861</v>
      </c>
      <c r="P10" s="275">
        <f>P9*'01 - Dados de Entrada'!$C$277</f>
        <v>69747.478360291861</v>
      </c>
      <c r="Q10" s="275">
        <f>Q9*'01 - Dados de Entrada'!$C$277</f>
        <v>69747.478360291861</v>
      </c>
      <c r="R10" s="275">
        <f>R9*'01 - Dados de Entrada'!$C$277</f>
        <v>69747.478360291861</v>
      </c>
      <c r="S10" s="275">
        <f>S9*'01 - Dados de Entrada'!$C$277</f>
        <v>69747.478360291861</v>
      </c>
      <c r="T10" s="275">
        <f>T9*'01 - Dados de Entrada'!$C$277</f>
        <v>69747.478360291861</v>
      </c>
      <c r="U10" s="275">
        <f>U9*'01 - Dados de Entrada'!$C$277</f>
        <v>69747.478360291861</v>
      </c>
      <c r="V10" s="275">
        <f>V9*'01 - Dados de Entrada'!$C$277</f>
        <v>69747.478360291861</v>
      </c>
      <c r="W10" s="275">
        <f>W9*'01 - Dados de Entrada'!$C$277</f>
        <v>69747.478360291861</v>
      </c>
      <c r="X10" s="275">
        <f>X9*'01 - Dados de Entrada'!$C$277</f>
        <v>69747.478360291861</v>
      </c>
      <c r="Y10" s="275">
        <f>Y9*'01 - Dados de Entrada'!$C$277</f>
        <v>69747.478360291861</v>
      </c>
      <c r="Z10" s="275">
        <f>Z9*'01 - Dados de Entrada'!$C$277</f>
        <v>69747.478360291861</v>
      </c>
      <c r="AA10" s="275">
        <f>AA9*'01 - Dados de Entrada'!$C$277</f>
        <v>69747.478360291861</v>
      </c>
      <c r="AB10" s="275">
        <f>AB9*'01 - Dados de Entrada'!$C$277</f>
        <v>69747.478360291861</v>
      </c>
      <c r="AC10" s="275">
        <f>AC9*'01 - Dados de Entrada'!$C$277</f>
        <v>69747.478360291861</v>
      </c>
      <c r="AD10" s="275">
        <f>AD9*'01 - Dados de Entrada'!$C$277</f>
        <v>69747.478360291861</v>
      </c>
      <c r="AE10" s="275">
        <f>AE9*'01 - Dados de Entrada'!$C$277</f>
        <v>69747.478360291861</v>
      </c>
      <c r="AF10" s="275">
        <f>AF9*'01 - Dados de Entrada'!$C$277</f>
        <v>69747.478360291861</v>
      </c>
      <c r="AG10" s="275">
        <f>AG9*'01 - Dados de Entrada'!$C$277</f>
        <v>69747.478360291861</v>
      </c>
      <c r="AH10" s="275">
        <f>AH9*'01 - Dados de Entrada'!$C$277</f>
        <v>69747.478360291861</v>
      </c>
      <c r="AI10" s="275">
        <f>AI9*'01 - Dados de Entrada'!$C$277</f>
        <v>69747.478360291861</v>
      </c>
      <c r="AJ10" s="275">
        <f>AJ9*'01 - Dados de Entrada'!$C$277</f>
        <v>69747.478360291861</v>
      </c>
      <c r="AK10" s="275">
        <f>AK9*'01 - Dados de Entrada'!$C$277</f>
        <v>69747.478360291861</v>
      </c>
    </row>
    <row r="11" spans="1:37" s="152" customFormat="1" ht="13.15" customHeight="1" x14ac:dyDescent="0.2">
      <c r="A11" s="271" t="s">
        <v>986</v>
      </c>
      <c r="B11" s="275">
        <f t="shared" si="0"/>
        <v>0</v>
      </c>
      <c r="C11" s="275"/>
      <c r="D11" s="275"/>
      <c r="E11" s="275"/>
      <c r="F11" s="275"/>
      <c r="G11" s="275"/>
      <c r="H11" s="275"/>
      <c r="I11" s="275"/>
      <c r="J11" s="275"/>
      <c r="K11" s="275"/>
      <c r="L11" s="275"/>
      <c r="M11" s="275"/>
      <c r="N11" s="275"/>
      <c r="O11" s="275"/>
      <c r="P11" s="275"/>
      <c r="Q11" s="275"/>
      <c r="R11" s="275"/>
      <c r="S11" s="275"/>
      <c r="T11" s="275"/>
      <c r="U11" s="275"/>
      <c r="V11" s="275"/>
      <c r="W11" s="275"/>
      <c r="X11" s="275"/>
      <c r="Y11" s="275"/>
      <c r="Z11" s="275"/>
      <c r="AA11" s="275"/>
      <c r="AB11" s="275"/>
      <c r="AC11" s="275"/>
      <c r="AD11" s="275"/>
      <c r="AE11" s="275"/>
      <c r="AF11" s="275"/>
      <c r="AG11" s="275"/>
      <c r="AH11" s="275"/>
      <c r="AI11" s="275"/>
      <c r="AJ11" s="275"/>
      <c r="AK11" s="275"/>
    </row>
    <row r="12" spans="1:37" s="152" customFormat="1" ht="13.15" customHeight="1" x14ac:dyDescent="0.2">
      <c r="A12" s="147" t="s">
        <v>956</v>
      </c>
      <c r="B12" s="275">
        <f t="shared" si="0"/>
        <v>10098935</v>
      </c>
      <c r="C12" s="276">
        <f>'01 - Dados de Entrada'!$C$195*'04 - Veículos e Equipamentos'!B9*12</f>
        <v>237622</v>
      </c>
      <c r="D12" s="276">
        <f>'01 - Dados de Entrada'!$C$195*'04 - Veículos e Equipamentos'!C9*12</f>
        <v>237622</v>
      </c>
      <c r="E12" s="276">
        <f>'01 - Dados de Entrada'!$C$195*'04 - Veículos e Equipamentos'!D9*12</f>
        <v>237622</v>
      </c>
      <c r="F12" s="276">
        <f>'01 - Dados de Entrada'!$C$195*'04 - Veículos e Equipamentos'!E9*12</f>
        <v>237622</v>
      </c>
      <c r="G12" s="276">
        <f>'01 - Dados de Entrada'!$C$195*'04 - Veículos e Equipamentos'!F9*12</f>
        <v>237622</v>
      </c>
      <c r="H12" s="276">
        <f>'01 - Dados de Entrada'!$C$195*'04 - Veículos e Equipamentos'!G9*12</f>
        <v>297027.5</v>
      </c>
      <c r="I12" s="276">
        <f>'01 - Dados de Entrada'!$C$195*'04 - Veículos e Equipamentos'!H9*12</f>
        <v>297027.5</v>
      </c>
      <c r="J12" s="276">
        <f>'01 - Dados de Entrada'!$C$195*'04 - Veículos e Equipamentos'!I9*12</f>
        <v>297027.5</v>
      </c>
      <c r="K12" s="276">
        <f>'01 - Dados de Entrada'!$C$195*'04 - Veículos e Equipamentos'!J9*12</f>
        <v>297027.5</v>
      </c>
      <c r="L12" s="276">
        <f>'01 - Dados de Entrada'!$C$195*'04 - Veículos e Equipamentos'!K9*12</f>
        <v>297027.5</v>
      </c>
      <c r="M12" s="276">
        <f>'01 - Dados de Entrada'!$C$195*'04 - Veículos e Equipamentos'!L9*12</f>
        <v>297027.5</v>
      </c>
      <c r="N12" s="276">
        <f>'01 - Dados de Entrada'!$C$195*'04 - Veículos e Equipamentos'!M9*12</f>
        <v>297027.5</v>
      </c>
      <c r="O12" s="276">
        <f>'01 - Dados de Entrada'!$C$195*'04 - Veículos e Equipamentos'!N9*12</f>
        <v>297027.5</v>
      </c>
      <c r="P12" s="276">
        <f>'01 - Dados de Entrada'!$C$195*'04 - Veículos e Equipamentos'!O9*12</f>
        <v>297027.5</v>
      </c>
      <c r="Q12" s="276">
        <f>'01 - Dados de Entrada'!$C$195*'04 - Veículos e Equipamentos'!P9*12</f>
        <v>297027.5</v>
      </c>
      <c r="R12" s="276">
        <f>'01 - Dados de Entrada'!$C$195*'04 - Veículos e Equipamentos'!Q9*12</f>
        <v>297027.5</v>
      </c>
      <c r="S12" s="276">
        <f>'01 - Dados de Entrada'!$C$195*'04 - Veículos e Equipamentos'!R9*12</f>
        <v>297027.5</v>
      </c>
      <c r="T12" s="276">
        <f>'01 - Dados de Entrada'!$C$195*'04 - Veículos e Equipamentos'!S9*12</f>
        <v>297027.5</v>
      </c>
      <c r="U12" s="276">
        <f>'01 - Dados de Entrada'!$C$195*'04 - Veículos e Equipamentos'!T9*12</f>
        <v>297027.5</v>
      </c>
      <c r="V12" s="276">
        <f>'01 - Dados de Entrada'!$C$195*'04 - Veículos e Equipamentos'!U9*12</f>
        <v>297027.5</v>
      </c>
      <c r="W12" s="276">
        <f>'01 - Dados de Entrada'!$C$195*'04 - Veículos e Equipamentos'!V9*12</f>
        <v>297027.5</v>
      </c>
      <c r="X12" s="276">
        <f>'01 - Dados de Entrada'!$C$195*'04 - Veículos e Equipamentos'!W9*12</f>
        <v>297027.5</v>
      </c>
      <c r="Y12" s="276">
        <f>'01 - Dados de Entrada'!$C$195*'04 - Veículos e Equipamentos'!X9*12</f>
        <v>297027.5</v>
      </c>
      <c r="Z12" s="276">
        <f>'01 - Dados de Entrada'!$C$195*'04 - Veículos e Equipamentos'!Y9*12</f>
        <v>297027.5</v>
      </c>
      <c r="AA12" s="276">
        <f>'01 - Dados de Entrada'!$C$195*'04 - Veículos e Equipamentos'!Z9*12</f>
        <v>297027.5</v>
      </c>
      <c r="AB12" s="276">
        <f>'01 - Dados de Entrada'!$C$195*'04 - Veículos e Equipamentos'!AA9*12</f>
        <v>297027.5</v>
      </c>
      <c r="AC12" s="276">
        <f>'01 - Dados de Entrada'!$C$195*'04 - Veículos e Equipamentos'!AB9*12</f>
        <v>297027.5</v>
      </c>
      <c r="AD12" s="276">
        <f>'01 - Dados de Entrada'!$C$195*'04 - Veículos e Equipamentos'!AC9*12</f>
        <v>297027.5</v>
      </c>
      <c r="AE12" s="276">
        <f>'01 - Dados de Entrada'!$C$195*'04 - Veículos e Equipamentos'!AD9*12</f>
        <v>297027.5</v>
      </c>
      <c r="AF12" s="276">
        <f>'01 - Dados de Entrada'!$C$195*'04 - Veículos e Equipamentos'!AE9*12</f>
        <v>297027.5</v>
      </c>
      <c r="AG12" s="276">
        <f>'01 - Dados de Entrada'!$C$195*'04 - Veículos e Equipamentos'!AF9*12</f>
        <v>297027.5</v>
      </c>
      <c r="AH12" s="276">
        <f>'01 - Dados de Entrada'!$C$195*'04 - Veículos e Equipamentos'!AG9*12</f>
        <v>297027.5</v>
      </c>
      <c r="AI12" s="276">
        <f>'01 - Dados de Entrada'!$C$195*'04 - Veículos e Equipamentos'!AH9*12</f>
        <v>297027.5</v>
      </c>
      <c r="AJ12" s="276">
        <f>'01 - Dados de Entrada'!$C$195*'04 - Veículos e Equipamentos'!AI9*12</f>
        <v>297027.5</v>
      </c>
      <c r="AK12" s="276">
        <f>'01 - Dados de Entrada'!$C$195*'04 - Veículos e Equipamentos'!AJ9*12</f>
        <v>297027.5</v>
      </c>
    </row>
    <row r="13" spans="1:37" s="152" customFormat="1" ht="13.15" customHeight="1" x14ac:dyDescent="0.2">
      <c r="A13" s="147" t="s">
        <v>984</v>
      </c>
      <c r="B13" s="275">
        <f t="shared" si="0"/>
        <v>201.97870000000003</v>
      </c>
      <c r="C13" s="276">
        <f>C12/'01 - Dados de Entrada'!$C$254</f>
        <v>4.75244</v>
      </c>
      <c r="D13" s="276">
        <f>D12/'01 - Dados de Entrada'!$C$254</f>
        <v>4.75244</v>
      </c>
      <c r="E13" s="276">
        <f>E12/'01 - Dados de Entrada'!$C$254</f>
        <v>4.75244</v>
      </c>
      <c r="F13" s="276">
        <f>F12/'01 - Dados de Entrada'!$C$254</f>
        <v>4.75244</v>
      </c>
      <c r="G13" s="276">
        <f>G12/'01 - Dados de Entrada'!$C$254</f>
        <v>4.75244</v>
      </c>
      <c r="H13" s="276">
        <f>H12/'01 - Dados de Entrada'!$C$254</f>
        <v>5.94055</v>
      </c>
      <c r="I13" s="276">
        <f>I12/'01 - Dados de Entrada'!$C$254</f>
        <v>5.94055</v>
      </c>
      <c r="J13" s="276">
        <f>J12/'01 - Dados de Entrada'!$C$254</f>
        <v>5.94055</v>
      </c>
      <c r="K13" s="276">
        <f>K12/'01 - Dados de Entrada'!$C$254</f>
        <v>5.94055</v>
      </c>
      <c r="L13" s="276">
        <f>L12/'01 - Dados de Entrada'!$C$254</f>
        <v>5.94055</v>
      </c>
      <c r="M13" s="276">
        <f>M12/'01 - Dados de Entrada'!$C$254</f>
        <v>5.94055</v>
      </c>
      <c r="N13" s="276">
        <f>N12/'01 - Dados de Entrada'!$C$254</f>
        <v>5.94055</v>
      </c>
      <c r="O13" s="276">
        <f>O12/'01 - Dados de Entrada'!$C$254</f>
        <v>5.94055</v>
      </c>
      <c r="P13" s="276">
        <f>P12/'01 - Dados de Entrada'!$C$254</f>
        <v>5.94055</v>
      </c>
      <c r="Q13" s="276">
        <f>Q12/'01 - Dados de Entrada'!$C$254</f>
        <v>5.94055</v>
      </c>
      <c r="R13" s="276">
        <f>R12/'01 - Dados de Entrada'!$C$254</f>
        <v>5.94055</v>
      </c>
      <c r="S13" s="276">
        <f>S12/'01 - Dados de Entrada'!$C$254</f>
        <v>5.94055</v>
      </c>
      <c r="T13" s="276">
        <f>T12/'01 - Dados de Entrada'!$C$254</f>
        <v>5.94055</v>
      </c>
      <c r="U13" s="276">
        <f>U12/'01 - Dados de Entrada'!$C$254</f>
        <v>5.94055</v>
      </c>
      <c r="V13" s="276">
        <f>V12/'01 - Dados de Entrada'!$C$254</f>
        <v>5.94055</v>
      </c>
      <c r="W13" s="276">
        <f>W12/'01 - Dados de Entrada'!$C$254</f>
        <v>5.94055</v>
      </c>
      <c r="X13" s="276">
        <f>X12/'01 - Dados de Entrada'!$C$254</f>
        <v>5.94055</v>
      </c>
      <c r="Y13" s="276">
        <f>Y12/'01 - Dados de Entrada'!$C$254</f>
        <v>5.94055</v>
      </c>
      <c r="Z13" s="276">
        <f>Z12/'01 - Dados de Entrada'!$C$254</f>
        <v>5.94055</v>
      </c>
      <c r="AA13" s="276">
        <f>AA12/'01 - Dados de Entrada'!$C$254</f>
        <v>5.94055</v>
      </c>
      <c r="AB13" s="276">
        <f>AB12/'01 - Dados de Entrada'!$C$254</f>
        <v>5.94055</v>
      </c>
      <c r="AC13" s="276">
        <f>AC12/'01 - Dados de Entrada'!$C$254</f>
        <v>5.94055</v>
      </c>
      <c r="AD13" s="276">
        <f>AD12/'01 - Dados de Entrada'!$C$254</f>
        <v>5.94055</v>
      </c>
      <c r="AE13" s="276">
        <f>AE12/'01 - Dados de Entrada'!$C$254</f>
        <v>5.94055</v>
      </c>
      <c r="AF13" s="276">
        <f>AF12/'01 - Dados de Entrada'!$C$254</f>
        <v>5.94055</v>
      </c>
      <c r="AG13" s="276">
        <f>AG12/'01 - Dados de Entrada'!$C$254</f>
        <v>5.94055</v>
      </c>
      <c r="AH13" s="276">
        <f>AH12/'01 - Dados de Entrada'!$C$254</f>
        <v>5.94055</v>
      </c>
      <c r="AI13" s="276">
        <f>AI12/'01 - Dados de Entrada'!$C$254</f>
        <v>5.94055</v>
      </c>
      <c r="AJ13" s="276">
        <f>AJ12/'01 - Dados de Entrada'!$C$254</f>
        <v>5.94055</v>
      </c>
      <c r="AK13" s="276">
        <f>AK12/'01 - Dados de Entrada'!$C$254</f>
        <v>5.94055</v>
      </c>
    </row>
    <row r="14" spans="1:37" s="152" customFormat="1" ht="13.15" customHeight="1" x14ac:dyDescent="0.2">
      <c r="A14" s="147" t="s">
        <v>985</v>
      </c>
      <c r="B14" s="275">
        <f t="shared" si="0"/>
        <v>5928535.6606248124</v>
      </c>
      <c r="C14" s="276">
        <f>C13*'01 - Dados de Entrada'!$C$278</f>
        <v>139494.95672058372</v>
      </c>
      <c r="D14" s="276">
        <f>D13*'01 - Dados de Entrada'!$C$278</f>
        <v>139494.95672058372</v>
      </c>
      <c r="E14" s="276">
        <f>E13*'01 - Dados de Entrada'!$C$278</f>
        <v>139494.95672058372</v>
      </c>
      <c r="F14" s="276">
        <f>F13*'01 - Dados de Entrada'!$C$278</f>
        <v>139494.95672058372</v>
      </c>
      <c r="G14" s="276">
        <f>G13*'01 - Dados de Entrada'!$C$278</f>
        <v>139494.95672058372</v>
      </c>
      <c r="H14" s="276">
        <f>H13*'01 - Dados de Entrada'!$C$278</f>
        <v>174368.69590072965</v>
      </c>
      <c r="I14" s="276">
        <f>I13*'01 - Dados de Entrada'!$C$278</f>
        <v>174368.69590072965</v>
      </c>
      <c r="J14" s="276">
        <f>J13*'01 - Dados de Entrada'!$C$278</f>
        <v>174368.69590072965</v>
      </c>
      <c r="K14" s="276">
        <f>K13*'01 - Dados de Entrada'!$C$278</f>
        <v>174368.69590072965</v>
      </c>
      <c r="L14" s="276">
        <f>L13*'01 - Dados de Entrada'!$C$278</f>
        <v>174368.69590072965</v>
      </c>
      <c r="M14" s="276">
        <f>M13*'01 - Dados de Entrada'!$C$278</f>
        <v>174368.69590072965</v>
      </c>
      <c r="N14" s="276">
        <f>N13*'01 - Dados de Entrada'!$C$278</f>
        <v>174368.69590072965</v>
      </c>
      <c r="O14" s="276">
        <f>O13*'01 - Dados de Entrada'!$C$278</f>
        <v>174368.69590072965</v>
      </c>
      <c r="P14" s="276">
        <f>P13*'01 - Dados de Entrada'!$C$278</f>
        <v>174368.69590072965</v>
      </c>
      <c r="Q14" s="276">
        <f>Q13*'01 - Dados de Entrada'!$C$278</f>
        <v>174368.69590072965</v>
      </c>
      <c r="R14" s="276">
        <f>R13*'01 - Dados de Entrada'!$C$278</f>
        <v>174368.69590072965</v>
      </c>
      <c r="S14" s="276">
        <f>S13*'01 - Dados de Entrada'!$C$278</f>
        <v>174368.69590072965</v>
      </c>
      <c r="T14" s="276">
        <f>T13*'01 - Dados de Entrada'!$C$278</f>
        <v>174368.69590072965</v>
      </c>
      <c r="U14" s="276">
        <f>U13*'01 - Dados de Entrada'!$C$278</f>
        <v>174368.69590072965</v>
      </c>
      <c r="V14" s="276">
        <f>V13*'01 - Dados de Entrada'!$C$278</f>
        <v>174368.69590072965</v>
      </c>
      <c r="W14" s="276">
        <f>W13*'01 - Dados de Entrada'!$C$278</f>
        <v>174368.69590072965</v>
      </c>
      <c r="X14" s="276">
        <f>X13*'01 - Dados de Entrada'!$C$278</f>
        <v>174368.69590072965</v>
      </c>
      <c r="Y14" s="276">
        <f>Y13*'01 - Dados de Entrada'!$C$278</f>
        <v>174368.69590072965</v>
      </c>
      <c r="Z14" s="276">
        <f>Z13*'01 - Dados de Entrada'!$C$278</f>
        <v>174368.69590072965</v>
      </c>
      <c r="AA14" s="276">
        <f>AA13*'01 - Dados de Entrada'!$C$278</f>
        <v>174368.69590072965</v>
      </c>
      <c r="AB14" s="276">
        <f>AB13*'01 - Dados de Entrada'!$C$278</f>
        <v>174368.69590072965</v>
      </c>
      <c r="AC14" s="276">
        <f>AC13*'01 - Dados de Entrada'!$C$278</f>
        <v>174368.69590072965</v>
      </c>
      <c r="AD14" s="276">
        <f>AD13*'01 - Dados de Entrada'!$C$278</f>
        <v>174368.69590072965</v>
      </c>
      <c r="AE14" s="276">
        <f>AE13*'01 - Dados de Entrada'!$C$278</f>
        <v>174368.69590072965</v>
      </c>
      <c r="AF14" s="276">
        <f>AF13*'01 - Dados de Entrada'!$C$278</f>
        <v>174368.69590072965</v>
      </c>
      <c r="AG14" s="276">
        <f>AG13*'01 - Dados de Entrada'!$C$278</f>
        <v>174368.69590072965</v>
      </c>
      <c r="AH14" s="276">
        <f>AH13*'01 - Dados de Entrada'!$C$278</f>
        <v>174368.69590072965</v>
      </c>
      <c r="AI14" s="276">
        <f>AI13*'01 - Dados de Entrada'!$C$278</f>
        <v>174368.69590072965</v>
      </c>
      <c r="AJ14" s="276">
        <f>AJ13*'01 - Dados de Entrada'!$C$278</f>
        <v>174368.69590072965</v>
      </c>
      <c r="AK14" s="276">
        <f>AK13*'01 - Dados de Entrada'!$C$278</f>
        <v>174368.69590072965</v>
      </c>
    </row>
    <row r="15" spans="1:37" s="152" customFormat="1" ht="13.15" customHeight="1" x14ac:dyDescent="0.2">
      <c r="A15" s="271" t="s">
        <v>987</v>
      </c>
      <c r="B15" s="275">
        <f t="shared" si="0"/>
        <v>0</v>
      </c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6"/>
      <c r="AG15" s="276"/>
      <c r="AH15" s="276"/>
      <c r="AI15" s="276"/>
      <c r="AJ15" s="276"/>
      <c r="AK15" s="276"/>
    </row>
    <row r="16" spans="1:37" s="152" customFormat="1" ht="13.15" customHeight="1" x14ac:dyDescent="0.2">
      <c r="A16" s="147" t="s">
        <v>956</v>
      </c>
      <c r="B16" s="275">
        <f t="shared" si="0"/>
        <v>349801.20000000019</v>
      </c>
      <c r="C16" s="276">
        <f>12*'04 - Veículos e Equipamentos'!B14*'01 - Dados de Entrada'!$C$197</f>
        <v>9994.32</v>
      </c>
      <c r="D16" s="276">
        <f>12*'04 - Veículos e Equipamentos'!C14*'01 - Dados de Entrada'!$C$197</f>
        <v>9994.32</v>
      </c>
      <c r="E16" s="276">
        <f>12*'04 - Veículos e Equipamentos'!D14*'01 - Dados de Entrada'!$C$197</f>
        <v>9994.32</v>
      </c>
      <c r="F16" s="276">
        <f>12*'04 - Veículos e Equipamentos'!E14*'01 - Dados de Entrada'!$C$197</f>
        <v>9994.32</v>
      </c>
      <c r="G16" s="276">
        <f>12*'04 - Veículos e Equipamentos'!F14*'01 - Dados de Entrada'!$C$197</f>
        <v>9994.32</v>
      </c>
      <c r="H16" s="276">
        <f>12*'04 - Veículos e Equipamentos'!G14*'01 - Dados de Entrada'!$C$197</f>
        <v>9994.32</v>
      </c>
      <c r="I16" s="276">
        <f>12*'04 - Veículos e Equipamentos'!H14*'01 - Dados de Entrada'!$C$197</f>
        <v>9994.32</v>
      </c>
      <c r="J16" s="276">
        <f>12*'04 - Veículos e Equipamentos'!I14*'01 - Dados de Entrada'!$C$197</f>
        <v>9994.32</v>
      </c>
      <c r="K16" s="276">
        <f>12*'04 - Veículos e Equipamentos'!J14*'01 - Dados de Entrada'!$C$197</f>
        <v>9994.32</v>
      </c>
      <c r="L16" s="276">
        <f>12*'04 - Veículos e Equipamentos'!K14*'01 - Dados de Entrada'!$C$197</f>
        <v>9994.32</v>
      </c>
      <c r="M16" s="276">
        <f>12*'04 - Veículos e Equipamentos'!L14*'01 - Dados de Entrada'!$C$197</f>
        <v>9994.32</v>
      </c>
      <c r="N16" s="276">
        <f>12*'04 - Veículos e Equipamentos'!M14*'01 - Dados de Entrada'!$C$197</f>
        <v>9994.32</v>
      </c>
      <c r="O16" s="276">
        <f>12*'04 - Veículos e Equipamentos'!N14*'01 - Dados de Entrada'!$C$197</f>
        <v>9994.32</v>
      </c>
      <c r="P16" s="276">
        <f>12*'04 - Veículos e Equipamentos'!O14*'01 - Dados de Entrada'!$C$197</f>
        <v>9994.32</v>
      </c>
      <c r="Q16" s="276">
        <f>12*'04 - Veículos e Equipamentos'!P14*'01 - Dados de Entrada'!$C$197</f>
        <v>9994.32</v>
      </c>
      <c r="R16" s="276">
        <f>12*'04 - Veículos e Equipamentos'!Q14*'01 - Dados de Entrada'!$C$197</f>
        <v>9994.32</v>
      </c>
      <c r="S16" s="276">
        <f>12*'04 - Veículos e Equipamentos'!R14*'01 - Dados de Entrada'!$C$197</f>
        <v>9994.32</v>
      </c>
      <c r="T16" s="276">
        <f>12*'04 - Veículos e Equipamentos'!S14*'01 - Dados de Entrada'!$C$197</f>
        <v>9994.32</v>
      </c>
      <c r="U16" s="276">
        <f>12*'04 - Veículos e Equipamentos'!T14*'01 - Dados de Entrada'!$C$197</f>
        <v>9994.32</v>
      </c>
      <c r="V16" s="276">
        <f>12*'04 - Veículos e Equipamentos'!U14*'01 - Dados de Entrada'!$C$197</f>
        <v>9994.32</v>
      </c>
      <c r="W16" s="276">
        <f>12*'04 - Veículos e Equipamentos'!V14*'01 - Dados de Entrada'!$C$197</f>
        <v>9994.32</v>
      </c>
      <c r="X16" s="276">
        <f>12*'04 - Veículos e Equipamentos'!W14*'01 - Dados de Entrada'!$C$197</f>
        <v>9994.32</v>
      </c>
      <c r="Y16" s="276">
        <f>12*'04 - Veículos e Equipamentos'!X14*'01 - Dados de Entrada'!$C$197</f>
        <v>9994.32</v>
      </c>
      <c r="Z16" s="276">
        <f>12*'04 - Veículos e Equipamentos'!Y14*'01 - Dados de Entrada'!$C$197</f>
        <v>9994.32</v>
      </c>
      <c r="AA16" s="276">
        <f>12*'04 - Veículos e Equipamentos'!Z14*'01 - Dados de Entrada'!$C$197</f>
        <v>9994.32</v>
      </c>
      <c r="AB16" s="276">
        <f>12*'04 - Veículos e Equipamentos'!AA14*'01 - Dados de Entrada'!$C$197</f>
        <v>9994.32</v>
      </c>
      <c r="AC16" s="276">
        <f>12*'04 - Veículos e Equipamentos'!AB14*'01 - Dados de Entrada'!$C$197</f>
        <v>9994.32</v>
      </c>
      <c r="AD16" s="276">
        <f>12*'04 - Veículos e Equipamentos'!AC14*'01 - Dados de Entrada'!$C$197</f>
        <v>9994.32</v>
      </c>
      <c r="AE16" s="276">
        <f>12*'04 - Veículos e Equipamentos'!AD14*'01 - Dados de Entrada'!$C$197</f>
        <v>9994.32</v>
      </c>
      <c r="AF16" s="276">
        <f>12*'04 - Veículos e Equipamentos'!AE14*'01 - Dados de Entrada'!$C$197</f>
        <v>9994.32</v>
      </c>
      <c r="AG16" s="276">
        <f>12*'04 - Veículos e Equipamentos'!AF14*'01 - Dados de Entrada'!$C$197</f>
        <v>9994.32</v>
      </c>
      <c r="AH16" s="276">
        <f>12*'04 - Veículos e Equipamentos'!AG14*'01 - Dados de Entrada'!$C$197</f>
        <v>9994.32</v>
      </c>
      <c r="AI16" s="276">
        <f>12*'04 - Veículos e Equipamentos'!AH14*'01 - Dados de Entrada'!$C$197</f>
        <v>9994.32</v>
      </c>
      <c r="AJ16" s="276">
        <f>12*'04 - Veículos e Equipamentos'!AI14*'01 - Dados de Entrada'!$C$197</f>
        <v>9994.32</v>
      </c>
      <c r="AK16" s="276">
        <f>12*'04 - Veículos e Equipamentos'!AJ14*'01 - Dados de Entrada'!$C$197</f>
        <v>9994.32</v>
      </c>
    </row>
    <row r="17" spans="1:37" s="152" customFormat="1" ht="13.15" customHeight="1" x14ac:dyDescent="0.2">
      <c r="A17" s="147" t="s">
        <v>984</v>
      </c>
      <c r="B17" s="275">
        <f t="shared" si="0"/>
        <v>6.996023999999994</v>
      </c>
      <c r="C17" s="276">
        <f>C16/'01 - Dados de Entrada'!$C$254</f>
        <v>0.19988639999999999</v>
      </c>
      <c r="D17" s="276">
        <f>D16/'01 - Dados de Entrada'!$C$254</f>
        <v>0.19988639999999999</v>
      </c>
      <c r="E17" s="276">
        <f>E16/'01 - Dados de Entrada'!$C$254</f>
        <v>0.19988639999999999</v>
      </c>
      <c r="F17" s="276">
        <f>F16/'01 - Dados de Entrada'!$C$254</f>
        <v>0.19988639999999999</v>
      </c>
      <c r="G17" s="276">
        <f>G16/'01 - Dados de Entrada'!$C$254</f>
        <v>0.19988639999999999</v>
      </c>
      <c r="H17" s="276">
        <f>H16/'01 - Dados de Entrada'!$C$254</f>
        <v>0.19988639999999999</v>
      </c>
      <c r="I17" s="276">
        <f>I16/'01 - Dados de Entrada'!$C$254</f>
        <v>0.19988639999999999</v>
      </c>
      <c r="J17" s="276">
        <f>J16/'01 - Dados de Entrada'!$C$254</f>
        <v>0.19988639999999999</v>
      </c>
      <c r="K17" s="276">
        <f>K16/'01 - Dados de Entrada'!$C$254</f>
        <v>0.19988639999999999</v>
      </c>
      <c r="L17" s="276">
        <f>L16/'01 - Dados de Entrada'!$C$254</f>
        <v>0.19988639999999999</v>
      </c>
      <c r="M17" s="276">
        <f>M16/'01 - Dados de Entrada'!$C$254</f>
        <v>0.19988639999999999</v>
      </c>
      <c r="N17" s="276">
        <f>N16/'01 - Dados de Entrada'!$C$254</f>
        <v>0.19988639999999999</v>
      </c>
      <c r="O17" s="276">
        <f>O16/'01 - Dados de Entrada'!$C$254</f>
        <v>0.19988639999999999</v>
      </c>
      <c r="P17" s="276">
        <f>P16/'01 - Dados de Entrada'!$C$254</f>
        <v>0.19988639999999999</v>
      </c>
      <c r="Q17" s="276">
        <f>Q16/'01 - Dados de Entrada'!$C$254</f>
        <v>0.19988639999999999</v>
      </c>
      <c r="R17" s="276">
        <f>R16/'01 - Dados de Entrada'!$C$254</f>
        <v>0.19988639999999999</v>
      </c>
      <c r="S17" s="276">
        <f>S16/'01 - Dados de Entrada'!$C$254</f>
        <v>0.19988639999999999</v>
      </c>
      <c r="T17" s="276">
        <f>T16/'01 - Dados de Entrada'!$C$254</f>
        <v>0.19988639999999999</v>
      </c>
      <c r="U17" s="276">
        <f>U16/'01 - Dados de Entrada'!$C$254</f>
        <v>0.19988639999999999</v>
      </c>
      <c r="V17" s="276">
        <f>V16/'01 - Dados de Entrada'!$C$254</f>
        <v>0.19988639999999999</v>
      </c>
      <c r="W17" s="276">
        <f>W16/'01 - Dados de Entrada'!$C$254</f>
        <v>0.19988639999999999</v>
      </c>
      <c r="X17" s="276">
        <f>X16/'01 - Dados de Entrada'!$C$254</f>
        <v>0.19988639999999999</v>
      </c>
      <c r="Y17" s="276">
        <f>Y16/'01 - Dados de Entrada'!$C$254</f>
        <v>0.19988639999999999</v>
      </c>
      <c r="Z17" s="276">
        <f>Z16/'01 - Dados de Entrada'!$C$254</f>
        <v>0.19988639999999999</v>
      </c>
      <c r="AA17" s="276">
        <f>AA16/'01 - Dados de Entrada'!$C$254</f>
        <v>0.19988639999999999</v>
      </c>
      <c r="AB17" s="276">
        <f>AB16/'01 - Dados de Entrada'!$C$254</f>
        <v>0.19988639999999999</v>
      </c>
      <c r="AC17" s="276">
        <f>AC16/'01 - Dados de Entrada'!$C$254</f>
        <v>0.19988639999999999</v>
      </c>
      <c r="AD17" s="276">
        <f>AD16/'01 - Dados de Entrada'!$C$254</f>
        <v>0.19988639999999999</v>
      </c>
      <c r="AE17" s="276">
        <f>AE16/'01 - Dados de Entrada'!$C$254</f>
        <v>0.19988639999999999</v>
      </c>
      <c r="AF17" s="276">
        <f>AF16/'01 - Dados de Entrada'!$C$254</f>
        <v>0.19988639999999999</v>
      </c>
      <c r="AG17" s="276">
        <f>AG16/'01 - Dados de Entrada'!$C$254</f>
        <v>0.19988639999999999</v>
      </c>
      <c r="AH17" s="276">
        <f>AH16/'01 - Dados de Entrada'!$C$254</f>
        <v>0.19988639999999999</v>
      </c>
      <c r="AI17" s="276">
        <f>AI16/'01 - Dados de Entrada'!$C$254</f>
        <v>0.19988639999999999</v>
      </c>
      <c r="AJ17" s="276">
        <f>AJ16/'01 - Dados de Entrada'!$C$254</f>
        <v>0.19988639999999999</v>
      </c>
      <c r="AK17" s="276">
        <f>AK16/'01 - Dados de Entrada'!$C$254</f>
        <v>0.19988639999999999</v>
      </c>
    </row>
    <row r="18" spans="1:37" s="152" customFormat="1" ht="13.15" customHeight="1" x14ac:dyDescent="0.2">
      <c r="A18" s="147" t="s">
        <v>985</v>
      </c>
      <c r="B18" s="275">
        <f t="shared" si="0"/>
        <v>205349.26587104</v>
      </c>
      <c r="C18" s="276">
        <f>C17*'01 - Dados de Entrada'!$C$278</f>
        <v>5867.1218820297127</v>
      </c>
      <c r="D18" s="276">
        <f>D17*'01 - Dados de Entrada'!$C$278</f>
        <v>5867.1218820297127</v>
      </c>
      <c r="E18" s="276">
        <f>E17*'01 - Dados de Entrada'!$C$278</f>
        <v>5867.1218820297127</v>
      </c>
      <c r="F18" s="276">
        <f>F17*'01 - Dados de Entrada'!$C$278</f>
        <v>5867.1218820297127</v>
      </c>
      <c r="G18" s="276">
        <f>G17*'01 - Dados de Entrada'!$C$278</f>
        <v>5867.1218820297127</v>
      </c>
      <c r="H18" s="276">
        <f>H17*'01 - Dados de Entrada'!$C$278</f>
        <v>5867.1218820297127</v>
      </c>
      <c r="I18" s="276">
        <f>I17*'01 - Dados de Entrada'!$C$278</f>
        <v>5867.1218820297127</v>
      </c>
      <c r="J18" s="276">
        <f>J17*'01 - Dados de Entrada'!$C$278</f>
        <v>5867.1218820297127</v>
      </c>
      <c r="K18" s="276">
        <f>K17*'01 - Dados de Entrada'!$C$278</f>
        <v>5867.1218820297127</v>
      </c>
      <c r="L18" s="276">
        <f>L17*'01 - Dados de Entrada'!$C$278</f>
        <v>5867.1218820297127</v>
      </c>
      <c r="M18" s="276">
        <f>M17*'01 - Dados de Entrada'!$C$278</f>
        <v>5867.1218820297127</v>
      </c>
      <c r="N18" s="276">
        <f>N17*'01 - Dados de Entrada'!$C$278</f>
        <v>5867.1218820297127</v>
      </c>
      <c r="O18" s="276">
        <f>O17*'01 - Dados de Entrada'!$C$278</f>
        <v>5867.1218820297127</v>
      </c>
      <c r="P18" s="276">
        <f>P17*'01 - Dados de Entrada'!$C$278</f>
        <v>5867.1218820297127</v>
      </c>
      <c r="Q18" s="276">
        <f>Q17*'01 - Dados de Entrada'!$C$278</f>
        <v>5867.1218820297127</v>
      </c>
      <c r="R18" s="276">
        <f>R17*'01 - Dados de Entrada'!$C$278</f>
        <v>5867.1218820297127</v>
      </c>
      <c r="S18" s="276">
        <f>S17*'01 - Dados de Entrada'!$C$278</f>
        <v>5867.1218820297127</v>
      </c>
      <c r="T18" s="276">
        <f>T17*'01 - Dados de Entrada'!$C$278</f>
        <v>5867.1218820297127</v>
      </c>
      <c r="U18" s="276">
        <f>U17*'01 - Dados de Entrada'!$C$278</f>
        <v>5867.1218820297127</v>
      </c>
      <c r="V18" s="276">
        <f>V17*'01 - Dados de Entrada'!$C$278</f>
        <v>5867.1218820297127</v>
      </c>
      <c r="W18" s="276">
        <f>W17*'01 - Dados de Entrada'!$C$278</f>
        <v>5867.1218820297127</v>
      </c>
      <c r="X18" s="276">
        <f>X17*'01 - Dados de Entrada'!$C$278</f>
        <v>5867.1218820297127</v>
      </c>
      <c r="Y18" s="276">
        <f>Y17*'01 - Dados de Entrada'!$C$278</f>
        <v>5867.1218820297127</v>
      </c>
      <c r="Z18" s="276">
        <f>Z17*'01 - Dados de Entrada'!$C$278</f>
        <v>5867.1218820297127</v>
      </c>
      <c r="AA18" s="276">
        <f>AA17*'01 - Dados de Entrada'!$C$278</f>
        <v>5867.1218820297127</v>
      </c>
      <c r="AB18" s="276">
        <f>AB17*'01 - Dados de Entrada'!$C$278</f>
        <v>5867.1218820297127</v>
      </c>
      <c r="AC18" s="276">
        <f>AC17*'01 - Dados de Entrada'!$C$278</f>
        <v>5867.1218820297127</v>
      </c>
      <c r="AD18" s="276">
        <f>AD17*'01 - Dados de Entrada'!$C$278</f>
        <v>5867.1218820297127</v>
      </c>
      <c r="AE18" s="276">
        <f>AE17*'01 - Dados de Entrada'!$C$278</f>
        <v>5867.1218820297127</v>
      </c>
      <c r="AF18" s="276">
        <f>AF17*'01 - Dados de Entrada'!$C$278</f>
        <v>5867.1218820297127</v>
      </c>
      <c r="AG18" s="276">
        <f>AG17*'01 - Dados de Entrada'!$C$278</f>
        <v>5867.1218820297127</v>
      </c>
      <c r="AH18" s="276">
        <f>AH17*'01 - Dados de Entrada'!$C$278</f>
        <v>5867.1218820297127</v>
      </c>
      <c r="AI18" s="276">
        <f>AI17*'01 - Dados de Entrada'!$C$278</f>
        <v>5867.1218820297127</v>
      </c>
      <c r="AJ18" s="276">
        <f>AJ17*'01 - Dados de Entrada'!$C$278</f>
        <v>5867.1218820297127</v>
      </c>
      <c r="AK18" s="276">
        <f>AK17*'01 - Dados de Entrada'!$C$278</f>
        <v>5867.1218820297127</v>
      </c>
    </row>
    <row r="19" spans="1:37" s="152" customFormat="1" ht="13.15" customHeight="1" x14ac:dyDescent="0.2">
      <c r="A19" s="271" t="s">
        <v>988</v>
      </c>
      <c r="B19" s="275">
        <f t="shared" si="0"/>
        <v>0</v>
      </c>
      <c r="C19" s="275"/>
      <c r="D19" s="275"/>
      <c r="E19" s="275"/>
      <c r="F19" s="275"/>
      <c r="G19" s="275"/>
      <c r="H19" s="275"/>
      <c r="I19" s="275"/>
      <c r="J19" s="275"/>
      <c r="K19" s="275"/>
      <c r="L19" s="275"/>
      <c r="M19" s="275"/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275"/>
      <c r="AE19" s="275"/>
      <c r="AF19" s="275"/>
      <c r="AG19" s="275"/>
      <c r="AH19" s="275"/>
      <c r="AI19" s="275"/>
      <c r="AJ19" s="275"/>
      <c r="AK19" s="275"/>
    </row>
    <row r="20" spans="1:37" s="152" customFormat="1" ht="13.15" customHeight="1" x14ac:dyDescent="0.2">
      <c r="A20" s="147" t="s">
        <v>956</v>
      </c>
      <c r="B20" s="275">
        <f t="shared" si="0"/>
        <v>0</v>
      </c>
      <c r="C20" s="276">
        <f>'01 - Dados de Entrada'!$C$196*'04 - Veículos e Equipamentos'!B18*12</f>
        <v>0</v>
      </c>
      <c r="D20" s="276">
        <f>'01 - Dados de Entrada'!$C$196*'04 - Veículos e Equipamentos'!C18*12</f>
        <v>0</v>
      </c>
      <c r="E20" s="276">
        <f>'01 - Dados de Entrada'!$C$196*'04 - Veículos e Equipamentos'!D18*12</f>
        <v>0</v>
      </c>
      <c r="F20" s="276">
        <f>'01 - Dados de Entrada'!$C$196*'04 - Veículos e Equipamentos'!E18*12</f>
        <v>0</v>
      </c>
      <c r="G20" s="276">
        <f>'01 - Dados de Entrada'!$C$196*'04 - Veículos e Equipamentos'!F18*12</f>
        <v>0</v>
      </c>
      <c r="H20" s="276">
        <f>'01 - Dados de Entrada'!$C$196*'04 - Veículos e Equipamentos'!G18*12</f>
        <v>0</v>
      </c>
      <c r="I20" s="276">
        <f>'01 - Dados de Entrada'!$C$196*'04 - Veículos e Equipamentos'!H18*12</f>
        <v>0</v>
      </c>
      <c r="J20" s="276">
        <f>'01 - Dados de Entrada'!$C$196*'04 - Veículos e Equipamentos'!I18*12</f>
        <v>0</v>
      </c>
      <c r="K20" s="276">
        <f>'01 - Dados de Entrada'!$C$196*'04 - Veículos e Equipamentos'!J18*12</f>
        <v>0</v>
      </c>
      <c r="L20" s="276">
        <f>'01 - Dados de Entrada'!$C$196*'04 - Veículos e Equipamentos'!K18*12</f>
        <v>0</v>
      </c>
      <c r="M20" s="276">
        <f>'01 - Dados de Entrada'!$C$196*'04 - Veículos e Equipamentos'!L18*12</f>
        <v>0</v>
      </c>
      <c r="N20" s="276">
        <f>'01 - Dados de Entrada'!$C$196*'04 - Veículos e Equipamentos'!M18*12</f>
        <v>0</v>
      </c>
      <c r="O20" s="276">
        <f>'01 - Dados de Entrada'!$C$196*'04 - Veículos e Equipamentos'!N18*12</f>
        <v>0</v>
      </c>
      <c r="P20" s="276">
        <f>'01 - Dados de Entrada'!$C$196*'04 - Veículos e Equipamentos'!O18*12</f>
        <v>0</v>
      </c>
      <c r="Q20" s="276">
        <f>'01 - Dados de Entrada'!$C$196*'04 - Veículos e Equipamentos'!P18*12</f>
        <v>0</v>
      </c>
      <c r="R20" s="276">
        <f>'01 - Dados de Entrada'!$C$196*'04 - Veículos e Equipamentos'!Q18*12</f>
        <v>0</v>
      </c>
      <c r="S20" s="276">
        <f>'01 - Dados de Entrada'!$C$196*'04 - Veículos e Equipamentos'!R18*12</f>
        <v>0</v>
      </c>
      <c r="T20" s="276">
        <f>'01 - Dados de Entrada'!$C$196*'04 - Veículos e Equipamentos'!S18*12</f>
        <v>0</v>
      </c>
      <c r="U20" s="276">
        <f>'01 - Dados de Entrada'!$C$196*'04 - Veículos e Equipamentos'!T18*12</f>
        <v>0</v>
      </c>
      <c r="V20" s="276">
        <f>'01 - Dados de Entrada'!$C$196*'04 - Veículos e Equipamentos'!U18*12</f>
        <v>0</v>
      </c>
      <c r="W20" s="276">
        <f>'01 - Dados de Entrada'!$C$196*'04 - Veículos e Equipamentos'!V18*12</f>
        <v>0</v>
      </c>
      <c r="X20" s="276">
        <f>'01 - Dados de Entrada'!$C$196*'04 - Veículos e Equipamentos'!W18*12</f>
        <v>0</v>
      </c>
      <c r="Y20" s="276">
        <f>'01 - Dados de Entrada'!$C$196*'04 - Veículos e Equipamentos'!X18*12</f>
        <v>0</v>
      </c>
      <c r="Z20" s="276">
        <f>'01 - Dados de Entrada'!$C$196*'04 - Veículos e Equipamentos'!Y18*12</f>
        <v>0</v>
      </c>
      <c r="AA20" s="276">
        <f>'01 - Dados de Entrada'!$C$196*'04 - Veículos e Equipamentos'!Z18*12</f>
        <v>0</v>
      </c>
      <c r="AB20" s="276">
        <f>'01 - Dados de Entrada'!$C$196*'04 - Veículos e Equipamentos'!AA18*12</f>
        <v>0</v>
      </c>
      <c r="AC20" s="276">
        <f>'01 - Dados de Entrada'!$C$196*'04 - Veículos e Equipamentos'!AB18*12</f>
        <v>0</v>
      </c>
      <c r="AD20" s="276">
        <f>'01 - Dados de Entrada'!$C$196*'04 - Veículos e Equipamentos'!AC18*12</f>
        <v>0</v>
      </c>
      <c r="AE20" s="276">
        <f>'01 - Dados de Entrada'!$C$196*'04 - Veículos e Equipamentos'!AD18*12</f>
        <v>0</v>
      </c>
      <c r="AF20" s="276">
        <f>'01 - Dados de Entrada'!$C$196*'04 - Veículos e Equipamentos'!AE18*12</f>
        <v>0</v>
      </c>
      <c r="AG20" s="276">
        <f>'01 - Dados de Entrada'!$C$196*'04 - Veículos e Equipamentos'!AF18*12</f>
        <v>0</v>
      </c>
      <c r="AH20" s="276">
        <f>'01 - Dados de Entrada'!$C$196*'04 - Veículos e Equipamentos'!AG18*12</f>
        <v>0</v>
      </c>
      <c r="AI20" s="276">
        <f>'01 - Dados de Entrada'!$C$196*'04 - Veículos e Equipamentos'!AH18*12</f>
        <v>0</v>
      </c>
      <c r="AJ20" s="276">
        <f>'01 - Dados de Entrada'!$C$196*'04 - Veículos e Equipamentos'!AI18*12</f>
        <v>0</v>
      </c>
      <c r="AK20" s="276">
        <f>'01 - Dados de Entrada'!$C$196*'04 - Veículos e Equipamentos'!AJ18*12</f>
        <v>0</v>
      </c>
    </row>
    <row r="21" spans="1:37" s="152" customFormat="1" ht="13.15" customHeight="1" x14ac:dyDescent="0.2">
      <c r="A21" s="147" t="s">
        <v>984</v>
      </c>
      <c r="B21" s="275">
        <f t="shared" si="0"/>
        <v>0</v>
      </c>
      <c r="C21" s="278">
        <f>C20/'01 - Dados de Entrada'!$C$255</f>
        <v>0</v>
      </c>
      <c r="D21" s="278">
        <f>D20/'01 - Dados de Entrada'!$C$255</f>
        <v>0</v>
      </c>
      <c r="E21" s="278">
        <f>E20/'01 - Dados de Entrada'!$C$255</f>
        <v>0</v>
      </c>
      <c r="F21" s="278">
        <f>F20/'01 - Dados de Entrada'!$C$255</f>
        <v>0</v>
      </c>
      <c r="G21" s="278">
        <f>G20/'01 - Dados de Entrada'!$C$255</f>
        <v>0</v>
      </c>
      <c r="H21" s="278">
        <f>H20/'01 - Dados de Entrada'!$C$255</f>
        <v>0</v>
      </c>
      <c r="I21" s="278">
        <f>I20/'01 - Dados de Entrada'!$C$255</f>
        <v>0</v>
      </c>
      <c r="J21" s="278">
        <f>J20/'01 - Dados de Entrada'!$C$255</f>
        <v>0</v>
      </c>
      <c r="K21" s="278">
        <f>K20/'01 - Dados de Entrada'!$C$255</f>
        <v>0</v>
      </c>
      <c r="L21" s="278">
        <f>L20/'01 - Dados de Entrada'!$C$255</f>
        <v>0</v>
      </c>
      <c r="M21" s="278">
        <f>M20/'01 - Dados de Entrada'!$C$255</f>
        <v>0</v>
      </c>
      <c r="N21" s="278">
        <f>N20/'01 - Dados de Entrada'!$C$255</f>
        <v>0</v>
      </c>
      <c r="O21" s="278">
        <f>O20/'01 - Dados de Entrada'!$C$255</f>
        <v>0</v>
      </c>
      <c r="P21" s="278">
        <f>P20/'01 - Dados de Entrada'!$C$255</f>
        <v>0</v>
      </c>
      <c r="Q21" s="278">
        <f>Q20/'01 - Dados de Entrada'!$C$255</f>
        <v>0</v>
      </c>
      <c r="R21" s="278">
        <f>R20/'01 - Dados de Entrada'!$C$255</f>
        <v>0</v>
      </c>
      <c r="S21" s="278">
        <f>S20/'01 - Dados de Entrada'!$C$255</f>
        <v>0</v>
      </c>
      <c r="T21" s="278">
        <f>T20/'01 - Dados de Entrada'!$C$255</f>
        <v>0</v>
      </c>
      <c r="U21" s="278">
        <f>U20/'01 - Dados de Entrada'!$C$255</f>
        <v>0</v>
      </c>
      <c r="V21" s="278">
        <f>V20/'01 - Dados de Entrada'!$C$255</f>
        <v>0</v>
      </c>
      <c r="W21" s="278">
        <f>W20/'01 - Dados de Entrada'!$C$255</f>
        <v>0</v>
      </c>
      <c r="X21" s="278">
        <f>X20/'01 - Dados de Entrada'!$C$255</f>
        <v>0</v>
      </c>
      <c r="Y21" s="278">
        <f>Y20/'01 - Dados de Entrada'!$C$255</f>
        <v>0</v>
      </c>
      <c r="Z21" s="278">
        <f>Z20/'01 - Dados de Entrada'!$C$255</f>
        <v>0</v>
      </c>
      <c r="AA21" s="278">
        <f>AA20/'01 - Dados de Entrada'!$C$255</f>
        <v>0</v>
      </c>
      <c r="AB21" s="278">
        <f>AB20/'01 - Dados de Entrada'!$C$255</f>
        <v>0</v>
      </c>
      <c r="AC21" s="278">
        <f>AC20/'01 - Dados de Entrada'!$C$255</f>
        <v>0</v>
      </c>
      <c r="AD21" s="278">
        <f>AD20/'01 - Dados de Entrada'!$C$255</f>
        <v>0</v>
      </c>
      <c r="AE21" s="278">
        <f>AE20/'01 - Dados de Entrada'!$C$255</f>
        <v>0</v>
      </c>
      <c r="AF21" s="278">
        <f>AF20/'01 - Dados de Entrada'!$C$255</f>
        <v>0</v>
      </c>
      <c r="AG21" s="278">
        <f>AG20/'01 - Dados de Entrada'!$C$255</f>
        <v>0</v>
      </c>
      <c r="AH21" s="278">
        <f>AH20/'01 - Dados de Entrada'!$C$255</f>
        <v>0</v>
      </c>
      <c r="AI21" s="278">
        <f>AI20/'01 - Dados de Entrada'!$C$255</f>
        <v>0</v>
      </c>
      <c r="AJ21" s="278">
        <f>AJ20/'01 - Dados de Entrada'!$C$255</f>
        <v>0</v>
      </c>
      <c r="AK21" s="278">
        <f>AK20/'01 - Dados de Entrada'!$C$255</f>
        <v>0</v>
      </c>
    </row>
    <row r="22" spans="1:37" s="152" customFormat="1" ht="13.15" customHeight="1" x14ac:dyDescent="0.2">
      <c r="A22" s="147" t="s">
        <v>985</v>
      </c>
      <c r="B22" s="275">
        <f t="shared" si="0"/>
        <v>0</v>
      </c>
      <c r="C22" s="275">
        <f>C21*'01 - Dados de Entrada'!$C$279</f>
        <v>0</v>
      </c>
      <c r="D22" s="275">
        <f>D21*'01 - Dados de Entrada'!$C$279</f>
        <v>0</v>
      </c>
      <c r="E22" s="275">
        <f>E21*'01 - Dados de Entrada'!$C$279</f>
        <v>0</v>
      </c>
      <c r="F22" s="275">
        <f>F21*'01 - Dados de Entrada'!$C$279</f>
        <v>0</v>
      </c>
      <c r="G22" s="275">
        <f>G21*'01 - Dados de Entrada'!$C$279</f>
        <v>0</v>
      </c>
      <c r="H22" s="275">
        <f>H21*'01 - Dados de Entrada'!$C$279</f>
        <v>0</v>
      </c>
      <c r="I22" s="275">
        <f>I21*'01 - Dados de Entrada'!$C$279</f>
        <v>0</v>
      </c>
      <c r="J22" s="275">
        <f>J21*'01 - Dados de Entrada'!$C$279</f>
        <v>0</v>
      </c>
      <c r="K22" s="275">
        <f>K21*'01 - Dados de Entrada'!$C$279</f>
        <v>0</v>
      </c>
      <c r="L22" s="275">
        <f>L21*'01 - Dados de Entrada'!$C$279</f>
        <v>0</v>
      </c>
      <c r="M22" s="275">
        <f>M21*'01 - Dados de Entrada'!$C$279</f>
        <v>0</v>
      </c>
      <c r="N22" s="275">
        <f>N21*'01 - Dados de Entrada'!$C$279</f>
        <v>0</v>
      </c>
      <c r="O22" s="275">
        <f>O21*'01 - Dados de Entrada'!$C$279</f>
        <v>0</v>
      </c>
      <c r="P22" s="275">
        <f>P21*'01 - Dados de Entrada'!$C$279</f>
        <v>0</v>
      </c>
      <c r="Q22" s="275">
        <f>Q21*'01 - Dados de Entrada'!$C$279</f>
        <v>0</v>
      </c>
      <c r="R22" s="275">
        <f>R21*'01 - Dados de Entrada'!$C$279</f>
        <v>0</v>
      </c>
      <c r="S22" s="275">
        <f>S21*'01 - Dados de Entrada'!$C$279</f>
        <v>0</v>
      </c>
      <c r="T22" s="275">
        <f>T21*'01 - Dados de Entrada'!$C$279</f>
        <v>0</v>
      </c>
      <c r="U22" s="275">
        <f>U21*'01 - Dados de Entrada'!$C$279</f>
        <v>0</v>
      </c>
      <c r="V22" s="275">
        <f>V21*'01 - Dados de Entrada'!$C$279</f>
        <v>0</v>
      </c>
      <c r="W22" s="275">
        <f>W21*'01 - Dados de Entrada'!$C$279</f>
        <v>0</v>
      </c>
      <c r="X22" s="275">
        <f>X21*'01 - Dados de Entrada'!$C$279</f>
        <v>0</v>
      </c>
      <c r="Y22" s="275">
        <f>Y21*'01 - Dados de Entrada'!$C$279</f>
        <v>0</v>
      </c>
      <c r="Z22" s="275">
        <f>Z21*'01 - Dados de Entrada'!$C$279</f>
        <v>0</v>
      </c>
      <c r="AA22" s="275">
        <f>AA21*'01 - Dados de Entrada'!$C$279</f>
        <v>0</v>
      </c>
      <c r="AB22" s="275">
        <f>AB21*'01 - Dados de Entrada'!$C$279</f>
        <v>0</v>
      </c>
      <c r="AC22" s="275">
        <f>AC21*'01 - Dados de Entrada'!$C$279</f>
        <v>0</v>
      </c>
      <c r="AD22" s="275">
        <f>AD21*'01 - Dados de Entrada'!$C$279</f>
        <v>0</v>
      </c>
      <c r="AE22" s="275">
        <f>AE21*'01 - Dados de Entrada'!$C$279</f>
        <v>0</v>
      </c>
      <c r="AF22" s="275">
        <f>AF21*'01 - Dados de Entrada'!$C$279</f>
        <v>0</v>
      </c>
      <c r="AG22" s="275">
        <f>AG21*'01 - Dados de Entrada'!$C$279</f>
        <v>0</v>
      </c>
      <c r="AH22" s="275">
        <f>AH21*'01 - Dados de Entrada'!$C$279</f>
        <v>0</v>
      </c>
      <c r="AI22" s="275">
        <f>AI21*'01 - Dados de Entrada'!$C$279</f>
        <v>0</v>
      </c>
      <c r="AJ22" s="275">
        <f>AJ21*'01 - Dados de Entrada'!$C$279</f>
        <v>0</v>
      </c>
      <c r="AK22" s="275">
        <f>AK21*'01 - Dados de Entrada'!$C$279</f>
        <v>0</v>
      </c>
    </row>
    <row r="23" spans="1:37" s="152" customFormat="1" ht="13.15" customHeight="1" x14ac:dyDescent="0.2">
      <c r="A23" s="271" t="s">
        <v>989</v>
      </c>
      <c r="B23" s="275">
        <f t="shared" si="0"/>
        <v>0</v>
      </c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  <c r="N23" s="275"/>
      <c r="O23" s="275"/>
      <c r="P23" s="275"/>
      <c r="Q23" s="275"/>
      <c r="R23" s="275"/>
      <c r="S23" s="275"/>
      <c r="T23" s="275"/>
      <c r="U23" s="275"/>
      <c r="V23" s="275"/>
      <c r="W23" s="275"/>
      <c r="X23" s="275"/>
      <c r="Y23" s="275"/>
      <c r="Z23" s="275"/>
      <c r="AA23" s="275"/>
      <c r="AB23" s="275"/>
      <c r="AC23" s="275"/>
      <c r="AD23" s="275"/>
      <c r="AE23" s="275"/>
      <c r="AF23" s="275"/>
      <c r="AG23" s="275"/>
      <c r="AH23" s="275"/>
      <c r="AI23" s="275"/>
      <c r="AJ23" s="275"/>
      <c r="AK23" s="275"/>
    </row>
    <row r="24" spans="1:37" s="152" customFormat="1" ht="13.15" customHeight="1" x14ac:dyDescent="0.2">
      <c r="A24" s="147" t="s">
        <v>956</v>
      </c>
      <c r="B24" s="275">
        <f t="shared" si="0"/>
        <v>11640152.159999998</v>
      </c>
      <c r="C24" s="275">
        <f>'01 - Dados de Entrada'!$C$196*'04 - Veículos e Equipamentos'!B20*12</f>
        <v>298465.44</v>
      </c>
      <c r="D24" s="275">
        <f>'01 - Dados de Entrada'!$C$196*'04 - Veículos e Equipamentos'!C20*12</f>
        <v>298465.44</v>
      </c>
      <c r="E24" s="275">
        <f>'01 - Dados de Entrada'!$C$196*'04 - Veículos e Equipamentos'!D20*12</f>
        <v>298465.44</v>
      </c>
      <c r="F24" s="275">
        <f>'01 - Dados de Entrada'!$C$196*'04 - Veículos e Equipamentos'!E20*12</f>
        <v>298465.44</v>
      </c>
      <c r="G24" s="275">
        <f>'01 - Dados de Entrada'!$C$196*'04 - Veículos e Equipamentos'!F20*12</f>
        <v>298465.44</v>
      </c>
      <c r="H24" s="275">
        <f>'01 - Dados de Entrada'!$C$196*'04 - Veículos e Equipamentos'!G20*12</f>
        <v>298465.44</v>
      </c>
      <c r="I24" s="275">
        <f>'01 - Dados de Entrada'!$C$196*'04 - Veículos e Equipamentos'!H20*12</f>
        <v>298465.44</v>
      </c>
      <c r="J24" s="275">
        <f>'01 - Dados de Entrada'!$C$196*'04 - Veículos e Equipamentos'!I20*12</f>
        <v>341103.35999999999</v>
      </c>
      <c r="K24" s="275">
        <f>'01 - Dados de Entrada'!$C$196*'04 - Veículos e Equipamentos'!J20*12</f>
        <v>341103.35999999999</v>
      </c>
      <c r="L24" s="275">
        <f>'01 - Dados de Entrada'!$C$196*'04 - Veículos e Equipamentos'!K20*12</f>
        <v>341103.35999999999</v>
      </c>
      <c r="M24" s="275">
        <f>'01 - Dados de Entrada'!$C$196*'04 - Veículos e Equipamentos'!L20*12</f>
        <v>341103.35999999999</v>
      </c>
      <c r="N24" s="275">
        <f>'01 - Dados de Entrada'!$C$196*'04 - Veículos e Equipamentos'!M20*12</f>
        <v>341103.35999999999</v>
      </c>
      <c r="O24" s="275">
        <f>'01 - Dados de Entrada'!$C$196*'04 - Veículos e Equipamentos'!N20*12</f>
        <v>341103.35999999999</v>
      </c>
      <c r="P24" s="275">
        <f>'01 - Dados de Entrada'!$C$196*'04 - Veículos e Equipamentos'!O20*12</f>
        <v>341103.35999999999</v>
      </c>
      <c r="Q24" s="275">
        <f>'01 - Dados de Entrada'!$C$196*'04 - Veículos e Equipamentos'!P20*12</f>
        <v>341103.35999999999</v>
      </c>
      <c r="R24" s="275">
        <f>'01 - Dados de Entrada'!$C$196*'04 - Veículos e Equipamentos'!Q20*12</f>
        <v>341103.35999999999</v>
      </c>
      <c r="S24" s="275">
        <f>'01 - Dados de Entrada'!$C$196*'04 - Veículos e Equipamentos'!R20*12</f>
        <v>341103.35999999999</v>
      </c>
      <c r="T24" s="275">
        <f>'01 - Dados de Entrada'!$C$196*'04 - Veículos e Equipamentos'!S20*12</f>
        <v>341103.35999999999</v>
      </c>
      <c r="U24" s="275">
        <f>'01 - Dados de Entrada'!$C$196*'04 - Veículos e Equipamentos'!T20*12</f>
        <v>341103.35999999999</v>
      </c>
      <c r="V24" s="275">
        <f>'01 - Dados de Entrada'!$C$196*'04 - Veículos e Equipamentos'!U20*12</f>
        <v>341103.35999999999</v>
      </c>
      <c r="W24" s="275">
        <f>'01 - Dados de Entrada'!$C$196*'04 - Veículos e Equipamentos'!V20*12</f>
        <v>341103.35999999999</v>
      </c>
      <c r="X24" s="275">
        <f>'01 - Dados de Entrada'!$C$196*'04 - Veículos e Equipamentos'!W20*12</f>
        <v>341103.35999999999</v>
      </c>
      <c r="Y24" s="275">
        <f>'01 - Dados de Entrada'!$C$196*'04 - Veículos e Equipamentos'!X20*12</f>
        <v>341103.35999999999</v>
      </c>
      <c r="Z24" s="275">
        <f>'01 - Dados de Entrada'!$C$196*'04 - Veículos e Equipamentos'!Y20*12</f>
        <v>341103.35999999999</v>
      </c>
      <c r="AA24" s="275">
        <f>'01 - Dados de Entrada'!$C$196*'04 - Veículos e Equipamentos'!Z20*12</f>
        <v>341103.35999999999</v>
      </c>
      <c r="AB24" s="275">
        <f>'01 - Dados de Entrada'!$C$196*'04 - Veículos e Equipamentos'!AA20*12</f>
        <v>341103.35999999999</v>
      </c>
      <c r="AC24" s="275">
        <f>'01 - Dados de Entrada'!$C$196*'04 - Veículos e Equipamentos'!AB20*12</f>
        <v>341103.35999999999</v>
      </c>
      <c r="AD24" s="275">
        <f>'01 - Dados de Entrada'!$C$196*'04 - Veículos e Equipamentos'!AC20*12</f>
        <v>341103.35999999999</v>
      </c>
      <c r="AE24" s="275">
        <f>'01 - Dados de Entrada'!$C$196*'04 - Veículos e Equipamentos'!AD20*12</f>
        <v>341103.35999999999</v>
      </c>
      <c r="AF24" s="275">
        <f>'01 - Dados de Entrada'!$C$196*'04 - Veículos e Equipamentos'!AE20*12</f>
        <v>341103.35999999999</v>
      </c>
      <c r="AG24" s="275">
        <f>'01 - Dados de Entrada'!$C$196*'04 - Veículos e Equipamentos'!AF20*12</f>
        <v>341103.35999999999</v>
      </c>
      <c r="AH24" s="275">
        <f>'01 - Dados de Entrada'!$C$196*'04 - Veículos e Equipamentos'!AG20*12</f>
        <v>341103.35999999999</v>
      </c>
      <c r="AI24" s="275">
        <f>'01 - Dados de Entrada'!$C$196*'04 - Veículos e Equipamentos'!AH20*12</f>
        <v>341103.35999999999</v>
      </c>
      <c r="AJ24" s="275">
        <f>'01 - Dados de Entrada'!$C$196*'04 - Veículos e Equipamentos'!AI20*12</f>
        <v>341103.35999999999</v>
      </c>
      <c r="AK24" s="275">
        <f>'01 - Dados de Entrada'!$C$196*'04 - Veículos e Equipamentos'!AJ20*12</f>
        <v>341103.35999999999</v>
      </c>
    </row>
    <row r="25" spans="1:37" s="152" customFormat="1" ht="13.15" customHeight="1" x14ac:dyDescent="0.2">
      <c r="A25" s="147" t="s">
        <v>984</v>
      </c>
      <c r="B25" s="275">
        <f t="shared" si="0"/>
        <v>232.80304319999982</v>
      </c>
      <c r="C25" s="275">
        <f>C24/'01 - Dados de Entrada'!$C$255</f>
        <v>5.9693088000000003</v>
      </c>
      <c r="D25" s="275">
        <f>D24/'01 - Dados de Entrada'!$C$255</f>
        <v>5.9693088000000003</v>
      </c>
      <c r="E25" s="275">
        <f>E24/'01 - Dados de Entrada'!$C$255</f>
        <v>5.9693088000000003</v>
      </c>
      <c r="F25" s="275">
        <f>F24/'01 - Dados de Entrada'!$C$255</f>
        <v>5.9693088000000003</v>
      </c>
      <c r="G25" s="275">
        <f>G24/'01 - Dados de Entrada'!$C$255</f>
        <v>5.9693088000000003</v>
      </c>
      <c r="H25" s="275">
        <f>H24/'01 - Dados de Entrada'!$C$255</f>
        <v>5.9693088000000003</v>
      </c>
      <c r="I25" s="275">
        <f>I24/'01 - Dados de Entrada'!$C$255</f>
        <v>5.9693088000000003</v>
      </c>
      <c r="J25" s="275">
        <f>J24/'01 - Dados de Entrada'!$C$255</f>
        <v>6.8220671999999993</v>
      </c>
      <c r="K25" s="275">
        <f>K24/'01 - Dados de Entrada'!$C$255</f>
        <v>6.8220671999999993</v>
      </c>
      <c r="L25" s="275">
        <f>L24/'01 - Dados de Entrada'!$C$255</f>
        <v>6.8220671999999993</v>
      </c>
      <c r="M25" s="275">
        <f>M24/'01 - Dados de Entrada'!$C$255</f>
        <v>6.8220671999999993</v>
      </c>
      <c r="N25" s="275">
        <f>N24/'01 - Dados de Entrada'!$C$255</f>
        <v>6.8220671999999993</v>
      </c>
      <c r="O25" s="275">
        <f>O24/'01 - Dados de Entrada'!$C$255</f>
        <v>6.8220671999999993</v>
      </c>
      <c r="P25" s="275">
        <f>P24/'01 - Dados de Entrada'!$C$255</f>
        <v>6.8220671999999993</v>
      </c>
      <c r="Q25" s="275">
        <f>Q24/'01 - Dados de Entrada'!$C$255</f>
        <v>6.8220671999999993</v>
      </c>
      <c r="R25" s="275">
        <f>R24/'01 - Dados de Entrada'!$C$255</f>
        <v>6.8220671999999993</v>
      </c>
      <c r="S25" s="275">
        <f>S24/'01 - Dados de Entrada'!$C$255</f>
        <v>6.8220671999999993</v>
      </c>
      <c r="T25" s="275">
        <f>T24/'01 - Dados de Entrada'!$C$255</f>
        <v>6.8220671999999993</v>
      </c>
      <c r="U25" s="275">
        <f>U24/'01 - Dados de Entrada'!$C$255</f>
        <v>6.8220671999999993</v>
      </c>
      <c r="V25" s="275">
        <f>V24/'01 - Dados de Entrada'!$C$255</f>
        <v>6.8220671999999993</v>
      </c>
      <c r="W25" s="275">
        <f>W24/'01 - Dados de Entrada'!$C$255</f>
        <v>6.8220671999999993</v>
      </c>
      <c r="X25" s="275">
        <f>X24/'01 - Dados de Entrada'!$C$255</f>
        <v>6.8220671999999993</v>
      </c>
      <c r="Y25" s="275">
        <f>Y24/'01 - Dados de Entrada'!$C$255</f>
        <v>6.8220671999999993</v>
      </c>
      <c r="Z25" s="275">
        <f>Z24/'01 - Dados de Entrada'!$C$255</f>
        <v>6.8220671999999993</v>
      </c>
      <c r="AA25" s="275">
        <f>AA24/'01 - Dados de Entrada'!$C$255</f>
        <v>6.8220671999999993</v>
      </c>
      <c r="AB25" s="275">
        <f>AB24/'01 - Dados de Entrada'!$C$255</f>
        <v>6.8220671999999993</v>
      </c>
      <c r="AC25" s="275">
        <f>AC24/'01 - Dados de Entrada'!$C$255</f>
        <v>6.8220671999999993</v>
      </c>
      <c r="AD25" s="275">
        <f>AD24/'01 - Dados de Entrada'!$C$255</f>
        <v>6.8220671999999993</v>
      </c>
      <c r="AE25" s="275">
        <f>AE24/'01 - Dados de Entrada'!$C$255</f>
        <v>6.8220671999999993</v>
      </c>
      <c r="AF25" s="275">
        <f>AF24/'01 - Dados de Entrada'!$C$255</f>
        <v>6.8220671999999993</v>
      </c>
      <c r="AG25" s="275">
        <f>AG24/'01 - Dados de Entrada'!$C$255</f>
        <v>6.8220671999999993</v>
      </c>
      <c r="AH25" s="275">
        <f>AH24/'01 - Dados de Entrada'!$C$255</f>
        <v>6.8220671999999993</v>
      </c>
      <c r="AI25" s="275">
        <f>AI24/'01 - Dados de Entrada'!$C$255</f>
        <v>6.8220671999999993</v>
      </c>
      <c r="AJ25" s="275">
        <f>AJ24/'01 - Dados de Entrada'!$C$255</f>
        <v>6.8220671999999993</v>
      </c>
      <c r="AK25" s="275">
        <f>AK24/'01 - Dados de Entrada'!$C$255</f>
        <v>6.8220671999999993</v>
      </c>
    </row>
    <row r="26" spans="1:37" s="152" customFormat="1" ht="13.15" customHeight="1" x14ac:dyDescent="0.2">
      <c r="A26" s="147" t="s">
        <v>985</v>
      </c>
      <c r="B26" s="275">
        <f t="shared" si="0"/>
        <v>6833300.4594701193</v>
      </c>
      <c r="C26" s="275">
        <f>C25*'01 - Dados de Entrada'!$C$279</f>
        <v>175212.8322941057</v>
      </c>
      <c r="D26" s="275">
        <f>D25*'01 - Dados de Entrada'!$C$279</f>
        <v>175212.8322941057</v>
      </c>
      <c r="E26" s="275">
        <f>E25*'01 - Dados de Entrada'!$C$279</f>
        <v>175212.8322941057</v>
      </c>
      <c r="F26" s="275">
        <f>F25*'01 - Dados de Entrada'!$C$279</f>
        <v>175212.8322941057</v>
      </c>
      <c r="G26" s="275">
        <f>G25*'01 - Dados de Entrada'!$C$279</f>
        <v>175212.8322941057</v>
      </c>
      <c r="H26" s="275">
        <f>H25*'01 - Dados de Entrada'!$C$279</f>
        <v>175212.8322941057</v>
      </c>
      <c r="I26" s="275">
        <f>I25*'01 - Dados de Entrada'!$C$279</f>
        <v>175212.8322941057</v>
      </c>
      <c r="J26" s="275">
        <f>J25*'01 - Dados de Entrada'!$C$279</f>
        <v>200243.23690754935</v>
      </c>
      <c r="K26" s="275">
        <f>K25*'01 - Dados de Entrada'!$C$279</f>
        <v>200243.23690754935</v>
      </c>
      <c r="L26" s="275">
        <f>L25*'01 - Dados de Entrada'!$C$279</f>
        <v>200243.23690754935</v>
      </c>
      <c r="M26" s="275">
        <f>M25*'01 - Dados de Entrada'!$C$279</f>
        <v>200243.23690754935</v>
      </c>
      <c r="N26" s="275">
        <f>N25*'01 - Dados de Entrada'!$C$279</f>
        <v>200243.23690754935</v>
      </c>
      <c r="O26" s="275">
        <f>O25*'01 - Dados de Entrada'!$C$279</f>
        <v>200243.23690754935</v>
      </c>
      <c r="P26" s="275">
        <f>P25*'01 - Dados de Entrada'!$C$279</f>
        <v>200243.23690754935</v>
      </c>
      <c r="Q26" s="275">
        <f>Q25*'01 - Dados de Entrada'!$C$279</f>
        <v>200243.23690754935</v>
      </c>
      <c r="R26" s="275">
        <f>R25*'01 - Dados de Entrada'!$C$279</f>
        <v>200243.23690754935</v>
      </c>
      <c r="S26" s="275">
        <f>S25*'01 - Dados de Entrada'!$C$279</f>
        <v>200243.23690754935</v>
      </c>
      <c r="T26" s="275">
        <f>T25*'01 - Dados de Entrada'!$C$279</f>
        <v>200243.23690754935</v>
      </c>
      <c r="U26" s="275">
        <f>U25*'01 - Dados de Entrada'!$C$279</f>
        <v>200243.23690754935</v>
      </c>
      <c r="V26" s="275">
        <f>V25*'01 - Dados de Entrada'!$C$279</f>
        <v>200243.23690754935</v>
      </c>
      <c r="W26" s="275">
        <f>W25*'01 - Dados de Entrada'!$C$279</f>
        <v>200243.23690754935</v>
      </c>
      <c r="X26" s="275">
        <f>X25*'01 - Dados de Entrada'!$C$279</f>
        <v>200243.23690754935</v>
      </c>
      <c r="Y26" s="275">
        <f>Y25*'01 - Dados de Entrada'!$C$279</f>
        <v>200243.23690754935</v>
      </c>
      <c r="Z26" s="275">
        <f>Z25*'01 - Dados de Entrada'!$C$279</f>
        <v>200243.23690754935</v>
      </c>
      <c r="AA26" s="275">
        <f>AA25*'01 - Dados de Entrada'!$C$279</f>
        <v>200243.23690754935</v>
      </c>
      <c r="AB26" s="275">
        <f>AB25*'01 - Dados de Entrada'!$C$279</f>
        <v>200243.23690754935</v>
      </c>
      <c r="AC26" s="275">
        <f>AC25*'01 - Dados de Entrada'!$C$279</f>
        <v>200243.23690754935</v>
      </c>
      <c r="AD26" s="275">
        <f>AD25*'01 - Dados de Entrada'!$C$279</f>
        <v>200243.23690754935</v>
      </c>
      <c r="AE26" s="275">
        <f>AE25*'01 - Dados de Entrada'!$C$279</f>
        <v>200243.23690754935</v>
      </c>
      <c r="AF26" s="275">
        <f>AF25*'01 - Dados de Entrada'!$C$279</f>
        <v>200243.23690754935</v>
      </c>
      <c r="AG26" s="275">
        <f>AG25*'01 - Dados de Entrada'!$C$279</f>
        <v>200243.23690754935</v>
      </c>
      <c r="AH26" s="275">
        <f>AH25*'01 - Dados de Entrada'!$C$279</f>
        <v>200243.23690754935</v>
      </c>
      <c r="AI26" s="275">
        <f>AI25*'01 - Dados de Entrada'!$C$279</f>
        <v>200243.23690754935</v>
      </c>
      <c r="AJ26" s="275">
        <f>AJ25*'01 - Dados de Entrada'!$C$279</f>
        <v>200243.23690754935</v>
      </c>
      <c r="AK26" s="275">
        <f>AK25*'01 - Dados de Entrada'!$C$279</f>
        <v>200243.23690754935</v>
      </c>
    </row>
    <row r="27" spans="1:37" s="152" customFormat="1" ht="13.15" customHeight="1" x14ac:dyDescent="0.2">
      <c r="A27" s="271" t="s">
        <v>941</v>
      </c>
      <c r="B27" s="275">
        <f t="shared" si="0"/>
        <v>0</v>
      </c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  <c r="AG27" s="275"/>
      <c r="AH27" s="275"/>
      <c r="AI27" s="275"/>
      <c r="AJ27" s="275"/>
      <c r="AK27" s="275"/>
    </row>
    <row r="28" spans="1:37" s="152" customFormat="1" ht="13.15" customHeight="1" x14ac:dyDescent="0.2">
      <c r="A28" s="147" t="s">
        <v>956</v>
      </c>
      <c r="B28" s="275">
        <f t="shared" si="0"/>
        <v>1680000</v>
      </c>
      <c r="C28" s="276">
        <f>'01 - Dados de Entrada'!$C$200*('04 - Veículos e Equipamentos'!B15+'04 - Veículos e Equipamentos'!B22+'04 - Veículos e Equipamentos'!B25)*12</f>
        <v>48000</v>
      </c>
      <c r="D28" s="276">
        <f>'01 - Dados de Entrada'!$C$200*('04 - Veículos e Equipamentos'!C15+'04 - Veículos e Equipamentos'!C22+'04 - Veículos e Equipamentos'!C25)*12</f>
        <v>48000</v>
      </c>
      <c r="E28" s="276">
        <f>'01 - Dados de Entrada'!$C$200*('04 - Veículos e Equipamentos'!D15+'04 - Veículos e Equipamentos'!D22+'04 - Veículos e Equipamentos'!D25)*12</f>
        <v>48000</v>
      </c>
      <c r="F28" s="276">
        <f>'01 - Dados de Entrada'!$C$200*('04 - Veículos e Equipamentos'!E15+'04 - Veículos e Equipamentos'!E22+'04 - Veículos e Equipamentos'!E25)*12</f>
        <v>48000</v>
      </c>
      <c r="G28" s="276">
        <f>'01 - Dados de Entrada'!$C$200*('04 - Veículos e Equipamentos'!F15+'04 - Veículos e Equipamentos'!F22+'04 - Veículos e Equipamentos'!F25)*12</f>
        <v>48000</v>
      </c>
      <c r="H28" s="276">
        <f>'01 - Dados de Entrada'!$C$200*('04 - Veículos e Equipamentos'!G15+'04 - Veículos e Equipamentos'!G22+'04 - Veículos e Equipamentos'!G25)*12</f>
        <v>48000</v>
      </c>
      <c r="I28" s="276">
        <f>'01 - Dados de Entrada'!$C$200*('04 - Veículos e Equipamentos'!H15+'04 - Veículos e Equipamentos'!H22+'04 - Veículos e Equipamentos'!H25)*12</f>
        <v>48000</v>
      </c>
      <c r="J28" s="276">
        <f>'01 - Dados de Entrada'!$C$200*('04 - Veículos e Equipamentos'!I15+'04 - Veículos e Equipamentos'!I22+'04 - Veículos e Equipamentos'!I25)*12</f>
        <v>48000</v>
      </c>
      <c r="K28" s="276">
        <f>'01 - Dados de Entrada'!$C$200*('04 - Veículos e Equipamentos'!J15+'04 - Veículos e Equipamentos'!J22+'04 - Veículos e Equipamentos'!J25)*12</f>
        <v>48000</v>
      </c>
      <c r="L28" s="276">
        <f>'01 - Dados de Entrada'!$C$200*('04 - Veículos e Equipamentos'!K15+'04 - Veículos e Equipamentos'!K22+'04 - Veículos e Equipamentos'!K25)*12</f>
        <v>48000</v>
      </c>
      <c r="M28" s="276">
        <f>'01 - Dados de Entrada'!$C$200*('04 - Veículos e Equipamentos'!L15+'04 - Veículos e Equipamentos'!L22+'04 - Veículos e Equipamentos'!L25)*12</f>
        <v>48000</v>
      </c>
      <c r="N28" s="276">
        <f>'01 - Dados de Entrada'!$C$200*('04 - Veículos e Equipamentos'!M15+'04 - Veículos e Equipamentos'!M22+'04 - Veículos e Equipamentos'!M25)*12</f>
        <v>48000</v>
      </c>
      <c r="O28" s="276">
        <f>'01 - Dados de Entrada'!$C$200*('04 - Veículos e Equipamentos'!N15+'04 - Veículos e Equipamentos'!N22+'04 - Veículos e Equipamentos'!N25)*12</f>
        <v>48000</v>
      </c>
      <c r="P28" s="276">
        <f>'01 - Dados de Entrada'!$C$200*('04 - Veículos e Equipamentos'!O15+'04 - Veículos e Equipamentos'!O22+'04 - Veículos e Equipamentos'!O25)*12</f>
        <v>48000</v>
      </c>
      <c r="Q28" s="276">
        <f>'01 - Dados de Entrada'!$C$200*('04 - Veículos e Equipamentos'!P15+'04 - Veículos e Equipamentos'!P22+'04 - Veículos e Equipamentos'!P25)*12</f>
        <v>48000</v>
      </c>
      <c r="R28" s="276">
        <f>'01 - Dados de Entrada'!$C$200*('04 - Veículos e Equipamentos'!Q15+'04 - Veículos e Equipamentos'!Q22+'04 - Veículos e Equipamentos'!Q25)*12</f>
        <v>48000</v>
      </c>
      <c r="S28" s="276">
        <f>'01 - Dados de Entrada'!$C$200*('04 - Veículos e Equipamentos'!R15+'04 - Veículos e Equipamentos'!R22+'04 - Veículos e Equipamentos'!R25)*12</f>
        <v>48000</v>
      </c>
      <c r="T28" s="276">
        <f>'01 - Dados de Entrada'!$C$200*('04 - Veículos e Equipamentos'!S15+'04 - Veículos e Equipamentos'!S22+'04 - Veículos e Equipamentos'!S25)*12</f>
        <v>48000</v>
      </c>
      <c r="U28" s="276">
        <f>'01 - Dados de Entrada'!$C$200*('04 - Veículos e Equipamentos'!T15+'04 - Veículos e Equipamentos'!T22+'04 - Veículos e Equipamentos'!T25)*12</f>
        <v>48000</v>
      </c>
      <c r="V28" s="276">
        <f>'01 - Dados de Entrada'!$C$200*('04 - Veículos e Equipamentos'!U15+'04 - Veículos e Equipamentos'!U22+'04 - Veículos e Equipamentos'!U25)*12</f>
        <v>48000</v>
      </c>
      <c r="W28" s="276">
        <f>'01 - Dados de Entrada'!$C$200*('04 - Veículos e Equipamentos'!V15+'04 - Veículos e Equipamentos'!V22+'04 - Veículos e Equipamentos'!V25)*12</f>
        <v>48000</v>
      </c>
      <c r="X28" s="276">
        <f>'01 - Dados de Entrada'!$C$200*('04 - Veículos e Equipamentos'!W15+'04 - Veículos e Equipamentos'!W22+'04 - Veículos e Equipamentos'!W25)*12</f>
        <v>48000</v>
      </c>
      <c r="Y28" s="276">
        <f>'01 - Dados de Entrada'!$C$200*('04 - Veículos e Equipamentos'!X15+'04 - Veículos e Equipamentos'!X22+'04 - Veículos e Equipamentos'!X25)*12</f>
        <v>48000</v>
      </c>
      <c r="Z28" s="276">
        <f>'01 - Dados de Entrada'!$C$200*('04 - Veículos e Equipamentos'!Y15+'04 - Veículos e Equipamentos'!Y22+'04 - Veículos e Equipamentos'!Y25)*12</f>
        <v>48000</v>
      </c>
      <c r="AA28" s="276">
        <f>'01 - Dados de Entrada'!$C$200*('04 - Veículos e Equipamentos'!Z15+'04 - Veículos e Equipamentos'!Z22+'04 - Veículos e Equipamentos'!Z25)*12</f>
        <v>48000</v>
      </c>
      <c r="AB28" s="276">
        <f>'01 - Dados de Entrada'!$C$200*('04 - Veículos e Equipamentos'!AA15+'04 - Veículos e Equipamentos'!AA22+'04 - Veículos e Equipamentos'!AA25)*12</f>
        <v>48000</v>
      </c>
      <c r="AC28" s="276">
        <f>'01 - Dados de Entrada'!$C$200*('04 - Veículos e Equipamentos'!AB15+'04 - Veículos e Equipamentos'!AB22+'04 - Veículos e Equipamentos'!AB25)*12</f>
        <v>48000</v>
      </c>
      <c r="AD28" s="276">
        <f>'01 - Dados de Entrada'!$C$200*('04 - Veículos e Equipamentos'!AC15+'04 - Veículos e Equipamentos'!AC22+'04 - Veículos e Equipamentos'!AC25)*12</f>
        <v>48000</v>
      </c>
      <c r="AE28" s="276">
        <f>'01 - Dados de Entrada'!$C$200*('04 - Veículos e Equipamentos'!AD15+'04 - Veículos e Equipamentos'!AD22+'04 - Veículos e Equipamentos'!AD25)*12</f>
        <v>48000</v>
      </c>
      <c r="AF28" s="276">
        <f>'01 - Dados de Entrada'!$C$200*('04 - Veículos e Equipamentos'!AE15+'04 - Veículos e Equipamentos'!AE22+'04 - Veículos e Equipamentos'!AE25)*12</f>
        <v>48000</v>
      </c>
      <c r="AG28" s="276">
        <f>'01 - Dados de Entrada'!$C$200*('04 - Veículos e Equipamentos'!AF15+'04 - Veículos e Equipamentos'!AF22+'04 - Veículos e Equipamentos'!AF25)*12</f>
        <v>48000</v>
      </c>
      <c r="AH28" s="276">
        <f>'01 - Dados de Entrada'!$C$200*('04 - Veículos e Equipamentos'!AG15+'04 - Veículos e Equipamentos'!AG22+'04 - Veículos e Equipamentos'!AG25)*12</f>
        <v>48000</v>
      </c>
      <c r="AI28" s="276">
        <f>'01 - Dados de Entrada'!$C$200*('04 - Veículos e Equipamentos'!AH15+'04 - Veículos e Equipamentos'!AH22+'04 - Veículos e Equipamentos'!AH25)*12</f>
        <v>48000</v>
      </c>
      <c r="AJ28" s="276">
        <f>'01 - Dados de Entrada'!$C$200*('04 - Veículos e Equipamentos'!AI15+'04 - Veículos e Equipamentos'!AI22+'04 - Veículos e Equipamentos'!AI25)*12</f>
        <v>48000</v>
      </c>
      <c r="AK28" s="276">
        <f>'01 - Dados de Entrada'!$C$200*('04 - Veículos e Equipamentos'!AJ15+'04 - Veículos e Equipamentos'!AJ22+'04 - Veículos e Equipamentos'!AJ25)*12</f>
        <v>48000</v>
      </c>
    </row>
    <row r="29" spans="1:37" s="152" customFormat="1" ht="13.15" customHeight="1" x14ac:dyDescent="0.2">
      <c r="A29" s="147" t="s">
        <v>984</v>
      </c>
      <c r="B29" s="275">
        <f t="shared" si="0"/>
        <v>56.000000000000028</v>
      </c>
      <c r="C29" s="278">
        <f>C28/'01 - Dados de Entrada'!$C$260</f>
        <v>1.6</v>
      </c>
      <c r="D29" s="278">
        <f>D28/'01 - Dados de Entrada'!$C$260</f>
        <v>1.6</v>
      </c>
      <c r="E29" s="278">
        <f>E28/'01 - Dados de Entrada'!$C$260</f>
        <v>1.6</v>
      </c>
      <c r="F29" s="278">
        <f>F28/'01 - Dados de Entrada'!$C$260</f>
        <v>1.6</v>
      </c>
      <c r="G29" s="278">
        <f>G28/'01 - Dados de Entrada'!$C$260</f>
        <v>1.6</v>
      </c>
      <c r="H29" s="278">
        <f>H28/'01 - Dados de Entrada'!$C$260</f>
        <v>1.6</v>
      </c>
      <c r="I29" s="278">
        <f>I28/'01 - Dados de Entrada'!$C$260</f>
        <v>1.6</v>
      </c>
      <c r="J29" s="278">
        <f>J28/'01 - Dados de Entrada'!$C$260</f>
        <v>1.6</v>
      </c>
      <c r="K29" s="278">
        <f>K28/'01 - Dados de Entrada'!$C$260</f>
        <v>1.6</v>
      </c>
      <c r="L29" s="278">
        <f>L28/'01 - Dados de Entrada'!$C$260</f>
        <v>1.6</v>
      </c>
      <c r="M29" s="278">
        <f>M28/'01 - Dados de Entrada'!$C$260</f>
        <v>1.6</v>
      </c>
      <c r="N29" s="278">
        <f>N28/'01 - Dados de Entrada'!$C$260</f>
        <v>1.6</v>
      </c>
      <c r="O29" s="278">
        <f>O28/'01 - Dados de Entrada'!$C$260</f>
        <v>1.6</v>
      </c>
      <c r="P29" s="278">
        <f>P28/'01 - Dados de Entrada'!$C$260</f>
        <v>1.6</v>
      </c>
      <c r="Q29" s="278">
        <f>Q28/'01 - Dados de Entrada'!$C$260</f>
        <v>1.6</v>
      </c>
      <c r="R29" s="278">
        <f>R28/'01 - Dados de Entrada'!$C$260</f>
        <v>1.6</v>
      </c>
      <c r="S29" s="278">
        <f>S28/'01 - Dados de Entrada'!$C$260</f>
        <v>1.6</v>
      </c>
      <c r="T29" s="278">
        <f>T28/'01 - Dados de Entrada'!$C$260</f>
        <v>1.6</v>
      </c>
      <c r="U29" s="278">
        <f>U28/'01 - Dados de Entrada'!$C$260</f>
        <v>1.6</v>
      </c>
      <c r="V29" s="278">
        <f>V28/'01 - Dados de Entrada'!$C$260</f>
        <v>1.6</v>
      </c>
      <c r="W29" s="278">
        <f>W28/'01 - Dados de Entrada'!$C$260</f>
        <v>1.6</v>
      </c>
      <c r="X29" s="278">
        <f>X28/'01 - Dados de Entrada'!$C$260</f>
        <v>1.6</v>
      </c>
      <c r="Y29" s="278">
        <f>Y28/'01 - Dados de Entrada'!$C$260</f>
        <v>1.6</v>
      </c>
      <c r="Z29" s="278">
        <f>Z28/'01 - Dados de Entrada'!$C$260</f>
        <v>1.6</v>
      </c>
      <c r="AA29" s="278">
        <f>AA28/'01 - Dados de Entrada'!$C$260</f>
        <v>1.6</v>
      </c>
      <c r="AB29" s="278">
        <f>AB28/'01 - Dados de Entrada'!$C$260</f>
        <v>1.6</v>
      </c>
      <c r="AC29" s="278">
        <f>AC28/'01 - Dados de Entrada'!$C$260</f>
        <v>1.6</v>
      </c>
      <c r="AD29" s="278">
        <f>AD28/'01 - Dados de Entrada'!$C$260</f>
        <v>1.6</v>
      </c>
      <c r="AE29" s="278">
        <f>AE28/'01 - Dados de Entrada'!$C$260</f>
        <v>1.6</v>
      </c>
      <c r="AF29" s="278">
        <f>AF28/'01 - Dados de Entrada'!$C$260</f>
        <v>1.6</v>
      </c>
      <c r="AG29" s="278">
        <f>AG28/'01 - Dados de Entrada'!$C$260</f>
        <v>1.6</v>
      </c>
      <c r="AH29" s="278">
        <f>AH28/'01 - Dados de Entrada'!$C$260</f>
        <v>1.6</v>
      </c>
      <c r="AI29" s="278">
        <f>AI28/'01 - Dados de Entrada'!$C$260</f>
        <v>1.6</v>
      </c>
      <c r="AJ29" s="278">
        <f>AJ28/'01 - Dados de Entrada'!$C$260</f>
        <v>1.6</v>
      </c>
      <c r="AK29" s="278">
        <f>AK28/'01 - Dados de Entrada'!$C$260</f>
        <v>1.6</v>
      </c>
    </row>
    <row r="30" spans="1:37" s="152" customFormat="1" ht="13.15" customHeight="1" x14ac:dyDescent="0.2">
      <c r="A30" s="147" t="s">
        <v>985</v>
      </c>
      <c r="B30" s="275">
        <f t="shared" si="0"/>
        <v>80617.600000000006</v>
      </c>
      <c r="C30" s="275">
        <f>C29*'01 - Dados de Entrada'!$C$286</f>
        <v>2303.36</v>
      </c>
      <c r="D30" s="275">
        <f>D29*'01 - Dados de Entrada'!$C$286</f>
        <v>2303.36</v>
      </c>
      <c r="E30" s="275">
        <f>E29*'01 - Dados de Entrada'!$C$286</f>
        <v>2303.36</v>
      </c>
      <c r="F30" s="275">
        <f>F29*'01 - Dados de Entrada'!$C$286</f>
        <v>2303.36</v>
      </c>
      <c r="G30" s="275">
        <f>G29*'01 - Dados de Entrada'!$C$286</f>
        <v>2303.36</v>
      </c>
      <c r="H30" s="275">
        <f>H29*'01 - Dados de Entrada'!$C$286</f>
        <v>2303.36</v>
      </c>
      <c r="I30" s="275">
        <f>I29*'01 - Dados de Entrada'!$C$286</f>
        <v>2303.36</v>
      </c>
      <c r="J30" s="275">
        <f>J29*'01 - Dados de Entrada'!$C$286</f>
        <v>2303.36</v>
      </c>
      <c r="K30" s="275">
        <f>K29*'01 - Dados de Entrada'!$C$286</f>
        <v>2303.36</v>
      </c>
      <c r="L30" s="275">
        <f>L29*'01 - Dados de Entrada'!$C$286</f>
        <v>2303.36</v>
      </c>
      <c r="M30" s="275">
        <f>M29*'01 - Dados de Entrada'!$C$286</f>
        <v>2303.36</v>
      </c>
      <c r="N30" s="275">
        <f>N29*'01 - Dados de Entrada'!$C$286</f>
        <v>2303.36</v>
      </c>
      <c r="O30" s="275">
        <f>O29*'01 - Dados de Entrada'!$C$286</f>
        <v>2303.36</v>
      </c>
      <c r="P30" s="275">
        <f>P29*'01 - Dados de Entrada'!$C$286</f>
        <v>2303.36</v>
      </c>
      <c r="Q30" s="275">
        <f>Q29*'01 - Dados de Entrada'!$C$286</f>
        <v>2303.36</v>
      </c>
      <c r="R30" s="275">
        <f>R29*'01 - Dados de Entrada'!$C$286</f>
        <v>2303.36</v>
      </c>
      <c r="S30" s="275">
        <f>S29*'01 - Dados de Entrada'!$C$286</f>
        <v>2303.36</v>
      </c>
      <c r="T30" s="275">
        <f>T29*'01 - Dados de Entrada'!$C$286</f>
        <v>2303.36</v>
      </c>
      <c r="U30" s="275">
        <f>U29*'01 - Dados de Entrada'!$C$286</f>
        <v>2303.36</v>
      </c>
      <c r="V30" s="275">
        <f>V29*'01 - Dados de Entrada'!$C$286</f>
        <v>2303.36</v>
      </c>
      <c r="W30" s="275">
        <f>W29*'01 - Dados de Entrada'!$C$286</f>
        <v>2303.36</v>
      </c>
      <c r="X30" s="275">
        <f>X29*'01 - Dados de Entrada'!$C$286</f>
        <v>2303.36</v>
      </c>
      <c r="Y30" s="275">
        <f>Y29*'01 - Dados de Entrada'!$C$286</f>
        <v>2303.36</v>
      </c>
      <c r="Z30" s="275">
        <f>Z29*'01 - Dados de Entrada'!$C$286</f>
        <v>2303.36</v>
      </c>
      <c r="AA30" s="275">
        <f>AA29*'01 - Dados de Entrada'!$C$286</f>
        <v>2303.36</v>
      </c>
      <c r="AB30" s="275">
        <f>AB29*'01 - Dados de Entrada'!$C$286</f>
        <v>2303.36</v>
      </c>
      <c r="AC30" s="275">
        <f>AC29*'01 - Dados de Entrada'!$C$286</f>
        <v>2303.36</v>
      </c>
      <c r="AD30" s="275">
        <f>AD29*'01 - Dados de Entrada'!$C$286</f>
        <v>2303.36</v>
      </c>
      <c r="AE30" s="275">
        <f>AE29*'01 - Dados de Entrada'!$C$286</f>
        <v>2303.36</v>
      </c>
      <c r="AF30" s="275">
        <f>AF29*'01 - Dados de Entrada'!$C$286</f>
        <v>2303.36</v>
      </c>
      <c r="AG30" s="275">
        <f>AG29*'01 - Dados de Entrada'!$C$286</f>
        <v>2303.36</v>
      </c>
      <c r="AH30" s="275">
        <f>AH29*'01 - Dados de Entrada'!$C$286</f>
        <v>2303.36</v>
      </c>
      <c r="AI30" s="275">
        <f>AI29*'01 - Dados de Entrada'!$C$286</f>
        <v>2303.36</v>
      </c>
      <c r="AJ30" s="275">
        <f>AJ29*'01 - Dados de Entrada'!$C$286</f>
        <v>2303.36</v>
      </c>
      <c r="AK30" s="275">
        <f>AK29*'01 - Dados de Entrada'!$C$286</f>
        <v>2303.36</v>
      </c>
    </row>
    <row r="31" spans="1:37" s="152" customFormat="1" ht="13.15" customHeight="1" x14ac:dyDescent="0.2">
      <c r="A31" s="271" t="s">
        <v>942</v>
      </c>
      <c r="B31" s="275">
        <f t="shared" si="0"/>
        <v>0</v>
      </c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5"/>
      <c r="Y31" s="275"/>
      <c r="Z31" s="275"/>
      <c r="AA31" s="275"/>
      <c r="AB31" s="275"/>
      <c r="AC31" s="275"/>
      <c r="AD31" s="275"/>
      <c r="AE31" s="275"/>
      <c r="AF31" s="275"/>
      <c r="AG31" s="275"/>
      <c r="AH31" s="275"/>
      <c r="AI31" s="275"/>
      <c r="AJ31" s="275"/>
      <c r="AK31" s="275"/>
    </row>
    <row r="32" spans="1:37" s="152" customFormat="1" ht="13.15" customHeight="1" x14ac:dyDescent="0.2">
      <c r="A32" s="147" t="s">
        <v>956</v>
      </c>
      <c r="B32" s="275">
        <f t="shared" si="0"/>
        <v>4200000</v>
      </c>
      <c r="C32" s="276">
        <f>'01 - Dados de Entrada'!$C$199*('04 - Veículos e Equipamentos'!B27+'04 - Veículos e Equipamentos'!B29+'04 - Veículos e Equipamentos'!B31)*12</f>
        <v>120000</v>
      </c>
      <c r="D32" s="276">
        <f>'01 - Dados de Entrada'!$C$199*('04 - Veículos e Equipamentos'!C27+'04 - Veículos e Equipamentos'!C29+'04 - Veículos e Equipamentos'!C31)*12</f>
        <v>120000</v>
      </c>
      <c r="E32" s="276">
        <f>'01 - Dados de Entrada'!$C$199*('04 - Veículos e Equipamentos'!D27+'04 - Veículos e Equipamentos'!D29+'04 - Veículos e Equipamentos'!D31)*12</f>
        <v>120000</v>
      </c>
      <c r="F32" s="276">
        <f>'01 - Dados de Entrada'!$C$199*('04 - Veículos e Equipamentos'!E27+'04 - Veículos e Equipamentos'!E29+'04 - Veículos e Equipamentos'!E31)*12</f>
        <v>120000</v>
      </c>
      <c r="G32" s="276">
        <f>'01 - Dados de Entrada'!$C$199*('04 - Veículos e Equipamentos'!F27+'04 - Veículos e Equipamentos'!F29+'04 - Veículos e Equipamentos'!F31)*12</f>
        <v>120000</v>
      </c>
      <c r="H32" s="276">
        <f>'01 - Dados de Entrada'!$C$199*('04 - Veículos e Equipamentos'!G27+'04 - Veículos e Equipamentos'!G29+'04 - Veículos e Equipamentos'!G31)*12</f>
        <v>120000</v>
      </c>
      <c r="I32" s="276">
        <f>'01 - Dados de Entrada'!$C$199*('04 - Veículos e Equipamentos'!H27+'04 - Veículos e Equipamentos'!H29+'04 - Veículos e Equipamentos'!H31)*12</f>
        <v>120000</v>
      </c>
      <c r="J32" s="276">
        <f>'01 - Dados de Entrada'!$C$199*('04 - Veículos e Equipamentos'!I27+'04 - Veículos e Equipamentos'!I29+'04 - Veículos e Equipamentos'!I31)*12</f>
        <v>120000</v>
      </c>
      <c r="K32" s="276">
        <f>'01 - Dados de Entrada'!$C$199*('04 - Veículos e Equipamentos'!J27+'04 - Veículos e Equipamentos'!J29+'04 - Veículos e Equipamentos'!J31)*12</f>
        <v>120000</v>
      </c>
      <c r="L32" s="276">
        <f>'01 - Dados de Entrada'!$C$199*('04 - Veículos e Equipamentos'!K27+'04 - Veículos e Equipamentos'!K29+'04 - Veículos e Equipamentos'!K31)*12</f>
        <v>120000</v>
      </c>
      <c r="M32" s="276">
        <f>'01 - Dados de Entrada'!$C$199*('04 - Veículos e Equipamentos'!L27+'04 - Veículos e Equipamentos'!L29+'04 - Veículos e Equipamentos'!L31)*12</f>
        <v>120000</v>
      </c>
      <c r="N32" s="276">
        <f>'01 - Dados de Entrada'!$C$199*('04 - Veículos e Equipamentos'!M27+'04 - Veículos e Equipamentos'!M29+'04 - Veículos e Equipamentos'!M31)*12</f>
        <v>120000</v>
      </c>
      <c r="O32" s="276">
        <f>'01 - Dados de Entrada'!$C$199*('04 - Veículos e Equipamentos'!N27+'04 - Veículos e Equipamentos'!N29+'04 - Veículos e Equipamentos'!N31)*12</f>
        <v>120000</v>
      </c>
      <c r="P32" s="276">
        <f>'01 - Dados de Entrada'!$C$199*('04 - Veículos e Equipamentos'!O27+'04 - Veículos e Equipamentos'!O29+'04 - Veículos e Equipamentos'!O31)*12</f>
        <v>120000</v>
      </c>
      <c r="Q32" s="276">
        <f>'01 - Dados de Entrada'!$C$199*('04 - Veículos e Equipamentos'!P27+'04 - Veículos e Equipamentos'!P29+'04 - Veículos e Equipamentos'!P31)*12</f>
        <v>120000</v>
      </c>
      <c r="R32" s="276">
        <f>'01 - Dados de Entrada'!$C$199*('04 - Veículos e Equipamentos'!Q27+'04 - Veículos e Equipamentos'!Q29+'04 - Veículos e Equipamentos'!Q31)*12</f>
        <v>120000</v>
      </c>
      <c r="S32" s="276">
        <f>'01 - Dados de Entrada'!$C$199*('04 - Veículos e Equipamentos'!R27+'04 - Veículos e Equipamentos'!R29+'04 - Veículos e Equipamentos'!R31)*12</f>
        <v>120000</v>
      </c>
      <c r="T32" s="276">
        <f>'01 - Dados de Entrada'!$C$199*('04 - Veículos e Equipamentos'!S27+'04 - Veículos e Equipamentos'!S29+'04 - Veículos e Equipamentos'!S31)*12</f>
        <v>120000</v>
      </c>
      <c r="U32" s="276">
        <f>'01 - Dados de Entrada'!$C$199*('04 - Veículos e Equipamentos'!T27+'04 - Veículos e Equipamentos'!T29+'04 - Veículos e Equipamentos'!T31)*12</f>
        <v>120000</v>
      </c>
      <c r="V32" s="276">
        <f>'01 - Dados de Entrada'!$C$199*('04 - Veículos e Equipamentos'!U27+'04 - Veículos e Equipamentos'!U29+'04 - Veículos e Equipamentos'!U31)*12</f>
        <v>120000</v>
      </c>
      <c r="W32" s="276">
        <f>'01 - Dados de Entrada'!$C$199*('04 - Veículos e Equipamentos'!V27+'04 - Veículos e Equipamentos'!V29+'04 - Veículos e Equipamentos'!V31)*12</f>
        <v>120000</v>
      </c>
      <c r="X32" s="276">
        <f>'01 - Dados de Entrada'!$C$199*('04 - Veículos e Equipamentos'!W27+'04 - Veículos e Equipamentos'!W29+'04 - Veículos e Equipamentos'!W31)*12</f>
        <v>120000</v>
      </c>
      <c r="Y32" s="276">
        <f>'01 - Dados de Entrada'!$C$199*('04 - Veículos e Equipamentos'!X27+'04 - Veículos e Equipamentos'!X29+'04 - Veículos e Equipamentos'!X31)*12</f>
        <v>120000</v>
      </c>
      <c r="Z32" s="276">
        <f>'01 - Dados de Entrada'!$C$199*('04 - Veículos e Equipamentos'!Y27+'04 - Veículos e Equipamentos'!Y29+'04 - Veículos e Equipamentos'!Y31)*12</f>
        <v>120000</v>
      </c>
      <c r="AA32" s="276">
        <f>'01 - Dados de Entrada'!$C$199*('04 - Veículos e Equipamentos'!Z27+'04 - Veículos e Equipamentos'!Z29+'04 - Veículos e Equipamentos'!Z31)*12</f>
        <v>120000</v>
      </c>
      <c r="AB32" s="276">
        <f>'01 - Dados de Entrada'!$C$199*('04 - Veículos e Equipamentos'!AA27+'04 - Veículos e Equipamentos'!AA29+'04 - Veículos e Equipamentos'!AA31)*12</f>
        <v>120000</v>
      </c>
      <c r="AC32" s="276">
        <f>'01 - Dados de Entrada'!$C$199*('04 - Veículos e Equipamentos'!AB27+'04 - Veículos e Equipamentos'!AB29+'04 - Veículos e Equipamentos'!AB31)*12</f>
        <v>120000</v>
      </c>
      <c r="AD32" s="276">
        <f>'01 - Dados de Entrada'!$C$199*('04 - Veículos e Equipamentos'!AC27+'04 - Veículos e Equipamentos'!AC29+'04 - Veículos e Equipamentos'!AC31)*12</f>
        <v>120000</v>
      </c>
      <c r="AE32" s="276">
        <f>'01 - Dados de Entrada'!$C$199*('04 - Veículos e Equipamentos'!AD27+'04 - Veículos e Equipamentos'!AD29+'04 - Veículos e Equipamentos'!AD31)*12</f>
        <v>120000</v>
      </c>
      <c r="AF32" s="276">
        <f>'01 - Dados de Entrada'!$C$199*('04 - Veículos e Equipamentos'!AE27+'04 - Veículos e Equipamentos'!AE29+'04 - Veículos e Equipamentos'!AE31)*12</f>
        <v>120000</v>
      </c>
      <c r="AG32" s="276">
        <f>'01 - Dados de Entrada'!$C$199*('04 - Veículos e Equipamentos'!AF27+'04 - Veículos e Equipamentos'!AF29+'04 - Veículos e Equipamentos'!AF31)*12</f>
        <v>120000</v>
      </c>
      <c r="AH32" s="276">
        <f>'01 - Dados de Entrada'!$C$199*('04 - Veículos e Equipamentos'!AG27+'04 - Veículos e Equipamentos'!AG29+'04 - Veículos e Equipamentos'!AG31)*12</f>
        <v>120000</v>
      </c>
      <c r="AI32" s="276">
        <f>'01 - Dados de Entrada'!$C$199*('04 - Veículos e Equipamentos'!AH27+'04 - Veículos e Equipamentos'!AH29+'04 - Veículos e Equipamentos'!AH31)*12</f>
        <v>120000</v>
      </c>
      <c r="AJ32" s="276">
        <f>'01 - Dados de Entrada'!$C$199*('04 - Veículos e Equipamentos'!AI27+'04 - Veículos e Equipamentos'!AI29+'04 - Veículos e Equipamentos'!AI31)*12</f>
        <v>120000</v>
      </c>
      <c r="AK32" s="276">
        <f>'01 - Dados de Entrada'!$C$199*('04 - Veículos e Equipamentos'!AJ27+'04 - Veículos e Equipamentos'!AJ29+'04 - Veículos e Equipamentos'!AJ31)*12</f>
        <v>120000</v>
      </c>
    </row>
    <row r="33" spans="1:37" s="152" customFormat="1" ht="13.15" customHeight="1" x14ac:dyDescent="0.2">
      <c r="A33" s="147" t="s">
        <v>984</v>
      </c>
      <c r="B33" s="275">
        <f t="shared" si="0"/>
        <v>140</v>
      </c>
      <c r="C33" s="278">
        <f>C32/'01 - Dados de Entrada'!$C$259</f>
        <v>4</v>
      </c>
      <c r="D33" s="278">
        <f>D32/'01 - Dados de Entrada'!$C$259</f>
        <v>4</v>
      </c>
      <c r="E33" s="278">
        <f>E32/'01 - Dados de Entrada'!$C$259</f>
        <v>4</v>
      </c>
      <c r="F33" s="278">
        <f>F32/'01 - Dados de Entrada'!$C$259</f>
        <v>4</v>
      </c>
      <c r="G33" s="278">
        <f>G32/'01 - Dados de Entrada'!$C$259</f>
        <v>4</v>
      </c>
      <c r="H33" s="278">
        <f>H32/'01 - Dados de Entrada'!$C$259</f>
        <v>4</v>
      </c>
      <c r="I33" s="278">
        <f>I32/'01 - Dados de Entrada'!$C$259</f>
        <v>4</v>
      </c>
      <c r="J33" s="278">
        <f>J32/'01 - Dados de Entrada'!$C$259</f>
        <v>4</v>
      </c>
      <c r="K33" s="278">
        <f>K32/'01 - Dados de Entrada'!$C$259</f>
        <v>4</v>
      </c>
      <c r="L33" s="278">
        <f>L32/'01 - Dados de Entrada'!$C$259</f>
        <v>4</v>
      </c>
      <c r="M33" s="278">
        <f>M32/'01 - Dados de Entrada'!$C$259</f>
        <v>4</v>
      </c>
      <c r="N33" s="278">
        <f>N32/'01 - Dados de Entrada'!$C$259</f>
        <v>4</v>
      </c>
      <c r="O33" s="278">
        <f>O32/'01 - Dados de Entrada'!$C$259</f>
        <v>4</v>
      </c>
      <c r="P33" s="278">
        <f>P32/'01 - Dados de Entrada'!$C$259</f>
        <v>4</v>
      </c>
      <c r="Q33" s="278">
        <f>Q32/'01 - Dados de Entrada'!$C$259</f>
        <v>4</v>
      </c>
      <c r="R33" s="278">
        <f>R32/'01 - Dados de Entrada'!$C$259</f>
        <v>4</v>
      </c>
      <c r="S33" s="278">
        <f>S32/'01 - Dados de Entrada'!$C$259</f>
        <v>4</v>
      </c>
      <c r="T33" s="278">
        <f>T32/'01 - Dados de Entrada'!$C$259</f>
        <v>4</v>
      </c>
      <c r="U33" s="278">
        <f>U32/'01 - Dados de Entrada'!$C$259</f>
        <v>4</v>
      </c>
      <c r="V33" s="278">
        <f>V32/'01 - Dados de Entrada'!$C$259</f>
        <v>4</v>
      </c>
      <c r="W33" s="278">
        <f>W32/'01 - Dados de Entrada'!$C$259</f>
        <v>4</v>
      </c>
      <c r="X33" s="278">
        <f>X32/'01 - Dados de Entrada'!$C$259</f>
        <v>4</v>
      </c>
      <c r="Y33" s="278">
        <f>Y32/'01 - Dados de Entrada'!$C$259</f>
        <v>4</v>
      </c>
      <c r="Z33" s="278">
        <f>Z32/'01 - Dados de Entrada'!$C$259</f>
        <v>4</v>
      </c>
      <c r="AA33" s="278">
        <f>AA32/'01 - Dados de Entrada'!$C$259</f>
        <v>4</v>
      </c>
      <c r="AB33" s="278">
        <f>AB32/'01 - Dados de Entrada'!$C$259</f>
        <v>4</v>
      </c>
      <c r="AC33" s="278">
        <f>AC32/'01 - Dados de Entrada'!$C$259</f>
        <v>4</v>
      </c>
      <c r="AD33" s="278">
        <f>AD32/'01 - Dados de Entrada'!$C$259</f>
        <v>4</v>
      </c>
      <c r="AE33" s="278">
        <f>AE32/'01 - Dados de Entrada'!$C$259</f>
        <v>4</v>
      </c>
      <c r="AF33" s="278">
        <f>AF32/'01 - Dados de Entrada'!$C$259</f>
        <v>4</v>
      </c>
      <c r="AG33" s="278">
        <f>AG32/'01 - Dados de Entrada'!$C$259</f>
        <v>4</v>
      </c>
      <c r="AH33" s="278">
        <f>AH32/'01 - Dados de Entrada'!$C$259</f>
        <v>4</v>
      </c>
      <c r="AI33" s="278">
        <f>AI32/'01 - Dados de Entrada'!$C$259</f>
        <v>4</v>
      </c>
      <c r="AJ33" s="278">
        <f>AJ32/'01 - Dados de Entrada'!$C$259</f>
        <v>4</v>
      </c>
      <c r="AK33" s="278">
        <f>AK32/'01 - Dados de Entrada'!$C$259</f>
        <v>4</v>
      </c>
    </row>
    <row r="34" spans="1:37" s="152" customFormat="1" ht="13.15" customHeight="1" x14ac:dyDescent="0.2">
      <c r="A34" s="147" t="s">
        <v>985</v>
      </c>
      <c r="B34" s="275">
        <f t="shared" si="0"/>
        <v>201543.99999999988</v>
      </c>
      <c r="C34" s="275">
        <f>C33*'01 - Dados de Entrada'!$C$285</f>
        <v>5758.4</v>
      </c>
      <c r="D34" s="275">
        <f>D33*'01 - Dados de Entrada'!$C$285</f>
        <v>5758.4</v>
      </c>
      <c r="E34" s="275">
        <f>E33*'01 - Dados de Entrada'!$C$285</f>
        <v>5758.4</v>
      </c>
      <c r="F34" s="275">
        <f>F33*'01 - Dados de Entrada'!$C$285</f>
        <v>5758.4</v>
      </c>
      <c r="G34" s="275">
        <f>G33*'01 - Dados de Entrada'!$C$285</f>
        <v>5758.4</v>
      </c>
      <c r="H34" s="275">
        <f>H33*'01 - Dados de Entrada'!$C$285</f>
        <v>5758.4</v>
      </c>
      <c r="I34" s="275">
        <f>I33*'01 - Dados de Entrada'!$C$285</f>
        <v>5758.4</v>
      </c>
      <c r="J34" s="275">
        <f>J33*'01 - Dados de Entrada'!$C$285</f>
        <v>5758.4</v>
      </c>
      <c r="K34" s="275">
        <f>K33*'01 - Dados de Entrada'!$C$285</f>
        <v>5758.4</v>
      </c>
      <c r="L34" s="275">
        <f>L33*'01 - Dados de Entrada'!$C$285</f>
        <v>5758.4</v>
      </c>
      <c r="M34" s="275">
        <f>M33*'01 - Dados de Entrada'!$C$285</f>
        <v>5758.4</v>
      </c>
      <c r="N34" s="275">
        <f>N33*'01 - Dados de Entrada'!$C$285</f>
        <v>5758.4</v>
      </c>
      <c r="O34" s="275">
        <f>O33*'01 - Dados de Entrada'!$C$285</f>
        <v>5758.4</v>
      </c>
      <c r="P34" s="275">
        <f>P33*'01 - Dados de Entrada'!$C$285</f>
        <v>5758.4</v>
      </c>
      <c r="Q34" s="275">
        <f>Q33*'01 - Dados de Entrada'!$C$285</f>
        <v>5758.4</v>
      </c>
      <c r="R34" s="275">
        <f>R33*'01 - Dados de Entrada'!$C$285</f>
        <v>5758.4</v>
      </c>
      <c r="S34" s="275">
        <f>S33*'01 - Dados de Entrada'!$C$285</f>
        <v>5758.4</v>
      </c>
      <c r="T34" s="275">
        <f>T33*'01 - Dados de Entrada'!$C$285</f>
        <v>5758.4</v>
      </c>
      <c r="U34" s="275">
        <f>U33*'01 - Dados de Entrada'!$C$285</f>
        <v>5758.4</v>
      </c>
      <c r="V34" s="275">
        <f>V33*'01 - Dados de Entrada'!$C$285</f>
        <v>5758.4</v>
      </c>
      <c r="W34" s="275">
        <f>W33*'01 - Dados de Entrada'!$C$285</f>
        <v>5758.4</v>
      </c>
      <c r="X34" s="275">
        <f>X33*'01 - Dados de Entrada'!$C$285</f>
        <v>5758.4</v>
      </c>
      <c r="Y34" s="275">
        <f>Y33*'01 - Dados de Entrada'!$C$285</f>
        <v>5758.4</v>
      </c>
      <c r="Z34" s="275">
        <f>Z33*'01 - Dados de Entrada'!$C$285</f>
        <v>5758.4</v>
      </c>
      <c r="AA34" s="275">
        <f>AA33*'01 - Dados de Entrada'!$C$285</f>
        <v>5758.4</v>
      </c>
      <c r="AB34" s="275">
        <f>AB33*'01 - Dados de Entrada'!$C$285</f>
        <v>5758.4</v>
      </c>
      <c r="AC34" s="275">
        <f>AC33*'01 - Dados de Entrada'!$C$285</f>
        <v>5758.4</v>
      </c>
      <c r="AD34" s="275">
        <f>AD33*'01 - Dados de Entrada'!$C$285</f>
        <v>5758.4</v>
      </c>
      <c r="AE34" s="275">
        <f>AE33*'01 - Dados de Entrada'!$C$285</f>
        <v>5758.4</v>
      </c>
      <c r="AF34" s="275">
        <f>AF33*'01 - Dados de Entrada'!$C$285</f>
        <v>5758.4</v>
      </c>
      <c r="AG34" s="275">
        <f>AG33*'01 - Dados de Entrada'!$C$285</f>
        <v>5758.4</v>
      </c>
      <c r="AH34" s="275">
        <f>AH33*'01 - Dados de Entrada'!$C$285</f>
        <v>5758.4</v>
      </c>
      <c r="AI34" s="275">
        <f>AI33*'01 - Dados de Entrada'!$C$285</f>
        <v>5758.4</v>
      </c>
      <c r="AJ34" s="275">
        <f>AJ33*'01 - Dados de Entrada'!$C$285</f>
        <v>5758.4</v>
      </c>
      <c r="AK34" s="275">
        <f>AK33*'01 - Dados de Entrada'!$C$285</f>
        <v>5758.4</v>
      </c>
    </row>
    <row r="35" spans="1:37" s="152" customFormat="1" ht="13.15" customHeight="1" x14ac:dyDescent="0.2">
      <c r="A35" s="271" t="s">
        <v>943</v>
      </c>
      <c r="B35" s="275">
        <f t="shared" si="0"/>
        <v>0</v>
      </c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275"/>
      <c r="AE35" s="275"/>
      <c r="AF35" s="275"/>
      <c r="AG35" s="275"/>
      <c r="AH35" s="275"/>
      <c r="AI35" s="275"/>
      <c r="AJ35" s="275"/>
      <c r="AK35" s="275"/>
    </row>
    <row r="36" spans="1:37" s="152" customFormat="1" ht="13.15" customHeight="1" x14ac:dyDescent="0.2">
      <c r="A36" s="147" t="s">
        <v>956</v>
      </c>
      <c r="B36" s="275">
        <f t="shared" si="0"/>
        <v>1260000</v>
      </c>
      <c r="C36" s="276">
        <f>'01 - Dados de Entrada'!$C$201*('04 - Veículos e Equipamentos'!B16+'04 - Veículos e Equipamentos'!B23)*12</f>
        <v>25200</v>
      </c>
      <c r="D36" s="276">
        <f>'01 - Dados de Entrada'!$C$201*('04 - Veículos e Equipamentos'!C16+'04 - Veículos e Equipamentos'!C23)*12</f>
        <v>25200</v>
      </c>
      <c r="E36" s="276">
        <f>'01 - Dados de Entrada'!$C$201*('04 - Veículos e Equipamentos'!D16+'04 - Veículos e Equipamentos'!D23)*12</f>
        <v>25200</v>
      </c>
      <c r="F36" s="276">
        <f>'01 - Dados de Entrada'!$C$201*('04 - Veículos e Equipamentos'!E16+'04 - Veículos e Equipamentos'!E23)*12</f>
        <v>25200</v>
      </c>
      <c r="G36" s="276">
        <f>'01 - Dados de Entrada'!$C$201*('04 - Veículos e Equipamentos'!F16+'04 - Veículos e Equipamentos'!F23)*12</f>
        <v>25200</v>
      </c>
      <c r="H36" s="276">
        <f>'01 - Dados de Entrada'!$C$201*('04 - Veículos e Equipamentos'!G16+'04 - Veículos e Equipamentos'!G23)*12</f>
        <v>37800</v>
      </c>
      <c r="I36" s="276">
        <f>'01 - Dados de Entrada'!$C$201*('04 - Veículos e Equipamentos'!H16+'04 - Veículos e Equipamentos'!H23)*12</f>
        <v>37800</v>
      </c>
      <c r="J36" s="276">
        <f>'01 - Dados de Entrada'!$C$201*('04 - Veículos e Equipamentos'!I16+'04 - Veículos e Equipamentos'!I23)*12</f>
        <v>37800</v>
      </c>
      <c r="K36" s="276">
        <f>'01 - Dados de Entrada'!$C$201*('04 - Veículos e Equipamentos'!J16+'04 - Veículos e Equipamentos'!J23)*12</f>
        <v>37800</v>
      </c>
      <c r="L36" s="276">
        <f>'01 - Dados de Entrada'!$C$201*('04 - Veículos e Equipamentos'!K16+'04 - Veículos e Equipamentos'!K23)*12</f>
        <v>37800</v>
      </c>
      <c r="M36" s="276">
        <f>'01 - Dados de Entrada'!$C$201*('04 - Veículos e Equipamentos'!L16+'04 - Veículos e Equipamentos'!L23)*12</f>
        <v>37800</v>
      </c>
      <c r="N36" s="276">
        <f>'01 - Dados de Entrada'!$C$201*('04 - Veículos e Equipamentos'!M16+'04 - Veículos e Equipamentos'!M23)*12</f>
        <v>37800</v>
      </c>
      <c r="O36" s="276">
        <f>'01 - Dados de Entrada'!$C$201*('04 - Veículos e Equipamentos'!N16+'04 - Veículos e Equipamentos'!N23)*12</f>
        <v>37800</v>
      </c>
      <c r="P36" s="276">
        <f>'01 - Dados de Entrada'!$C$201*('04 - Veículos e Equipamentos'!O16+'04 - Veículos e Equipamentos'!O23)*12</f>
        <v>37800</v>
      </c>
      <c r="Q36" s="276">
        <f>'01 - Dados de Entrada'!$C$201*('04 - Veículos e Equipamentos'!P16+'04 - Veículos e Equipamentos'!P23)*12</f>
        <v>37800</v>
      </c>
      <c r="R36" s="276">
        <f>'01 - Dados de Entrada'!$C$201*('04 - Veículos e Equipamentos'!Q16+'04 - Veículos e Equipamentos'!Q23)*12</f>
        <v>37800</v>
      </c>
      <c r="S36" s="276">
        <f>'01 - Dados de Entrada'!$C$201*('04 - Veículos e Equipamentos'!R16+'04 - Veículos e Equipamentos'!R23)*12</f>
        <v>37800</v>
      </c>
      <c r="T36" s="276">
        <f>'01 - Dados de Entrada'!$C$201*('04 - Veículos e Equipamentos'!S16+'04 - Veículos e Equipamentos'!S23)*12</f>
        <v>37800</v>
      </c>
      <c r="U36" s="276">
        <f>'01 - Dados de Entrada'!$C$201*('04 - Veículos e Equipamentos'!T16+'04 - Veículos e Equipamentos'!T23)*12</f>
        <v>37800</v>
      </c>
      <c r="V36" s="276">
        <f>'01 - Dados de Entrada'!$C$201*('04 - Veículos e Equipamentos'!U16+'04 - Veículos e Equipamentos'!U23)*12</f>
        <v>37800</v>
      </c>
      <c r="W36" s="276">
        <f>'01 - Dados de Entrada'!$C$201*('04 - Veículos e Equipamentos'!V16+'04 - Veículos e Equipamentos'!V23)*12</f>
        <v>37800</v>
      </c>
      <c r="X36" s="276">
        <f>'01 - Dados de Entrada'!$C$201*('04 - Veículos e Equipamentos'!W16+'04 - Veículos e Equipamentos'!W23)*12</f>
        <v>37800</v>
      </c>
      <c r="Y36" s="276">
        <f>'01 - Dados de Entrada'!$C$201*('04 - Veículos e Equipamentos'!X16+'04 - Veículos e Equipamentos'!X23)*12</f>
        <v>37800</v>
      </c>
      <c r="Z36" s="276">
        <f>'01 - Dados de Entrada'!$C$201*('04 - Veículos e Equipamentos'!Y16+'04 - Veículos e Equipamentos'!Y23)*12</f>
        <v>37800</v>
      </c>
      <c r="AA36" s="276">
        <f>'01 - Dados de Entrada'!$C$201*('04 - Veículos e Equipamentos'!Z16+'04 - Veículos e Equipamentos'!Z23)*12</f>
        <v>37800</v>
      </c>
      <c r="AB36" s="276">
        <f>'01 - Dados de Entrada'!$C$201*('04 - Veículos e Equipamentos'!AA16+'04 - Veículos e Equipamentos'!AA23)*12</f>
        <v>37800</v>
      </c>
      <c r="AC36" s="276">
        <f>'01 - Dados de Entrada'!$C$201*('04 - Veículos e Equipamentos'!AB16+'04 - Veículos e Equipamentos'!AB23)*12</f>
        <v>37800</v>
      </c>
      <c r="AD36" s="276">
        <f>'01 - Dados de Entrada'!$C$201*('04 - Veículos e Equipamentos'!AC16+'04 - Veículos e Equipamentos'!AC23)*12</f>
        <v>37800</v>
      </c>
      <c r="AE36" s="276">
        <f>'01 - Dados de Entrada'!$C$201*('04 - Veículos e Equipamentos'!AD16+'04 - Veículos e Equipamentos'!AD23)*12</f>
        <v>37800</v>
      </c>
      <c r="AF36" s="276">
        <f>'01 - Dados de Entrada'!$C$201*('04 - Veículos e Equipamentos'!AE16+'04 - Veículos e Equipamentos'!AE23)*12</f>
        <v>37800</v>
      </c>
      <c r="AG36" s="276">
        <f>'01 - Dados de Entrada'!$C$201*('04 - Veículos e Equipamentos'!AF16+'04 - Veículos e Equipamentos'!AF23)*12</f>
        <v>37800</v>
      </c>
      <c r="AH36" s="276">
        <f>'01 - Dados de Entrada'!$C$201*('04 - Veículos e Equipamentos'!AG16+'04 - Veículos e Equipamentos'!AG23)*12</f>
        <v>37800</v>
      </c>
      <c r="AI36" s="276">
        <f>'01 - Dados de Entrada'!$C$201*('04 - Veículos e Equipamentos'!AH16+'04 - Veículos e Equipamentos'!AH23)*12</f>
        <v>37800</v>
      </c>
      <c r="AJ36" s="276">
        <f>'01 - Dados de Entrada'!$C$201*('04 - Veículos e Equipamentos'!AI16+'04 - Veículos e Equipamentos'!AI23)*12</f>
        <v>37800</v>
      </c>
      <c r="AK36" s="276">
        <f>'01 - Dados de Entrada'!$C$201*('04 - Veículos e Equipamentos'!AJ16+'04 - Veículos e Equipamentos'!AJ23)*12</f>
        <v>37800</v>
      </c>
    </row>
    <row r="37" spans="1:37" s="152" customFormat="1" ht="13.15" customHeight="1" x14ac:dyDescent="0.2">
      <c r="A37" s="147" t="s">
        <v>984</v>
      </c>
      <c r="B37" s="275">
        <f>SUM(C37:AK37)</f>
        <v>84.000000000000014</v>
      </c>
      <c r="C37" s="278">
        <f>C36/'01 - Dados de Entrada'!$C$261</f>
        <v>1.68</v>
      </c>
      <c r="D37" s="278">
        <f>D36/'01 - Dados de Entrada'!$C$261</f>
        <v>1.68</v>
      </c>
      <c r="E37" s="278">
        <f>E36/'01 - Dados de Entrada'!$C$261</f>
        <v>1.68</v>
      </c>
      <c r="F37" s="278">
        <f>F36/'01 - Dados de Entrada'!$C$261</f>
        <v>1.68</v>
      </c>
      <c r="G37" s="278">
        <f>G36/'01 - Dados de Entrada'!$C$261</f>
        <v>1.68</v>
      </c>
      <c r="H37" s="278">
        <f>H36/'01 - Dados de Entrada'!$C$261</f>
        <v>2.52</v>
      </c>
      <c r="I37" s="278">
        <f>I36/'01 - Dados de Entrada'!$C$261</f>
        <v>2.52</v>
      </c>
      <c r="J37" s="278">
        <f>J36/'01 - Dados de Entrada'!$C$261</f>
        <v>2.52</v>
      </c>
      <c r="K37" s="278">
        <f>K36/'01 - Dados de Entrada'!$C$261</f>
        <v>2.52</v>
      </c>
      <c r="L37" s="278">
        <f>L36/'01 - Dados de Entrada'!$C$261</f>
        <v>2.52</v>
      </c>
      <c r="M37" s="278">
        <f>M36/'01 - Dados de Entrada'!$C$261</f>
        <v>2.52</v>
      </c>
      <c r="N37" s="278">
        <f>N36/'01 - Dados de Entrada'!$C$261</f>
        <v>2.52</v>
      </c>
      <c r="O37" s="278">
        <f>O36/'01 - Dados de Entrada'!$C$261</f>
        <v>2.52</v>
      </c>
      <c r="P37" s="278">
        <f>P36/'01 - Dados de Entrada'!$C$261</f>
        <v>2.52</v>
      </c>
      <c r="Q37" s="278">
        <f>Q36/'01 - Dados de Entrada'!$C$261</f>
        <v>2.52</v>
      </c>
      <c r="R37" s="278">
        <f>R36/'01 - Dados de Entrada'!$C$261</f>
        <v>2.52</v>
      </c>
      <c r="S37" s="278">
        <f>S36/'01 - Dados de Entrada'!$C$261</f>
        <v>2.52</v>
      </c>
      <c r="T37" s="278">
        <f>T36/'01 - Dados de Entrada'!$C$261</f>
        <v>2.52</v>
      </c>
      <c r="U37" s="278">
        <f>U36/'01 - Dados de Entrada'!$C$261</f>
        <v>2.52</v>
      </c>
      <c r="V37" s="278">
        <f>V36/'01 - Dados de Entrada'!$C$261</f>
        <v>2.52</v>
      </c>
      <c r="W37" s="278">
        <f>W36/'01 - Dados de Entrada'!$C$261</f>
        <v>2.52</v>
      </c>
      <c r="X37" s="278">
        <f>X36/'01 - Dados de Entrada'!$C$261</f>
        <v>2.52</v>
      </c>
      <c r="Y37" s="278">
        <f>Y36/'01 - Dados de Entrada'!$C$261</f>
        <v>2.52</v>
      </c>
      <c r="Z37" s="278">
        <f>Z36/'01 - Dados de Entrada'!$C$261</f>
        <v>2.52</v>
      </c>
      <c r="AA37" s="278">
        <f>AA36/'01 - Dados de Entrada'!$C$261</f>
        <v>2.52</v>
      </c>
      <c r="AB37" s="278">
        <f>AB36/'01 - Dados de Entrada'!$C$261</f>
        <v>2.52</v>
      </c>
      <c r="AC37" s="278">
        <f>AC36/'01 - Dados de Entrada'!$C$261</f>
        <v>2.52</v>
      </c>
      <c r="AD37" s="278">
        <f>AD36/'01 - Dados de Entrada'!$C$261</f>
        <v>2.52</v>
      </c>
      <c r="AE37" s="278">
        <f>AE36/'01 - Dados de Entrada'!$C$261</f>
        <v>2.52</v>
      </c>
      <c r="AF37" s="278">
        <f>AF36/'01 - Dados de Entrada'!$C$261</f>
        <v>2.52</v>
      </c>
      <c r="AG37" s="278">
        <f>AG36/'01 - Dados de Entrada'!$C$261</f>
        <v>2.52</v>
      </c>
      <c r="AH37" s="278">
        <f>AH36/'01 - Dados de Entrada'!$C$261</f>
        <v>2.52</v>
      </c>
      <c r="AI37" s="278">
        <f>AI36/'01 - Dados de Entrada'!$C$261</f>
        <v>2.52</v>
      </c>
      <c r="AJ37" s="278">
        <f>AJ36/'01 - Dados de Entrada'!$C$261</f>
        <v>2.52</v>
      </c>
      <c r="AK37" s="278">
        <f>AK36/'01 - Dados de Entrada'!$C$261</f>
        <v>2.52</v>
      </c>
    </row>
    <row r="38" spans="1:37" s="152" customFormat="1" ht="13.15" customHeight="1" x14ac:dyDescent="0.2">
      <c r="A38" s="147" t="s">
        <v>985</v>
      </c>
      <c r="B38" s="275">
        <f>SUM(C38:AK38)</f>
        <v>36211.922208000025</v>
      </c>
      <c r="C38" s="275">
        <f>C37*'01 - Dados de Entrada'!$C$287</f>
        <v>724.23844416000009</v>
      </c>
      <c r="D38" s="275">
        <f>D37*'01 - Dados de Entrada'!$C$287</f>
        <v>724.23844416000009</v>
      </c>
      <c r="E38" s="275">
        <f>E37*'01 - Dados de Entrada'!$C$287</f>
        <v>724.23844416000009</v>
      </c>
      <c r="F38" s="275">
        <f>F37*'01 - Dados de Entrada'!$C$287</f>
        <v>724.23844416000009</v>
      </c>
      <c r="G38" s="275">
        <f>G37*'01 - Dados de Entrada'!$C$287</f>
        <v>724.23844416000009</v>
      </c>
      <c r="H38" s="275">
        <f>H37*'01 - Dados de Entrada'!$C$287</f>
        <v>1086.3576662400001</v>
      </c>
      <c r="I38" s="275">
        <f>I37*'01 - Dados de Entrada'!$C$287</f>
        <v>1086.3576662400001</v>
      </c>
      <c r="J38" s="275">
        <f>J37*'01 - Dados de Entrada'!$C$287</f>
        <v>1086.3576662400001</v>
      </c>
      <c r="K38" s="275">
        <f>K37*'01 - Dados de Entrada'!$C$287</f>
        <v>1086.3576662400001</v>
      </c>
      <c r="L38" s="275">
        <f>L37*'01 - Dados de Entrada'!$C$287</f>
        <v>1086.3576662400001</v>
      </c>
      <c r="M38" s="275">
        <f>M37*'01 - Dados de Entrada'!$C$287</f>
        <v>1086.3576662400001</v>
      </c>
      <c r="N38" s="275">
        <f>N37*'01 - Dados de Entrada'!$C$287</f>
        <v>1086.3576662400001</v>
      </c>
      <c r="O38" s="275">
        <f>O37*'01 - Dados de Entrada'!$C$287</f>
        <v>1086.3576662400001</v>
      </c>
      <c r="P38" s="275">
        <f>P37*'01 - Dados de Entrada'!$C$287</f>
        <v>1086.3576662400001</v>
      </c>
      <c r="Q38" s="275">
        <f>Q37*'01 - Dados de Entrada'!$C$287</f>
        <v>1086.3576662400001</v>
      </c>
      <c r="R38" s="275">
        <f>R37*'01 - Dados de Entrada'!$C$287</f>
        <v>1086.3576662400001</v>
      </c>
      <c r="S38" s="275">
        <f>S37*'01 - Dados de Entrada'!$C$287</f>
        <v>1086.3576662400001</v>
      </c>
      <c r="T38" s="275">
        <f>T37*'01 - Dados de Entrada'!$C$287</f>
        <v>1086.3576662400001</v>
      </c>
      <c r="U38" s="275">
        <f>U37*'01 - Dados de Entrada'!$C$287</f>
        <v>1086.3576662400001</v>
      </c>
      <c r="V38" s="275">
        <f>V37*'01 - Dados de Entrada'!$C$287</f>
        <v>1086.3576662400001</v>
      </c>
      <c r="W38" s="275">
        <f>W37*'01 - Dados de Entrada'!$C$287</f>
        <v>1086.3576662400001</v>
      </c>
      <c r="X38" s="275">
        <f>X37*'01 - Dados de Entrada'!$C$287</f>
        <v>1086.3576662400001</v>
      </c>
      <c r="Y38" s="275">
        <f>Y37*'01 - Dados de Entrada'!$C$287</f>
        <v>1086.3576662400001</v>
      </c>
      <c r="Z38" s="275">
        <f>Z37*'01 - Dados de Entrada'!$C$287</f>
        <v>1086.3576662400001</v>
      </c>
      <c r="AA38" s="275">
        <f>AA37*'01 - Dados de Entrada'!$C$287</f>
        <v>1086.3576662400001</v>
      </c>
      <c r="AB38" s="275">
        <f>AB37*'01 - Dados de Entrada'!$C$287</f>
        <v>1086.3576662400001</v>
      </c>
      <c r="AC38" s="275">
        <f>AC37*'01 - Dados de Entrada'!$C$287</f>
        <v>1086.3576662400001</v>
      </c>
      <c r="AD38" s="275">
        <f>AD37*'01 - Dados de Entrada'!$C$287</f>
        <v>1086.3576662400001</v>
      </c>
      <c r="AE38" s="275">
        <f>AE37*'01 - Dados de Entrada'!$C$287</f>
        <v>1086.3576662400001</v>
      </c>
      <c r="AF38" s="275">
        <f>AF37*'01 - Dados de Entrada'!$C$287</f>
        <v>1086.3576662400001</v>
      </c>
      <c r="AG38" s="275">
        <f>AG37*'01 - Dados de Entrada'!$C$287</f>
        <v>1086.3576662400001</v>
      </c>
      <c r="AH38" s="275">
        <f>AH37*'01 - Dados de Entrada'!$C$287</f>
        <v>1086.3576662400001</v>
      </c>
      <c r="AI38" s="275">
        <f>AI37*'01 - Dados de Entrada'!$C$287</f>
        <v>1086.3576662400001</v>
      </c>
      <c r="AJ38" s="275">
        <f>AJ37*'01 - Dados de Entrada'!$C$287</f>
        <v>1086.3576662400001</v>
      </c>
      <c r="AK38" s="275">
        <f>AK37*'01 - Dados de Entrada'!$C$287</f>
        <v>1086.3576662400001</v>
      </c>
    </row>
    <row r="39" spans="1:37" s="152" customFormat="1" ht="13.15" customHeight="1" x14ac:dyDescent="0.2">
      <c r="A39" s="271" t="s">
        <v>944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275"/>
      <c r="AE39" s="275"/>
      <c r="AF39" s="275"/>
      <c r="AG39" s="275"/>
      <c r="AH39" s="275"/>
      <c r="AI39" s="275"/>
      <c r="AJ39" s="275"/>
      <c r="AK39" s="275"/>
    </row>
    <row r="40" spans="1:37" s="152" customFormat="1" ht="13.15" customHeight="1" x14ac:dyDescent="0.2">
      <c r="A40" s="147" t="s">
        <v>956</v>
      </c>
      <c r="B40" s="275">
        <f t="shared" ref="B40:B66" si="2">SUM(C40:AK40)</f>
        <v>3931200</v>
      </c>
      <c r="C40" s="276">
        <f>'01 - Dados de Entrada'!$C$198*('04 - Veículos e Equipamentos'!B41)*12</f>
        <v>112320</v>
      </c>
      <c r="D40" s="276">
        <f>'01 - Dados de Entrada'!$C$198*('04 - Veículos e Equipamentos'!C41)*12</f>
        <v>112320</v>
      </c>
      <c r="E40" s="276">
        <f>'01 - Dados de Entrada'!$C$198*('04 - Veículos e Equipamentos'!D41)*12</f>
        <v>112320</v>
      </c>
      <c r="F40" s="276">
        <f>'01 - Dados de Entrada'!$C$198*('04 - Veículos e Equipamentos'!E41)*12</f>
        <v>112320</v>
      </c>
      <c r="G40" s="276">
        <f>'01 - Dados de Entrada'!$C$198*('04 - Veículos e Equipamentos'!F41)*12</f>
        <v>112320</v>
      </c>
      <c r="H40" s="276">
        <f>'01 - Dados de Entrada'!$C$198*('04 - Veículos e Equipamentos'!G41)*12</f>
        <v>112320</v>
      </c>
      <c r="I40" s="276">
        <f>'01 - Dados de Entrada'!$C$198*('04 - Veículos e Equipamentos'!H41)*12</f>
        <v>112320</v>
      </c>
      <c r="J40" s="276">
        <f>'01 - Dados de Entrada'!$C$198*('04 - Veículos e Equipamentos'!I41)*12</f>
        <v>112320</v>
      </c>
      <c r="K40" s="276">
        <f>'01 - Dados de Entrada'!$C$198*('04 - Veículos e Equipamentos'!J41)*12</f>
        <v>112320</v>
      </c>
      <c r="L40" s="276">
        <f>'01 - Dados de Entrada'!$C$198*('04 - Veículos e Equipamentos'!K41)*12</f>
        <v>112320</v>
      </c>
      <c r="M40" s="276">
        <f>'01 - Dados de Entrada'!$C$198*('04 - Veículos e Equipamentos'!L41)*12</f>
        <v>112320</v>
      </c>
      <c r="N40" s="276">
        <f>'01 - Dados de Entrada'!$C$198*('04 - Veículos e Equipamentos'!M41)*12</f>
        <v>112320</v>
      </c>
      <c r="O40" s="276">
        <f>'01 - Dados de Entrada'!$C$198*('04 - Veículos e Equipamentos'!N41)*12</f>
        <v>112320</v>
      </c>
      <c r="P40" s="276">
        <f>'01 - Dados de Entrada'!$C$198*('04 - Veículos e Equipamentos'!O41)*12</f>
        <v>112320</v>
      </c>
      <c r="Q40" s="276">
        <f>'01 - Dados de Entrada'!$C$198*('04 - Veículos e Equipamentos'!P41)*12</f>
        <v>112320</v>
      </c>
      <c r="R40" s="276">
        <f>'01 - Dados de Entrada'!$C$198*('04 - Veículos e Equipamentos'!Q41)*12</f>
        <v>112320</v>
      </c>
      <c r="S40" s="276">
        <f>'01 - Dados de Entrada'!$C$198*('04 - Veículos e Equipamentos'!R41)*12</f>
        <v>112320</v>
      </c>
      <c r="T40" s="276">
        <f>'01 - Dados de Entrada'!$C$198*('04 - Veículos e Equipamentos'!S41)*12</f>
        <v>112320</v>
      </c>
      <c r="U40" s="276">
        <f>'01 - Dados de Entrada'!$C$198*('04 - Veículos e Equipamentos'!T41)*12</f>
        <v>112320</v>
      </c>
      <c r="V40" s="276">
        <f>'01 - Dados de Entrada'!$C$198*('04 - Veículos e Equipamentos'!U41)*12</f>
        <v>112320</v>
      </c>
      <c r="W40" s="276">
        <f>'01 - Dados de Entrada'!$C$198*('04 - Veículos e Equipamentos'!V41)*12</f>
        <v>112320</v>
      </c>
      <c r="X40" s="276">
        <f>'01 - Dados de Entrada'!$C$198*('04 - Veículos e Equipamentos'!W41)*12</f>
        <v>112320</v>
      </c>
      <c r="Y40" s="276">
        <f>'01 - Dados de Entrada'!$C$198*('04 - Veículos e Equipamentos'!X41)*12</f>
        <v>112320</v>
      </c>
      <c r="Z40" s="276">
        <f>'01 - Dados de Entrada'!$C$198*('04 - Veículos e Equipamentos'!Y41)*12</f>
        <v>112320</v>
      </c>
      <c r="AA40" s="276">
        <f>'01 - Dados de Entrada'!$C$198*('04 - Veículos e Equipamentos'!Z41)*12</f>
        <v>112320</v>
      </c>
      <c r="AB40" s="276">
        <f>'01 - Dados de Entrada'!$C$198*('04 - Veículos e Equipamentos'!AA41)*12</f>
        <v>112320</v>
      </c>
      <c r="AC40" s="276">
        <f>'01 - Dados de Entrada'!$C$198*('04 - Veículos e Equipamentos'!AB41)*12</f>
        <v>112320</v>
      </c>
      <c r="AD40" s="276">
        <f>'01 - Dados de Entrada'!$C$198*('04 - Veículos e Equipamentos'!AC41)*12</f>
        <v>112320</v>
      </c>
      <c r="AE40" s="276">
        <f>'01 - Dados de Entrada'!$C$198*('04 - Veículos e Equipamentos'!AD41)*12</f>
        <v>112320</v>
      </c>
      <c r="AF40" s="276">
        <f>'01 - Dados de Entrada'!$C$198*('04 - Veículos e Equipamentos'!AE41)*12</f>
        <v>112320</v>
      </c>
      <c r="AG40" s="276">
        <f>'01 - Dados de Entrada'!$C$198*('04 - Veículos e Equipamentos'!AF41)*12</f>
        <v>112320</v>
      </c>
      <c r="AH40" s="276">
        <f>'01 - Dados de Entrada'!$C$198*('04 - Veículos e Equipamentos'!AG41)*12</f>
        <v>112320</v>
      </c>
      <c r="AI40" s="276">
        <f>'01 - Dados de Entrada'!$C$198*('04 - Veículos e Equipamentos'!AH41)*12</f>
        <v>112320</v>
      </c>
      <c r="AJ40" s="276">
        <f>'01 - Dados de Entrada'!$C$198*('04 - Veículos e Equipamentos'!AI41)*12</f>
        <v>112320</v>
      </c>
      <c r="AK40" s="276">
        <f>'01 - Dados de Entrada'!$C$198*('04 - Veículos e Equipamentos'!AJ41)*12</f>
        <v>112320</v>
      </c>
    </row>
    <row r="41" spans="1:37" s="152" customFormat="1" ht="13.15" customHeight="1" x14ac:dyDescent="0.2">
      <c r="A41" s="147" t="s">
        <v>984</v>
      </c>
      <c r="B41" s="275">
        <f t="shared" si="2"/>
        <v>78.623999999999981</v>
      </c>
      <c r="C41" s="278">
        <f>C40/'01 - Dados de Entrada'!$C$256</f>
        <v>2.2464</v>
      </c>
      <c r="D41" s="278">
        <f>D40/'01 - Dados de Entrada'!$C$256</f>
        <v>2.2464</v>
      </c>
      <c r="E41" s="278">
        <f>E40/'01 - Dados de Entrada'!$C$256</f>
        <v>2.2464</v>
      </c>
      <c r="F41" s="278">
        <f>F40/'01 - Dados de Entrada'!$C$256</f>
        <v>2.2464</v>
      </c>
      <c r="G41" s="278">
        <f>G40/'01 - Dados de Entrada'!$C$256</f>
        <v>2.2464</v>
      </c>
      <c r="H41" s="278">
        <f>H40/'01 - Dados de Entrada'!$C$256</f>
        <v>2.2464</v>
      </c>
      <c r="I41" s="278">
        <f>I40/'01 - Dados de Entrada'!$C$256</f>
        <v>2.2464</v>
      </c>
      <c r="J41" s="278">
        <f>J40/'01 - Dados de Entrada'!$C$256</f>
        <v>2.2464</v>
      </c>
      <c r="K41" s="278">
        <f>K40/'01 - Dados de Entrada'!$C$256</f>
        <v>2.2464</v>
      </c>
      <c r="L41" s="278">
        <f>L40/'01 - Dados de Entrada'!$C$256</f>
        <v>2.2464</v>
      </c>
      <c r="M41" s="278">
        <f>M40/'01 - Dados de Entrada'!$C$256</f>
        <v>2.2464</v>
      </c>
      <c r="N41" s="278">
        <f>N40/'01 - Dados de Entrada'!$C$256</f>
        <v>2.2464</v>
      </c>
      <c r="O41" s="278">
        <f>O40/'01 - Dados de Entrada'!$C$256</f>
        <v>2.2464</v>
      </c>
      <c r="P41" s="278">
        <f>P40/'01 - Dados de Entrada'!$C$256</f>
        <v>2.2464</v>
      </c>
      <c r="Q41" s="278">
        <f>Q40/'01 - Dados de Entrada'!$C$256</f>
        <v>2.2464</v>
      </c>
      <c r="R41" s="278">
        <f>R40/'01 - Dados de Entrada'!$C$256</f>
        <v>2.2464</v>
      </c>
      <c r="S41" s="278">
        <f>S40/'01 - Dados de Entrada'!$C$256</f>
        <v>2.2464</v>
      </c>
      <c r="T41" s="278">
        <f>T40/'01 - Dados de Entrada'!$C$256</f>
        <v>2.2464</v>
      </c>
      <c r="U41" s="278">
        <f>U40/'01 - Dados de Entrada'!$C$256</f>
        <v>2.2464</v>
      </c>
      <c r="V41" s="278">
        <f>V40/'01 - Dados de Entrada'!$C$256</f>
        <v>2.2464</v>
      </c>
      <c r="W41" s="278">
        <f>W40/'01 - Dados de Entrada'!$C$256</f>
        <v>2.2464</v>
      </c>
      <c r="X41" s="278">
        <f>X40/'01 - Dados de Entrada'!$C$256</f>
        <v>2.2464</v>
      </c>
      <c r="Y41" s="278">
        <f>Y40/'01 - Dados de Entrada'!$C$256</f>
        <v>2.2464</v>
      </c>
      <c r="Z41" s="278">
        <f>Z40/'01 - Dados de Entrada'!$C$256</f>
        <v>2.2464</v>
      </c>
      <c r="AA41" s="278">
        <f>AA40/'01 - Dados de Entrada'!$C$256</f>
        <v>2.2464</v>
      </c>
      <c r="AB41" s="278">
        <f>AB40/'01 - Dados de Entrada'!$C$256</f>
        <v>2.2464</v>
      </c>
      <c r="AC41" s="278">
        <f>AC40/'01 - Dados de Entrada'!$C$256</f>
        <v>2.2464</v>
      </c>
      <c r="AD41" s="278">
        <f>AD40/'01 - Dados de Entrada'!$C$256</f>
        <v>2.2464</v>
      </c>
      <c r="AE41" s="278">
        <f>AE40/'01 - Dados de Entrada'!$C$256</f>
        <v>2.2464</v>
      </c>
      <c r="AF41" s="278">
        <f>AF40/'01 - Dados de Entrada'!$C$256</f>
        <v>2.2464</v>
      </c>
      <c r="AG41" s="278">
        <f>AG40/'01 - Dados de Entrada'!$C$256</f>
        <v>2.2464</v>
      </c>
      <c r="AH41" s="278">
        <f>AH40/'01 - Dados de Entrada'!$C$256</f>
        <v>2.2464</v>
      </c>
      <c r="AI41" s="278">
        <f>AI40/'01 - Dados de Entrada'!$C$256</f>
        <v>2.2464</v>
      </c>
      <c r="AJ41" s="278">
        <f>AJ40/'01 - Dados de Entrada'!$C$256</f>
        <v>2.2464</v>
      </c>
      <c r="AK41" s="278">
        <f>AK40/'01 - Dados de Entrada'!$C$256</f>
        <v>2.2464</v>
      </c>
    </row>
    <row r="42" spans="1:37" s="152" customFormat="1" ht="13.15" customHeight="1" x14ac:dyDescent="0.2">
      <c r="A42" s="147" t="s">
        <v>985</v>
      </c>
      <c r="B42" s="275">
        <f t="shared" si="2"/>
        <v>2307793.7811312033</v>
      </c>
      <c r="C42" s="275">
        <f>C41*'01 - Dados de Entrada'!$C$280</f>
        <v>65936.965175177233</v>
      </c>
      <c r="D42" s="275">
        <f>D41*'01 - Dados de Entrada'!$C$280</f>
        <v>65936.965175177233</v>
      </c>
      <c r="E42" s="275">
        <f>E41*'01 - Dados de Entrada'!$C$280</f>
        <v>65936.965175177233</v>
      </c>
      <c r="F42" s="275">
        <f>F41*'01 - Dados de Entrada'!$C$280</f>
        <v>65936.965175177233</v>
      </c>
      <c r="G42" s="275">
        <f>G41*'01 - Dados de Entrada'!$C$280</f>
        <v>65936.965175177233</v>
      </c>
      <c r="H42" s="275">
        <f>H41*'01 - Dados de Entrada'!$C$280</f>
        <v>65936.965175177233</v>
      </c>
      <c r="I42" s="275">
        <f>I41*'01 - Dados de Entrada'!$C$280</f>
        <v>65936.965175177233</v>
      </c>
      <c r="J42" s="275">
        <f>J41*'01 - Dados de Entrada'!$C$280</f>
        <v>65936.965175177233</v>
      </c>
      <c r="K42" s="275">
        <f>K41*'01 - Dados de Entrada'!$C$280</f>
        <v>65936.965175177233</v>
      </c>
      <c r="L42" s="275">
        <f>L41*'01 - Dados de Entrada'!$C$280</f>
        <v>65936.965175177233</v>
      </c>
      <c r="M42" s="275">
        <f>M41*'01 - Dados de Entrada'!$C$280</f>
        <v>65936.965175177233</v>
      </c>
      <c r="N42" s="275">
        <f>N41*'01 - Dados de Entrada'!$C$280</f>
        <v>65936.965175177233</v>
      </c>
      <c r="O42" s="275">
        <f>O41*'01 - Dados de Entrada'!$C$280</f>
        <v>65936.965175177233</v>
      </c>
      <c r="P42" s="275">
        <f>P41*'01 - Dados de Entrada'!$C$280</f>
        <v>65936.965175177233</v>
      </c>
      <c r="Q42" s="275">
        <f>Q41*'01 - Dados de Entrada'!$C$280</f>
        <v>65936.965175177233</v>
      </c>
      <c r="R42" s="275">
        <f>R41*'01 - Dados de Entrada'!$C$280</f>
        <v>65936.965175177233</v>
      </c>
      <c r="S42" s="275">
        <f>S41*'01 - Dados de Entrada'!$C$280</f>
        <v>65936.965175177233</v>
      </c>
      <c r="T42" s="275">
        <f>T41*'01 - Dados de Entrada'!$C$280</f>
        <v>65936.965175177233</v>
      </c>
      <c r="U42" s="275">
        <f>U41*'01 - Dados de Entrada'!$C$280</f>
        <v>65936.965175177233</v>
      </c>
      <c r="V42" s="275">
        <f>V41*'01 - Dados de Entrada'!$C$280</f>
        <v>65936.965175177233</v>
      </c>
      <c r="W42" s="275">
        <f>W41*'01 - Dados de Entrada'!$C$280</f>
        <v>65936.965175177233</v>
      </c>
      <c r="X42" s="275">
        <f>X41*'01 - Dados de Entrada'!$C$280</f>
        <v>65936.965175177233</v>
      </c>
      <c r="Y42" s="275">
        <f>Y41*'01 - Dados de Entrada'!$C$280</f>
        <v>65936.965175177233</v>
      </c>
      <c r="Z42" s="275">
        <f>Z41*'01 - Dados de Entrada'!$C$280</f>
        <v>65936.965175177233</v>
      </c>
      <c r="AA42" s="275">
        <f>AA41*'01 - Dados de Entrada'!$C$280</f>
        <v>65936.965175177233</v>
      </c>
      <c r="AB42" s="275">
        <f>AB41*'01 - Dados de Entrada'!$C$280</f>
        <v>65936.965175177233</v>
      </c>
      <c r="AC42" s="275">
        <f>AC41*'01 - Dados de Entrada'!$C$280</f>
        <v>65936.965175177233</v>
      </c>
      <c r="AD42" s="275">
        <f>AD41*'01 - Dados de Entrada'!$C$280</f>
        <v>65936.965175177233</v>
      </c>
      <c r="AE42" s="275">
        <f>AE41*'01 - Dados de Entrada'!$C$280</f>
        <v>65936.965175177233</v>
      </c>
      <c r="AF42" s="275">
        <f>AF41*'01 - Dados de Entrada'!$C$280</f>
        <v>65936.965175177233</v>
      </c>
      <c r="AG42" s="275">
        <f>AG41*'01 - Dados de Entrada'!$C$280</f>
        <v>65936.965175177233</v>
      </c>
      <c r="AH42" s="275">
        <f>AH41*'01 - Dados de Entrada'!$C$280</f>
        <v>65936.965175177233</v>
      </c>
      <c r="AI42" s="275">
        <f>AI41*'01 - Dados de Entrada'!$C$280</f>
        <v>65936.965175177233</v>
      </c>
      <c r="AJ42" s="275">
        <f>AJ41*'01 - Dados de Entrada'!$C$280</f>
        <v>65936.965175177233</v>
      </c>
      <c r="AK42" s="275">
        <f>AK41*'01 - Dados de Entrada'!$C$280</f>
        <v>65936.965175177233</v>
      </c>
    </row>
    <row r="43" spans="1:37" s="152" customFormat="1" ht="13.15" customHeight="1" x14ac:dyDescent="0.2">
      <c r="A43" s="271" t="s">
        <v>945</v>
      </c>
      <c r="B43" s="275">
        <f t="shared" si="2"/>
        <v>0</v>
      </c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</row>
    <row r="44" spans="1:37" s="152" customFormat="1" ht="13.15" customHeight="1" x14ac:dyDescent="0.2">
      <c r="A44" s="147" t="s">
        <v>956</v>
      </c>
      <c r="B44" s="275">
        <f t="shared" si="2"/>
        <v>1680000</v>
      </c>
      <c r="C44" s="276">
        <f>12*'04 - Veículos e Equipamentos'!B44*'01 - Dados de Entrada'!$C$202</f>
        <v>48000</v>
      </c>
      <c r="D44" s="276">
        <f>12*'04 - Veículos e Equipamentos'!C44*'01 - Dados de Entrada'!$C$202</f>
        <v>48000</v>
      </c>
      <c r="E44" s="276">
        <f>12*'04 - Veículos e Equipamentos'!D44*'01 - Dados de Entrada'!$C$202</f>
        <v>48000</v>
      </c>
      <c r="F44" s="276">
        <f>12*'04 - Veículos e Equipamentos'!E44*'01 - Dados de Entrada'!$C$202</f>
        <v>48000</v>
      </c>
      <c r="G44" s="276">
        <f>12*'04 - Veículos e Equipamentos'!F44*'01 - Dados de Entrada'!$C$202</f>
        <v>48000</v>
      </c>
      <c r="H44" s="276">
        <f>12*'04 - Veículos e Equipamentos'!G44*'01 - Dados de Entrada'!$C$202</f>
        <v>48000</v>
      </c>
      <c r="I44" s="276">
        <f>12*'04 - Veículos e Equipamentos'!H44*'01 - Dados de Entrada'!$C$202</f>
        <v>48000</v>
      </c>
      <c r="J44" s="276">
        <f>12*'04 - Veículos e Equipamentos'!I44*'01 - Dados de Entrada'!$C$202</f>
        <v>48000</v>
      </c>
      <c r="K44" s="276">
        <f>12*'04 - Veículos e Equipamentos'!J44*'01 - Dados de Entrada'!$C$202</f>
        <v>48000</v>
      </c>
      <c r="L44" s="276">
        <f>12*'04 - Veículos e Equipamentos'!K44*'01 - Dados de Entrada'!$C$202</f>
        <v>48000</v>
      </c>
      <c r="M44" s="276">
        <f>12*'04 - Veículos e Equipamentos'!L44*'01 - Dados de Entrada'!$C$202</f>
        <v>48000</v>
      </c>
      <c r="N44" s="276">
        <f>12*'04 - Veículos e Equipamentos'!M44*'01 - Dados de Entrada'!$C$202</f>
        <v>48000</v>
      </c>
      <c r="O44" s="276">
        <f>12*'04 - Veículos e Equipamentos'!N44*'01 - Dados de Entrada'!$C$202</f>
        <v>48000</v>
      </c>
      <c r="P44" s="276">
        <f>12*'04 - Veículos e Equipamentos'!O44*'01 - Dados de Entrada'!$C$202</f>
        <v>48000</v>
      </c>
      <c r="Q44" s="276">
        <f>12*'04 - Veículos e Equipamentos'!P44*'01 - Dados de Entrada'!$C$202</f>
        <v>48000</v>
      </c>
      <c r="R44" s="276">
        <f>12*'04 - Veículos e Equipamentos'!Q44*'01 - Dados de Entrada'!$C$202</f>
        <v>48000</v>
      </c>
      <c r="S44" s="276">
        <f>12*'04 - Veículos e Equipamentos'!R44*'01 - Dados de Entrada'!$C$202</f>
        <v>48000</v>
      </c>
      <c r="T44" s="276">
        <f>12*'04 - Veículos e Equipamentos'!S44*'01 - Dados de Entrada'!$C$202</f>
        <v>48000</v>
      </c>
      <c r="U44" s="276">
        <f>12*'04 - Veículos e Equipamentos'!T44*'01 - Dados de Entrada'!$C$202</f>
        <v>48000</v>
      </c>
      <c r="V44" s="276">
        <f>12*'04 - Veículos e Equipamentos'!U44*'01 - Dados de Entrada'!$C$202</f>
        <v>48000</v>
      </c>
      <c r="W44" s="276">
        <f>12*'04 - Veículos e Equipamentos'!V44*'01 - Dados de Entrada'!$C$202</f>
        <v>48000</v>
      </c>
      <c r="X44" s="276">
        <f>12*'04 - Veículos e Equipamentos'!W44*'01 - Dados de Entrada'!$C$202</f>
        <v>48000</v>
      </c>
      <c r="Y44" s="276">
        <f>12*'04 - Veículos e Equipamentos'!X44*'01 - Dados de Entrada'!$C$202</f>
        <v>48000</v>
      </c>
      <c r="Z44" s="276">
        <f>12*'04 - Veículos e Equipamentos'!Y44*'01 - Dados de Entrada'!$C$202</f>
        <v>48000</v>
      </c>
      <c r="AA44" s="276">
        <f>12*'04 - Veículos e Equipamentos'!Z44*'01 - Dados de Entrada'!$C$202</f>
        <v>48000</v>
      </c>
      <c r="AB44" s="276">
        <f>12*'04 - Veículos e Equipamentos'!AA44*'01 - Dados de Entrada'!$C$202</f>
        <v>48000</v>
      </c>
      <c r="AC44" s="276">
        <f>12*'04 - Veículos e Equipamentos'!AB44*'01 - Dados de Entrada'!$C$202</f>
        <v>48000</v>
      </c>
      <c r="AD44" s="276">
        <f>12*'04 - Veículos e Equipamentos'!AC44*'01 - Dados de Entrada'!$C$202</f>
        <v>48000</v>
      </c>
      <c r="AE44" s="276">
        <f>12*'04 - Veículos e Equipamentos'!AD44*'01 - Dados de Entrada'!$C$202</f>
        <v>48000</v>
      </c>
      <c r="AF44" s="276">
        <f>12*'04 - Veículos e Equipamentos'!AE44*'01 - Dados de Entrada'!$C$202</f>
        <v>48000</v>
      </c>
      <c r="AG44" s="276">
        <f>12*'04 - Veículos e Equipamentos'!AF44*'01 - Dados de Entrada'!$C$202</f>
        <v>48000</v>
      </c>
      <c r="AH44" s="276">
        <f>12*'04 - Veículos e Equipamentos'!AG44*'01 - Dados de Entrada'!$C$202</f>
        <v>48000</v>
      </c>
      <c r="AI44" s="276">
        <f>12*'04 - Veículos e Equipamentos'!AH44*'01 - Dados de Entrada'!$C$202</f>
        <v>48000</v>
      </c>
      <c r="AJ44" s="276">
        <f>12*'04 - Veículos e Equipamentos'!AI44*'01 - Dados de Entrada'!$C$202</f>
        <v>48000</v>
      </c>
      <c r="AK44" s="276">
        <f>12*'04 - Veículos e Equipamentos'!AJ44*'01 - Dados de Entrada'!$C$202</f>
        <v>48000</v>
      </c>
    </row>
    <row r="45" spans="1:37" s="152" customFormat="1" ht="13.15" customHeight="1" x14ac:dyDescent="0.2">
      <c r="A45" s="147" t="s">
        <v>984</v>
      </c>
      <c r="B45" s="275">
        <f t="shared" si="2"/>
        <v>33.600000000000023</v>
      </c>
      <c r="C45" s="278">
        <f>C44/'01 - Dados de Entrada'!$C$256</f>
        <v>0.96</v>
      </c>
      <c r="D45" s="278">
        <f>D44/'01 - Dados de Entrada'!$C$256</f>
        <v>0.96</v>
      </c>
      <c r="E45" s="278">
        <f>E44/'01 - Dados de Entrada'!$C$256</f>
        <v>0.96</v>
      </c>
      <c r="F45" s="278">
        <f>F44/'01 - Dados de Entrada'!$C$256</f>
        <v>0.96</v>
      </c>
      <c r="G45" s="278">
        <f>G44/'01 - Dados de Entrada'!$C$256</f>
        <v>0.96</v>
      </c>
      <c r="H45" s="278">
        <f>H44/'01 - Dados de Entrada'!$C$256</f>
        <v>0.96</v>
      </c>
      <c r="I45" s="278">
        <f>I44/'01 - Dados de Entrada'!$C$256</f>
        <v>0.96</v>
      </c>
      <c r="J45" s="278">
        <f>J44/'01 - Dados de Entrada'!$C$256</f>
        <v>0.96</v>
      </c>
      <c r="K45" s="278">
        <f>K44/'01 - Dados de Entrada'!$C$256</f>
        <v>0.96</v>
      </c>
      <c r="L45" s="278">
        <f>L44/'01 - Dados de Entrada'!$C$256</f>
        <v>0.96</v>
      </c>
      <c r="M45" s="278">
        <f>M44/'01 - Dados de Entrada'!$C$256</f>
        <v>0.96</v>
      </c>
      <c r="N45" s="278">
        <f>N44/'01 - Dados de Entrada'!$C$256</f>
        <v>0.96</v>
      </c>
      <c r="O45" s="278">
        <f>O44/'01 - Dados de Entrada'!$C$256</f>
        <v>0.96</v>
      </c>
      <c r="P45" s="278">
        <f>P44/'01 - Dados de Entrada'!$C$256</f>
        <v>0.96</v>
      </c>
      <c r="Q45" s="278">
        <f>Q44/'01 - Dados de Entrada'!$C$256</f>
        <v>0.96</v>
      </c>
      <c r="R45" s="278">
        <f>R44/'01 - Dados de Entrada'!$C$256</f>
        <v>0.96</v>
      </c>
      <c r="S45" s="278">
        <f>S44/'01 - Dados de Entrada'!$C$256</f>
        <v>0.96</v>
      </c>
      <c r="T45" s="278">
        <f>T44/'01 - Dados de Entrada'!$C$256</f>
        <v>0.96</v>
      </c>
      <c r="U45" s="278">
        <f>U44/'01 - Dados de Entrada'!$C$256</f>
        <v>0.96</v>
      </c>
      <c r="V45" s="278">
        <f>V44/'01 - Dados de Entrada'!$C$256</f>
        <v>0.96</v>
      </c>
      <c r="W45" s="278">
        <f>W44/'01 - Dados de Entrada'!$C$256</f>
        <v>0.96</v>
      </c>
      <c r="X45" s="278">
        <f>X44/'01 - Dados de Entrada'!$C$256</f>
        <v>0.96</v>
      </c>
      <c r="Y45" s="278">
        <f>Y44/'01 - Dados de Entrada'!$C$256</f>
        <v>0.96</v>
      </c>
      <c r="Z45" s="278">
        <f>Z44/'01 - Dados de Entrada'!$C$256</f>
        <v>0.96</v>
      </c>
      <c r="AA45" s="278">
        <f>AA44/'01 - Dados de Entrada'!$C$256</f>
        <v>0.96</v>
      </c>
      <c r="AB45" s="278">
        <f>AB44/'01 - Dados de Entrada'!$C$256</f>
        <v>0.96</v>
      </c>
      <c r="AC45" s="278">
        <f>AC44/'01 - Dados de Entrada'!$C$256</f>
        <v>0.96</v>
      </c>
      <c r="AD45" s="278">
        <f>AD44/'01 - Dados de Entrada'!$C$256</f>
        <v>0.96</v>
      </c>
      <c r="AE45" s="278">
        <f>AE44/'01 - Dados de Entrada'!$C$256</f>
        <v>0.96</v>
      </c>
      <c r="AF45" s="278">
        <f>AF44/'01 - Dados de Entrada'!$C$256</f>
        <v>0.96</v>
      </c>
      <c r="AG45" s="278">
        <f>AG44/'01 - Dados de Entrada'!$C$256</f>
        <v>0.96</v>
      </c>
      <c r="AH45" s="278">
        <f>AH44/'01 - Dados de Entrada'!$C$256</f>
        <v>0.96</v>
      </c>
      <c r="AI45" s="278">
        <f>AI44/'01 - Dados de Entrada'!$C$256</f>
        <v>0.96</v>
      </c>
      <c r="AJ45" s="278">
        <f>AJ44/'01 - Dados de Entrada'!$C$256</f>
        <v>0.96</v>
      </c>
      <c r="AK45" s="278">
        <f>AK44/'01 - Dados de Entrada'!$C$256</f>
        <v>0.96</v>
      </c>
    </row>
    <row r="46" spans="1:37" s="152" customFormat="1" ht="13.15" customHeight="1" x14ac:dyDescent="0.2">
      <c r="A46" s="147" t="s">
        <v>985</v>
      </c>
      <c r="B46" s="275">
        <f t="shared" si="2"/>
        <v>986236.6586030788</v>
      </c>
      <c r="C46" s="275">
        <f>C45*'01 - Dados de Entrada'!$C$280</f>
        <v>28178.190245802238</v>
      </c>
      <c r="D46" s="275">
        <f>D45*'01 - Dados de Entrada'!$C$280</f>
        <v>28178.190245802238</v>
      </c>
      <c r="E46" s="275">
        <f>E45*'01 - Dados de Entrada'!$C$280</f>
        <v>28178.190245802238</v>
      </c>
      <c r="F46" s="275">
        <f>F45*'01 - Dados de Entrada'!$C$280</f>
        <v>28178.190245802238</v>
      </c>
      <c r="G46" s="275">
        <f>G45*'01 - Dados de Entrada'!$C$280</f>
        <v>28178.190245802238</v>
      </c>
      <c r="H46" s="275">
        <f>H45*'01 - Dados de Entrada'!$C$280</f>
        <v>28178.190245802238</v>
      </c>
      <c r="I46" s="275">
        <f>I45*'01 - Dados de Entrada'!$C$280</f>
        <v>28178.190245802238</v>
      </c>
      <c r="J46" s="275">
        <f>J45*'01 - Dados de Entrada'!$C$280</f>
        <v>28178.190245802238</v>
      </c>
      <c r="K46" s="275">
        <f>K45*'01 - Dados de Entrada'!$C$280</f>
        <v>28178.190245802238</v>
      </c>
      <c r="L46" s="275">
        <f>L45*'01 - Dados de Entrada'!$C$280</f>
        <v>28178.190245802238</v>
      </c>
      <c r="M46" s="275">
        <f>M45*'01 - Dados de Entrada'!$C$280</f>
        <v>28178.190245802238</v>
      </c>
      <c r="N46" s="275">
        <f>N45*'01 - Dados de Entrada'!$C$280</f>
        <v>28178.190245802238</v>
      </c>
      <c r="O46" s="275">
        <f>O45*'01 - Dados de Entrada'!$C$280</f>
        <v>28178.190245802238</v>
      </c>
      <c r="P46" s="275">
        <f>P45*'01 - Dados de Entrada'!$C$280</f>
        <v>28178.190245802238</v>
      </c>
      <c r="Q46" s="275">
        <f>Q45*'01 - Dados de Entrada'!$C$280</f>
        <v>28178.190245802238</v>
      </c>
      <c r="R46" s="275">
        <f>R45*'01 - Dados de Entrada'!$C$280</f>
        <v>28178.190245802238</v>
      </c>
      <c r="S46" s="275">
        <f>S45*'01 - Dados de Entrada'!$C$280</f>
        <v>28178.190245802238</v>
      </c>
      <c r="T46" s="275">
        <f>T45*'01 - Dados de Entrada'!$C$280</f>
        <v>28178.190245802238</v>
      </c>
      <c r="U46" s="275">
        <f>U45*'01 - Dados de Entrada'!$C$280</f>
        <v>28178.190245802238</v>
      </c>
      <c r="V46" s="275">
        <f>V45*'01 - Dados de Entrada'!$C$280</f>
        <v>28178.190245802238</v>
      </c>
      <c r="W46" s="275">
        <f>W45*'01 - Dados de Entrada'!$C$280</f>
        <v>28178.190245802238</v>
      </c>
      <c r="X46" s="275">
        <f>X45*'01 - Dados de Entrada'!$C$280</f>
        <v>28178.190245802238</v>
      </c>
      <c r="Y46" s="275">
        <f>Y45*'01 - Dados de Entrada'!$C$280</f>
        <v>28178.190245802238</v>
      </c>
      <c r="Z46" s="275">
        <f>Z45*'01 - Dados de Entrada'!$C$280</f>
        <v>28178.190245802238</v>
      </c>
      <c r="AA46" s="275">
        <f>AA45*'01 - Dados de Entrada'!$C$280</f>
        <v>28178.190245802238</v>
      </c>
      <c r="AB46" s="275">
        <f>AB45*'01 - Dados de Entrada'!$C$280</f>
        <v>28178.190245802238</v>
      </c>
      <c r="AC46" s="275">
        <f>AC45*'01 - Dados de Entrada'!$C$280</f>
        <v>28178.190245802238</v>
      </c>
      <c r="AD46" s="275">
        <f>AD45*'01 - Dados de Entrada'!$C$280</f>
        <v>28178.190245802238</v>
      </c>
      <c r="AE46" s="275">
        <f>AE45*'01 - Dados de Entrada'!$C$280</f>
        <v>28178.190245802238</v>
      </c>
      <c r="AF46" s="275">
        <f>AF45*'01 - Dados de Entrada'!$C$280</f>
        <v>28178.190245802238</v>
      </c>
      <c r="AG46" s="275">
        <f>AG45*'01 - Dados de Entrada'!$C$280</f>
        <v>28178.190245802238</v>
      </c>
      <c r="AH46" s="275">
        <f>AH45*'01 - Dados de Entrada'!$C$280</f>
        <v>28178.190245802238</v>
      </c>
      <c r="AI46" s="275">
        <f>AI45*'01 - Dados de Entrada'!$C$280</f>
        <v>28178.190245802238</v>
      </c>
      <c r="AJ46" s="275">
        <f>AJ45*'01 - Dados de Entrada'!$C$280</f>
        <v>28178.190245802238</v>
      </c>
      <c r="AK46" s="275">
        <f>AK45*'01 - Dados de Entrada'!$C$280</f>
        <v>28178.190245802238</v>
      </c>
    </row>
    <row r="47" spans="1:37" s="152" customFormat="1" ht="13.15" customHeight="1" x14ac:dyDescent="0.2">
      <c r="A47" s="271" t="s">
        <v>946</v>
      </c>
      <c r="B47" s="275">
        <f t="shared" si="2"/>
        <v>0</v>
      </c>
      <c r="C47" s="346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6"/>
      <c r="Y47" s="346"/>
      <c r="Z47" s="346"/>
      <c r="AA47" s="346"/>
      <c r="AB47" s="346"/>
      <c r="AC47" s="346"/>
      <c r="AD47" s="346"/>
      <c r="AE47" s="346"/>
      <c r="AF47" s="346"/>
      <c r="AG47" s="346"/>
      <c r="AH47" s="346"/>
      <c r="AI47" s="346"/>
      <c r="AJ47" s="346"/>
      <c r="AK47" s="346"/>
    </row>
    <row r="48" spans="1:37" s="152" customFormat="1" ht="13.15" customHeight="1" x14ac:dyDescent="0.2">
      <c r="A48" s="147" t="s">
        <v>956</v>
      </c>
      <c r="B48" s="275">
        <f t="shared" si="2"/>
        <v>420000</v>
      </c>
      <c r="C48" s="276">
        <f>12*'04 - Veículos e Equipamentos'!B45*'01 - Dados de Entrada'!$C$208</f>
        <v>12000</v>
      </c>
      <c r="D48" s="276">
        <f>12*'04 - Veículos e Equipamentos'!C45*'01 - Dados de Entrada'!$C$208</f>
        <v>12000</v>
      </c>
      <c r="E48" s="276">
        <f>12*'04 - Veículos e Equipamentos'!D45*'01 - Dados de Entrada'!$C$208</f>
        <v>12000</v>
      </c>
      <c r="F48" s="276">
        <f>12*'04 - Veículos e Equipamentos'!E45*'01 - Dados de Entrada'!$C$208</f>
        <v>12000</v>
      </c>
      <c r="G48" s="276">
        <f>12*'04 - Veículos e Equipamentos'!F45*'01 - Dados de Entrada'!$C$208</f>
        <v>12000</v>
      </c>
      <c r="H48" s="276">
        <f>12*'04 - Veículos e Equipamentos'!G45*'01 - Dados de Entrada'!$C$208</f>
        <v>12000</v>
      </c>
      <c r="I48" s="276">
        <f>12*'04 - Veículos e Equipamentos'!H45*'01 - Dados de Entrada'!$C$208</f>
        <v>12000</v>
      </c>
      <c r="J48" s="276">
        <f>12*'04 - Veículos e Equipamentos'!I45*'01 - Dados de Entrada'!$C$208</f>
        <v>12000</v>
      </c>
      <c r="K48" s="276">
        <f>12*'04 - Veículos e Equipamentos'!J45*'01 - Dados de Entrada'!$C$208</f>
        <v>12000</v>
      </c>
      <c r="L48" s="276">
        <f>12*'04 - Veículos e Equipamentos'!K45*'01 - Dados de Entrada'!$C$208</f>
        <v>12000</v>
      </c>
      <c r="M48" s="276">
        <f>12*'04 - Veículos e Equipamentos'!L45*'01 - Dados de Entrada'!$C$208</f>
        <v>12000</v>
      </c>
      <c r="N48" s="276">
        <f>12*'04 - Veículos e Equipamentos'!M45*'01 - Dados de Entrada'!$C$208</f>
        <v>12000</v>
      </c>
      <c r="O48" s="276">
        <f>12*'04 - Veículos e Equipamentos'!N45*'01 - Dados de Entrada'!$C$208</f>
        <v>12000</v>
      </c>
      <c r="P48" s="276">
        <f>12*'04 - Veículos e Equipamentos'!O45*'01 - Dados de Entrada'!$C$208</f>
        <v>12000</v>
      </c>
      <c r="Q48" s="276">
        <f>12*'04 - Veículos e Equipamentos'!P45*'01 - Dados de Entrada'!$C$208</f>
        <v>12000</v>
      </c>
      <c r="R48" s="276">
        <f>12*'04 - Veículos e Equipamentos'!Q45*'01 - Dados de Entrada'!$C$208</f>
        <v>12000</v>
      </c>
      <c r="S48" s="276">
        <f>12*'04 - Veículos e Equipamentos'!R45*'01 - Dados de Entrada'!$C$208</f>
        <v>12000</v>
      </c>
      <c r="T48" s="276">
        <f>12*'04 - Veículos e Equipamentos'!S45*'01 - Dados de Entrada'!$C$208</f>
        <v>12000</v>
      </c>
      <c r="U48" s="276">
        <f>12*'04 - Veículos e Equipamentos'!T45*'01 - Dados de Entrada'!$C$208</f>
        <v>12000</v>
      </c>
      <c r="V48" s="276">
        <f>12*'04 - Veículos e Equipamentos'!U45*'01 - Dados de Entrada'!$C$208</f>
        <v>12000</v>
      </c>
      <c r="W48" s="276">
        <f>12*'04 - Veículos e Equipamentos'!V45*'01 - Dados de Entrada'!$C$208</f>
        <v>12000</v>
      </c>
      <c r="X48" s="276">
        <f>12*'04 - Veículos e Equipamentos'!W45*'01 - Dados de Entrada'!$C$208</f>
        <v>12000</v>
      </c>
      <c r="Y48" s="276">
        <f>12*'04 - Veículos e Equipamentos'!X45*'01 - Dados de Entrada'!$C$208</f>
        <v>12000</v>
      </c>
      <c r="Z48" s="276">
        <f>12*'04 - Veículos e Equipamentos'!Y45*'01 - Dados de Entrada'!$C$208</f>
        <v>12000</v>
      </c>
      <c r="AA48" s="276">
        <f>12*'04 - Veículos e Equipamentos'!Z45*'01 - Dados de Entrada'!$C$208</f>
        <v>12000</v>
      </c>
      <c r="AB48" s="276">
        <f>12*'04 - Veículos e Equipamentos'!AA45*'01 - Dados de Entrada'!$C$208</f>
        <v>12000</v>
      </c>
      <c r="AC48" s="276">
        <f>12*'04 - Veículos e Equipamentos'!AB45*'01 - Dados de Entrada'!$C$208</f>
        <v>12000</v>
      </c>
      <c r="AD48" s="276">
        <f>12*'04 - Veículos e Equipamentos'!AC45*'01 - Dados de Entrada'!$C$208</f>
        <v>12000</v>
      </c>
      <c r="AE48" s="276">
        <f>12*'04 - Veículos e Equipamentos'!AD45*'01 - Dados de Entrada'!$C$208</f>
        <v>12000</v>
      </c>
      <c r="AF48" s="276">
        <f>12*'04 - Veículos e Equipamentos'!AE45*'01 - Dados de Entrada'!$C$208</f>
        <v>12000</v>
      </c>
      <c r="AG48" s="276">
        <f>12*'04 - Veículos e Equipamentos'!AF45*'01 - Dados de Entrada'!$C$208</f>
        <v>12000</v>
      </c>
      <c r="AH48" s="276">
        <f>12*'04 - Veículos e Equipamentos'!AG45*'01 - Dados de Entrada'!$C$208</f>
        <v>12000</v>
      </c>
      <c r="AI48" s="276">
        <f>12*'04 - Veículos e Equipamentos'!AH45*'01 - Dados de Entrada'!$C$208</f>
        <v>12000</v>
      </c>
      <c r="AJ48" s="276">
        <f>12*'04 - Veículos e Equipamentos'!AI45*'01 - Dados de Entrada'!$C$208</f>
        <v>12000</v>
      </c>
      <c r="AK48" s="276">
        <f>12*'04 - Veículos e Equipamentos'!AJ45*'01 - Dados de Entrada'!$C$208</f>
        <v>12000</v>
      </c>
    </row>
    <row r="49" spans="1:37" s="152" customFormat="1" ht="13.15" customHeight="1" x14ac:dyDescent="0.2">
      <c r="A49" s="147" t="s">
        <v>984</v>
      </c>
      <c r="B49" s="275">
        <f t="shared" si="2"/>
        <v>52.5</v>
      </c>
      <c r="C49" s="278">
        <f>C48/'01 - Dados de Entrada'!$C$258</f>
        <v>1.5</v>
      </c>
      <c r="D49" s="278">
        <f>D48/'01 - Dados de Entrada'!$C$258</f>
        <v>1.5</v>
      </c>
      <c r="E49" s="278">
        <f>E48/'01 - Dados de Entrada'!$C$258</f>
        <v>1.5</v>
      </c>
      <c r="F49" s="278">
        <f>F48/'01 - Dados de Entrada'!$C$258</f>
        <v>1.5</v>
      </c>
      <c r="G49" s="278">
        <f>G48/'01 - Dados de Entrada'!$C$258</f>
        <v>1.5</v>
      </c>
      <c r="H49" s="278">
        <f>H48/'01 - Dados de Entrada'!$C$258</f>
        <v>1.5</v>
      </c>
      <c r="I49" s="278">
        <f>I48/'01 - Dados de Entrada'!$C$258</f>
        <v>1.5</v>
      </c>
      <c r="J49" s="278">
        <f>J48/'01 - Dados de Entrada'!$C$258</f>
        <v>1.5</v>
      </c>
      <c r="K49" s="278">
        <f>K48/'01 - Dados de Entrada'!$C$258</f>
        <v>1.5</v>
      </c>
      <c r="L49" s="278">
        <f>L48/'01 - Dados de Entrada'!$C$258</f>
        <v>1.5</v>
      </c>
      <c r="M49" s="278">
        <f>M48/'01 - Dados de Entrada'!$C$258</f>
        <v>1.5</v>
      </c>
      <c r="N49" s="278">
        <f>N48/'01 - Dados de Entrada'!$C$258</f>
        <v>1.5</v>
      </c>
      <c r="O49" s="278">
        <f>O48/'01 - Dados de Entrada'!$C$258</f>
        <v>1.5</v>
      </c>
      <c r="P49" s="278">
        <f>P48/'01 - Dados de Entrada'!$C$258</f>
        <v>1.5</v>
      </c>
      <c r="Q49" s="278">
        <f>Q48/'01 - Dados de Entrada'!$C$258</f>
        <v>1.5</v>
      </c>
      <c r="R49" s="278">
        <f>R48/'01 - Dados de Entrada'!$C$258</f>
        <v>1.5</v>
      </c>
      <c r="S49" s="278">
        <f>S48/'01 - Dados de Entrada'!$C$258</f>
        <v>1.5</v>
      </c>
      <c r="T49" s="278">
        <f>T48/'01 - Dados de Entrada'!$C$258</f>
        <v>1.5</v>
      </c>
      <c r="U49" s="278">
        <f>U48/'01 - Dados de Entrada'!$C$258</f>
        <v>1.5</v>
      </c>
      <c r="V49" s="278">
        <f>V48/'01 - Dados de Entrada'!$C$258</f>
        <v>1.5</v>
      </c>
      <c r="W49" s="278">
        <f>W48/'01 - Dados de Entrada'!$C$258</f>
        <v>1.5</v>
      </c>
      <c r="X49" s="278">
        <f>X48/'01 - Dados de Entrada'!$C$258</f>
        <v>1.5</v>
      </c>
      <c r="Y49" s="278">
        <f>Y48/'01 - Dados de Entrada'!$C$258</f>
        <v>1.5</v>
      </c>
      <c r="Z49" s="278">
        <f>Z48/'01 - Dados de Entrada'!$C$258</f>
        <v>1.5</v>
      </c>
      <c r="AA49" s="278">
        <f>AA48/'01 - Dados de Entrada'!$C$258</f>
        <v>1.5</v>
      </c>
      <c r="AB49" s="278">
        <f>AB48/'01 - Dados de Entrada'!$C$258</f>
        <v>1.5</v>
      </c>
      <c r="AC49" s="278">
        <f>AC48/'01 - Dados de Entrada'!$C$258</f>
        <v>1.5</v>
      </c>
      <c r="AD49" s="278">
        <f>AD48/'01 - Dados de Entrada'!$C$258</f>
        <v>1.5</v>
      </c>
      <c r="AE49" s="278">
        <f>AE48/'01 - Dados de Entrada'!$C$258</f>
        <v>1.5</v>
      </c>
      <c r="AF49" s="278">
        <f>AF48/'01 - Dados de Entrada'!$C$258</f>
        <v>1.5</v>
      </c>
      <c r="AG49" s="278">
        <f>AG48/'01 - Dados de Entrada'!$C$258</f>
        <v>1.5</v>
      </c>
      <c r="AH49" s="278">
        <f>AH48/'01 - Dados de Entrada'!$C$258</f>
        <v>1.5</v>
      </c>
      <c r="AI49" s="278">
        <f>AI48/'01 - Dados de Entrada'!$C$258</f>
        <v>1.5</v>
      </c>
      <c r="AJ49" s="278">
        <f>AJ48/'01 - Dados de Entrada'!$C$258</f>
        <v>1.5</v>
      </c>
      <c r="AK49" s="278">
        <f>AK48/'01 - Dados de Entrada'!$C$258</f>
        <v>1.5</v>
      </c>
    </row>
    <row r="50" spans="1:37" s="152" customFormat="1" ht="13.15" customHeight="1" x14ac:dyDescent="0.2">
      <c r="A50" s="147" t="s">
        <v>985</v>
      </c>
      <c r="B50" s="275">
        <f t="shared" si="2"/>
        <v>313586.6999999999</v>
      </c>
      <c r="C50" s="275">
        <f>C49*'01 - Dados de Entrada'!$C$283</f>
        <v>8959.619999999999</v>
      </c>
      <c r="D50" s="275">
        <f>D49*'01 - Dados de Entrada'!$C$283</f>
        <v>8959.619999999999</v>
      </c>
      <c r="E50" s="275">
        <f>E49*'01 - Dados de Entrada'!$C$283</f>
        <v>8959.619999999999</v>
      </c>
      <c r="F50" s="275">
        <f>F49*'01 - Dados de Entrada'!$C$283</f>
        <v>8959.619999999999</v>
      </c>
      <c r="G50" s="275">
        <f>G49*'01 - Dados de Entrada'!$C$283</f>
        <v>8959.619999999999</v>
      </c>
      <c r="H50" s="275">
        <f>H49*'01 - Dados de Entrada'!$C$283</f>
        <v>8959.619999999999</v>
      </c>
      <c r="I50" s="275">
        <f>I49*'01 - Dados de Entrada'!$C$283</f>
        <v>8959.619999999999</v>
      </c>
      <c r="J50" s="275">
        <f>J49*'01 - Dados de Entrada'!$C$283</f>
        <v>8959.619999999999</v>
      </c>
      <c r="K50" s="275">
        <f>K49*'01 - Dados de Entrada'!$C$283</f>
        <v>8959.619999999999</v>
      </c>
      <c r="L50" s="275">
        <f>L49*'01 - Dados de Entrada'!$C$283</f>
        <v>8959.619999999999</v>
      </c>
      <c r="M50" s="275">
        <f>M49*'01 - Dados de Entrada'!$C$283</f>
        <v>8959.619999999999</v>
      </c>
      <c r="N50" s="275">
        <f>N49*'01 - Dados de Entrada'!$C$283</f>
        <v>8959.619999999999</v>
      </c>
      <c r="O50" s="275">
        <f>O49*'01 - Dados de Entrada'!$C$283</f>
        <v>8959.619999999999</v>
      </c>
      <c r="P50" s="275">
        <f>P49*'01 - Dados de Entrada'!$C$283</f>
        <v>8959.619999999999</v>
      </c>
      <c r="Q50" s="275">
        <f>Q49*'01 - Dados de Entrada'!$C$283</f>
        <v>8959.619999999999</v>
      </c>
      <c r="R50" s="275">
        <f>R49*'01 - Dados de Entrada'!$C$283</f>
        <v>8959.619999999999</v>
      </c>
      <c r="S50" s="275">
        <f>S49*'01 - Dados de Entrada'!$C$283</f>
        <v>8959.619999999999</v>
      </c>
      <c r="T50" s="275">
        <f>T49*'01 - Dados de Entrada'!$C$283</f>
        <v>8959.619999999999</v>
      </c>
      <c r="U50" s="275">
        <f>U49*'01 - Dados de Entrada'!$C$283</f>
        <v>8959.619999999999</v>
      </c>
      <c r="V50" s="275">
        <f>V49*'01 - Dados de Entrada'!$C$283</f>
        <v>8959.619999999999</v>
      </c>
      <c r="W50" s="275">
        <f>W49*'01 - Dados de Entrada'!$C$283</f>
        <v>8959.619999999999</v>
      </c>
      <c r="X50" s="275">
        <f>X49*'01 - Dados de Entrada'!$C$283</f>
        <v>8959.619999999999</v>
      </c>
      <c r="Y50" s="275">
        <f>Y49*'01 - Dados de Entrada'!$C$283</f>
        <v>8959.619999999999</v>
      </c>
      <c r="Z50" s="275">
        <f>Z49*'01 - Dados de Entrada'!$C$283</f>
        <v>8959.619999999999</v>
      </c>
      <c r="AA50" s="275">
        <f>AA49*'01 - Dados de Entrada'!$C$283</f>
        <v>8959.619999999999</v>
      </c>
      <c r="AB50" s="275">
        <f>AB49*'01 - Dados de Entrada'!$C$283</f>
        <v>8959.619999999999</v>
      </c>
      <c r="AC50" s="275">
        <f>AC49*'01 - Dados de Entrada'!$C$283</f>
        <v>8959.619999999999</v>
      </c>
      <c r="AD50" s="275">
        <f>AD49*'01 - Dados de Entrada'!$C$283</f>
        <v>8959.619999999999</v>
      </c>
      <c r="AE50" s="275">
        <f>AE49*'01 - Dados de Entrada'!$C$283</f>
        <v>8959.619999999999</v>
      </c>
      <c r="AF50" s="275">
        <f>AF49*'01 - Dados de Entrada'!$C$283</f>
        <v>8959.619999999999</v>
      </c>
      <c r="AG50" s="275">
        <f>AG49*'01 - Dados de Entrada'!$C$283</f>
        <v>8959.619999999999</v>
      </c>
      <c r="AH50" s="275">
        <f>AH49*'01 - Dados de Entrada'!$C$283</f>
        <v>8959.619999999999</v>
      </c>
      <c r="AI50" s="275">
        <f>AI49*'01 - Dados de Entrada'!$C$283</f>
        <v>8959.619999999999</v>
      </c>
      <c r="AJ50" s="275">
        <f>AJ49*'01 - Dados de Entrada'!$C$283</f>
        <v>8959.619999999999</v>
      </c>
      <c r="AK50" s="275">
        <f>AK49*'01 - Dados de Entrada'!$C$283</f>
        <v>8959.619999999999</v>
      </c>
    </row>
    <row r="51" spans="1:37" s="152" customFormat="1" ht="13.15" customHeight="1" x14ac:dyDescent="0.2">
      <c r="A51" s="271" t="s">
        <v>948</v>
      </c>
      <c r="B51" s="275">
        <f t="shared" si="2"/>
        <v>0</v>
      </c>
      <c r="C51" s="346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6"/>
      <c r="AA51" s="346"/>
      <c r="AB51" s="346"/>
      <c r="AC51" s="346"/>
      <c r="AD51" s="346"/>
      <c r="AE51" s="346"/>
      <c r="AF51" s="346"/>
      <c r="AG51" s="346"/>
      <c r="AH51" s="346"/>
      <c r="AI51" s="346"/>
      <c r="AJ51" s="346"/>
      <c r="AK51" s="346"/>
    </row>
    <row r="52" spans="1:37" s="152" customFormat="1" ht="13.15" customHeight="1" x14ac:dyDescent="0.2">
      <c r="A52" s="147" t="s">
        <v>956</v>
      </c>
      <c r="B52" s="275">
        <f t="shared" si="2"/>
        <v>378000</v>
      </c>
      <c r="C52" s="276">
        <f>12*'04 - Veículos e Equipamentos'!B46*'01 - Dados de Entrada'!$C$210</f>
        <v>10800</v>
      </c>
      <c r="D52" s="276">
        <f>12*'04 - Veículos e Equipamentos'!C46*'01 - Dados de Entrada'!$C$210</f>
        <v>10800</v>
      </c>
      <c r="E52" s="276">
        <f>12*'04 - Veículos e Equipamentos'!D46*'01 - Dados de Entrada'!$C$210</f>
        <v>10800</v>
      </c>
      <c r="F52" s="276">
        <f>12*'04 - Veículos e Equipamentos'!E46*'01 - Dados de Entrada'!$C$210</f>
        <v>10800</v>
      </c>
      <c r="G52" s="276">
        <f>12*'04 - Veículos e Equipamentos'!F46*'01 - Dados de Entrada'!$C$210</f>
        <v>10800</v>
      </c>
      <c r="H52" s="276">
        <f>12*'04 - Veículos e Equipamentos'!G46*'01 - Dados de Entrada'!$C$210</f>
        <v>10800</v>
      </c>
      <c r="I52" s="276">
        <f>12*'04 - Veículos e Equipamentos'!H46*'01 - Dados de Entrada'!$C$210</f>
        <v>10800</v>
      </c>
      <c r="J52" s="276">
        <f>12*'04 - Veículos e Equipamentos'!I46*'01 - Dados de Entrada'!$C$210</f>
        <v>10800</v>
      </c>
      <c r="K52" s="276">
        <f>12*'04 - Veículos e Equipamentos'!J46*'01 - Dados de Entrada'!$C$210</f>
        <v>10800</v>
      </c>
      <c r="L52" s="276">
        <f>12*'04 - Veículos e Equipamentos'!K46*'01 - Dados de Entrada'!$C$210</f>
        <v>10800</v>
      </c>
      <c r="M52" s="276">
        <f>12*'04 - Veículos e Equipamentos'!L46*'01 - Dados de Entrada'!$C$210</f>
        <v>10800</v>
      </c>
      <c r="N52" s="276">
        <f>12*'04 - Veículos e Equipamentos'!M46*'01 - Dados de Entrada'!$C$210</f>
        <v>10800</v>
      </c>
      <c r="O52" s="276">
        <f>12*'04 - Veículos e Equipamentos'!N46*'01 - Dados de Entrada'!$C$210</f>
        <v>10800</v>
      </c>
      <c r="P52" s="276">
        <f>12*'04 - Veículos e Equipamentos'!O46*'01 - Dados de Entrada'!$C$210</f>
        <v>10800</v>
      </c>
      <c r="Q52" s="276">
        <f>12*'04 - Veículos e Equipamentos'!P46*'01 - Dados de Entrada'!$C$210</f>
        <v>10800</v>
      </c>
      <c r="R52" s="276">
        <f>12*'04 - Veículos e Equipamentos'!Q46*'01 - Dados de Entrada'!$C$210</f>
        <v>10800</v>
      </c>
      <c r="S52" s="276">
        <f>12*'04 - Veículos e Equipamentos'!R46*'01 - Dados de Entrada'!$C$210</f>
        <v>10800</v>
      </c>
      <c r="T52" s="276">
        <f>12*'04 - Veículos e Equipamentos'!S46*'01 - Dados de Entrada'!$C$210</f>
        <v>10800</v>
      </c>
      <c r="U52" s="276">
        <f>12*'04 - Veículos e Equipamentos'!T46*'01 - Dados de Entrada'!$C$210</f>
        <v>10800</v>
      </c>
      <c r="V52" s="276">
        <f>12*'04 - Veículos e Equipamentos'!U46*'01 - Dados de Entrada'!$C$210</f>
        <v>10800</v>
      </c>
      <c r="W52" s="276">
        <f>12*'04 - Veículos e Equipamentos'!V46*'01 - Dados de Entrada'!$C$210</f>
        <v>10800</v>
      </c>
      <c r="X52" s="276">
        <f>12*'04 - Veículos e Equipamentos'!W46*'01 - Dados de Entrada'!$C$210</f>
        <v>10800</v>
      </c>
      <c r="Y52" s="276">
        <f>12*'04 - Veículos e Equipamentos'!X46*'01 - Dados de Entrada'!$C$210</f>
        <v>10800</v>
      </c>
      <c r="Z52" s="276">
        <f>12*'04 - Veículos e Equipamentos'!Y46*'01 - Dados de Entrada'!$C$210</f>
        <v>10800</v>
      </c>
      <c r="AA52" s="276">
        <f>12*'04 - Veículos e Equipamentos'!Z46*'01 - Dados de Entrada'!$C$210</f>
        <v>10800</v>
      </c>
      <c r="AB52" s="276">
        <f>12*'04 - Veículos e Equipamentos'!AA46*'01 - Dados de Entrada'!$C$210</f>
        <v>10800</v>
      </c>
      <c r="AC52" s="276">
        <f>12*'04 - Veículos e Equipamentos'!AB46*'01 - Dados de Entrada'!$C$210</f>
        <v>10800</v>
      </c>
      <c r="AD52" s="276">
        <f>12*'04 - Veículos e Equipamentos'!AC46*'01 - Dados de Entrada'!$C$210</f>
        <v>10800</v>
      </c>
      <c r="AE52" s="276">
        <f>12*'04 - Veículos e Equipamentos'!AD46*'01 - Dados de Entrada'!$C$210</f>
        <v>10800</v>
      </c>
      <c r="AF52" s="276">
        <f>12*'04 - Veículos e Equipamentos'!AE46*'01 - Dados de Entrada'!$C$210</f>
        <v>10800</v>
      </c>
      <c r="AG52" s="276">
        <f>12*'04 - Veículos e Equipamentos'!AF46*'01 - Dados de Entrada'!$C$210</f>
        <v>10800</v>
      </c>
      <c r="AH52" s="276">
        <f>12*'04 - Veículos e Equipamentos'!AG46*'01 - Dados de Entrada'!$C$210</f>
        <v>10800</v>
      </c>
      <c r="AI52" s="276">
        <f>12*'04 - Veículos e Equipamentos'!AH46*'01 - Dados de Entrada'!$C$210</f>
        <v>10800</v>
      </c>
      <c r="AJ52" s="276">
        <f>12*'04 - Veículos e Equipamentos'!AI46*'01 - Dados de Entrada'!$C$210</f>
        <v>10800</v>
      </c>
      <c r="AK52" s="276">
        <f>12*'04 - Veículos e Equipamentos'!AJ46*'01 - Dados de Entrada'!$C$210</f>
        <v>10800</v>
      </c>
    </row>
    <row r="53" spans="1:37" s="152" customFormat="1" ht="13.15" customHeight="1" x14ac:dyDescent="0.2">
      <c r="A53" s="147" t="s">
        <v>984</v>
      </c>
      <c r="B53" s="275">
        <f t="shared" si="2"/>
        <v>47.250000000000028</v>
      </c>
      <c r="C53" s="278">
        <f>C52/'01 - Dados de Entrada'!$C$258</f>
        <v>1.35</v>
      </c>
      <c r="D53" s="278">
        <f>D52/'01 - Dados de Entrada'!$C$258</f>
        <v>1.35</v>
      </c>
      <c r="E53" s="278">
        <f>E52/'01 - Dados de Entrada'!$C$258</f>
        <v>1.35</v>
      </c>
      <c r="F53" s="278">
        <f>F52/'01 - Dados de Entrada'!$C$258</f>
        <v>1.35</v>
      </c>
      <c r="G53" s="278">
        <f>G52/'01 - Dados de Entrada'!$C$258</f>
        <v>1.35</v>
      </c>
      <c r="H53" s="278">
        <f>H52/'01 - Dados de Entrada'!$C$258</f>
        <v>1.35</v>
      </c>
      <c r="I53" s="278">
        <f>I52/'01 - Dados de Entrada'!$C$258</f>
        <v>1.35</v>
      </c>
      <c r="J53" s="278">
        <f>J52/'01 - Dados de Entrada'!$C$258</f>
        <v>1.35</v>
      </c>
      <c r="K53" s="278">
        <f>K52/'01 - Dados de Entrada'!$C$258</f>
        <v>1.35</v>
      </c>
      <c r="L53" s="278">
        <f>L52/'01 - Dados de Entrada'!$C$258</f>
        <v>1.35</v>
      </c>
      <c r="M53" s="278">
        <f>M52/'01 - Dados de Entrada'!$C$258</f>
        <v>1.35</v>
      </c>
      <c r="N53" s="278">
        <f>N52/'01 - Dados de Entrada'!$C$258</f>
        <v>1.35</v>
      </c>
      <c r="O53" s="278">
        <f>O52/'01 - Dados de Entrada'!$C$258</f>
        <v>1.35</v>
      </c>
      <c r="P53" s="278">
        <f>P52/'01 - Dados de Entrada'!$C$258</f>
        <v>1.35</v>
      </c>
      <c r="Q53" s="278">
        <f>Q52/'01 - Dados de Entrada'!$C$258</f>
        <v>1.35</v>
      </c>
      <c r="R53" s="278">
        <f>R52/'01 - Dados de Entrada'!$C$258</f>
        <v>1.35</v>
      </c>
      <c r="S53" s="278">
        <f>S52/'01 - Dados de Entrada'!$C$258</f>
        <v>1.35</v>
      </c>
      <c r="T53" s="278">
        <f>T52/'01 - Dados de Entrada'!$C$258</f>
        <v>1.35</v>
      </c>
      <c r="U53" s="278">
        <f>U52/'01 - Dados de Entrada'!$C$258</f>
        <v>1.35</v>
      </c>
      <c r="V53" s="278">
        <f>V52/'01 - Dados de Entrada'!$C$258</f>
        <v>1.35</v>
      </c>
      <c r="W53" s="278">
        <f>W52/'01 - Dados de Entrada'!$C$258</f>
        <v>1.35</v>
      </c>
      <c r="X53" s="278">
        <f>X52/'01 - Dados de Entrada'!$C$258</f>
        <v>1.35</v>
      </c>
      <c r="Y53" s="278">
        <f>Y52/'01 - Dados de Entrada'!$C$258</f>
        <v>1.35</v>
      </c>
      <c r="Z53" s="278">
        <f>Z52/'01 - Dados de Entrada'!$C$258</f>
        <v>1.35</v>
      </c>
      <c r="AA53" s="278">
        <f>AA52/'01 - Dados de Entrada'!$C$258</f>
        <v>1.35</v>
      </c>
      <c r="AB53" s="278">
        <f>AB52/'01 - Dados de Entrada'!$C$258</f>
        <v>1.35</v>
      </c>
      <c r="AC53" s="278">
        <f>AC52/'01 - Dados de Entrada'!$C$258</f>
        <v>1.35</v>
      </c>
      <c r="AD53" s="278">
        <f>AD52/'01 - Dados de Entrada'!$C$258</f>
        <v>1.35</v>
      </c>
      <c r="AE53" s="278">
        <f>AE52/'01 - Dados de Entrada'!$C$258</f>
        <v>1.35</v>
      </c>
      <c r="AF53" s="278">
        <f>AF52/'01 - Dados de Entrada'!$C$258</f>
        <v>1.35</v>
      </c>
      <c r="AG53" s="278">
        <f>AG52/'01 - Dados de Entrada'!$C$258</f>
        <v>1.35</v>
      </c>
      <c r="AH53" s="278">
        <f>AH52/'01 - Dados de Entrada'!$C$258</f>
        <v>1.35</v>
      </c>
      <c r="AI53" s="278">
        <f>AI52/'01 - Dados de Entrada'!$C$258</f>
        <v>1.35</v>
      </c>
      <c r="AJ53" s="278">
        <f>AJ52/'01 - Dados de Entrada'!$C$258</f>
        <v>1.35</v>
      </c>
      <c r="AK53" s="278">
        <f>AK52/'01 - Dados de Entrada'!$C$258</f>
        <v>1.35</v>
      </c>
    </row>
    <row r="54" spans="1:37" s="152" customFormat="1" ht="13.15" customHeight="1" x14ac:dyDescent="0.2">
      <c r="A54" s="147" t="s">
        <v>985</v>
      </c>
      <c r="B54" s="275">
        <f t="shared" si="2"/>
        <v>282228.02999999991</v>
      </c>
      <c r="C54" s="275">
        <f>C53*'01 - Dados de Entrada'!$C$283</f>
        <v>8063.6580000000004</v>
      </c>
      <c r="D54" s="275">
        <f>D53*'01 - Dados de Entrada'!$C$283</f>
        <v>8063.6580000000004</v>
      </c>
      <c r="E54" s="275">
        <f>E53*'01 - Dados de Entrada'!$C$283</f>
        <v>8063.6580000000004</v>
      </c>
      <c r="F54" s="275">
        <f>F53*'01 - Dados de Entrada'!$C$283</f>
        <v>8063.6580000000004</v>
      </c>
      <c r="G54" s="275">
        <f>G53*'01 - Dados de Entrada'!$C$283</f>
        <v>8063.6580000000004</v>
      </c>
      <c r="H54" s="275">
        <f>H53*'01 - Dados de Entrada'!$C$283</f>
        <v>8063.6580000000004</v>
      </c>
      <c r="I54" s="275">
        <f>I53*'01 - Dados de Entrada'!$C$283</f>
        <v>8063.6580000000004</v>
      </c>
      <c r="J54" s="275">
        <f>J53*'01 - Dados de Entrada'!$C$283</f>
        <v>8063.6580000000004</v>
      </c>
      <c r="K54" s="275">
        <f>K53*'01 - Dados de Entrada'!$C$283</f>
        <v>8063.6580000000004</v>
      </c>
      <c r="L54" s="275">
        <f>L53*'01 - Dados de Entrada'!$C$283</f>
        <v>8063.6580000000004</v>
      </c>
      <c r="M54" s="275">
        <f>M53*'01 - Dados de Entrada'!$C$283</f>
        <v>8063.6580000000004</v>
      </c>
      <c r="N54" s="275">
        <f>N53*'01 - Dados de Entrada'!$C$283</f>
        <v>8063.6580000000004</v>
      </c>
      <c r="O54" s="275">
        <f>O53*'01 - Dados de Entrada'!$C$283</f>
        <v>8063.6580000000004</v>
      </c>
      <c r="P54" s="275">
        <f>P53*'01 - Dados de Entrada'!$C$283</f>
        <v>8063.6580000000004</v>
      </c>
      <c r="Q54" s="275">
        <f>Q53*'01 - Dados de Entrada'!$C$283</f>
        <v>8063.6580000000004</v>
      </c>
      <c r="R54" s="275">
        <f>R53*'01 - Dados de Entrada'!$C$283</f>
        <v>8063.6580000000004</v>
      </c>
      <c r="S54" s="275">
        <f>S53*'01 - Dados de Entrada'!$C$283</f>
        <v>8063.6580000000004</v>
      </c>
      <c r="T54" s="275">
        <f>T53*'01 - Dados de Entrada'!$C$283</f>
        <v>8063.6580000000004</v>
      </c>
      <c r="U54" s="275">
        <f>U53*'01 - Dados de Entrada'!$C$283</f>
        <v>8063.6580000000004</v>
      </c>
      <c r="V54" s="275">
        <f>V53*'01 - Dados de Entrada'!$C$283</f>
        <v>8063.6580000000004</v>
      </c>
      <c r="W54" s="275">
        <f>W53*'01 - Dados de Entrada'!$C$283</f>
        <v>8063.6580000000004</v>
      </c>
      <c r="X54" s="275">
        <f>X53*'01 - Dados de Entrada'!$C$283</f>
        <v>8063.6580000000004</v>
      </c>
      <c r="Y54" s="275">
        <f>Y53*'01 - Dados de Entrada'!$C$283</f>
        <v>8063.6580000000004</v>
      </c>
      <c r="Z54" s="275">
        <f>Z53*'01 - Dados de Entrada'!$C$283</f>
        <v>8063.6580000000004</v>
      </c>
      <c r="AA54" s="275">
        <f>AA53*'01 - Dados de Entrada'!$C$283</f>
        <v>8063.6580000000004</v>
      </c>
      <c r="AB54" s="275">
        <f>AB53*'01 - Dados de Entrada'!$C$283</f>
        <v>8063.6580000000004</v>
      </c>
      <c r="AC54" s="275">
        <f>AC53*'01 - Dados de Entrada'!$C$283</f>
        <v>8063.6580000000004</v>
      </c>
      <c r="AD54" s="275">
        <f>AD53*'01 - Dados de Entrada'!$C$283</f>
        <v>8063.6580000000004</v>
      </c>
      <c r="AE54" s="275">
        <f>AE53*'01 - Dados de Entrada'!$C$283</f>
        <v>8063.6580000000004</v>
      </c>
      <c r="AF54" s="275">
        <f>AF53*'01 - Dados de Entrada'!$C$283</f>
        <v>8063.6580000000004</v>
      </c>
      <c r="AG54" s="275">
        <f>AG53*'01 - Dados de Entrada'!$C$283</f>
        <v>8063.6580000000004</v>
      </c>
      <c r="AH54" s="275">
        <f>AH53*'01 - Dados de Entrada'!$C$283</f>
        <v>8063.6580000000004</v>
      </c>
      <c r="AI54" s="275">
        <f>AI53*'01 - Dados de Entrada'!$C$283</f>
        <v>8063.6580000000004</v>
      </c>
      <c r="AJ54" s="275">
        <f>AJ53*'01 - Dados de Entrada'!$C$283</f>
        <v>8063.6580000000004</v>
      </c>
      <c r="AK54" s="275">
        <f>AK53*'01 - Dados de Entrada'!$C$283</f>
        <v>8063.6580000000004</v>
      </c>
    </row>
    <row r="55" spans="1:37" s="152" customFormat="1" ht="13.15" customHeight="1" x14ac:dyDescent="0.2">
      <c r="A55" s="271" t="s">
        <v>990</v>
      </c>
      <c r="B55" s="275">
        <f t="shared" si="2"/>
        <v>0</v>
      </c>
      <c r="C55" s="346"/>
      <c r="D55" s="346"/>
      <c r="E55" s="346"/>
      <c r="F55" s="346"/>
      <c r="G55" s="346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6"/>
      <c r="AE55" s="346"/>
      <c r="AF55" s="346"/>
      <c r="AG55" s="346"/>
      <c r="AH55" s="346"/>
      <c r="AI55" s="346"/>
      <c r="AJ55" s="346"/>
      <c r="AK55" s="346"/>
    </row>
    <row r="56" spans="1:37" s="152" customFormat="1" ht="13.15" customHeight="1" x14ac:dyDescent="0.2">
      <c r="A56" s="147" t="s">
        <v>956</v>
      </c>
      <c r="B56" s="275">
        <f t="shared" si="2"/>
        <v>336000</v>
      </c>
      <c r="C56" s="276">
        <f>12*'04 - Veículos e Equipamentos'!B51*'01 - Dados de Entrada'!$C$213</f>
        <v>9600</v>
      </c>
      <c r="D56" s="276">
        <f>12*'04 - Veículos e Equipamentos'!C51*'01 - Dados de Entrada'!$C$213</f>
        <v>9600</v>
      </c>
      <c r="E56" s="276">
        <f>12*'04 - Veículos e Equipamentos'!D51*'01 - Dados de Entrada'!$C$213</f>
        <v>9600</v>
      </c>
      <c r="F56" s="276">
        <f>12*'04 - Veículos e Equipamentos'!E51*'01 - Dados de Entrada'!$C$213</f>
        <v>9600</v>
      </c>
      <c r="G56" s="276">
        <f>12*'04 - Veículos e Equipamentos'!F51*'01 - Dados de Entrada'!$C$213</f>
        <v>9600</v>
      </c>
      <c r="H56" s="276">
        <f>12*'04 - Veículos e Equipamentos'!G51*'01 - Dados de Entrada'!$C$213</f>
        <v>9600</v>
      </c>
      <c r="I56" s="276">
        <f>12*'04 - Veículos e Equipamentos'!H51*'01 - Dados de Entrada'!$C$213</f>
        <v>9600</v>
      </c>
      <c r="J56" s="276">
        <f>12*'04 - Veículos e Equipamentos'!I51*'01 - Dados de Entrada'!$C$213</f>
        <v>9600</v>
      </c>
      <c r="K56" s="276">
        <f>12*'04 - Veículos e Equipamentos'!J51*'01 - Dados de Entrada'!$C$213</f>
        <v>9600</v>
      </c>
      <c r="L56" s="276">
        <f>12*'04 - Veículos e Equipamentos'!K51*'01 - Dados de Entrada'!$C$213</f>
        <v>9600</v>
      </c>
      <c r="M56" s="276">
        <f>12*'04 - Veículos e Equipamentos'!L51*'01 - Dados de Entrada'!$C$213</f>
        <v>9600</v>
      </c>
      <c r="N56" s="276">
        <f>12*'04 - Veículos e Equipamentos'!M51*'01 - Dados de Entrada'!$C$213</f>
        <v>9600</v>
      </c>
      <c r="O56" s="276">
        <f>12*'04 - Veículos e Equipamentos'!N51*'01 - Dados de Entrada'!$C$213</f>
        <v>9600</v>
      </c>
      <c r="P56" s="276">
        <f>12*'04 - Veículos e Equipamentos'!O51*'01 - Dados de Entrada'!$C$213</f>
        <v>9600</v>
      </c>
      <c r="Q56" s="276">
        <f>12*'04 - Veículos e Equipamentos'!P51*'01 - Dados de Entrada'!$C$213</f>
        <v>9600</v>
      </c>
      <c r="R56" s="276">
        <f>12*'04 - Veículos e Equipamentos'!Q51*'01 - Dados de Entrada'!$C$213</f>
        <v>9600</v>
      </c>
      <c r="S56" s="276">
        <f>12*'04 - Veículos e Equipamentos'!R51*'01 - Dados de Entrada'!$C$213</f>
        <v>9600</v>
      </c>
      <c r="T56" s="276">
        <f>12*'04 - Veículos e Equipamentos'!S51*'01 - Dados de Entrada'!$C$213</f>
        <v>9600</v>
      </c>
      <c r="U56" s="276">
        <f>12*'04 - Veículos e Equipamentos'!T51*'01 - Dados de Entrada'!$C$213</f>
        <v>9600</v>
      </c>
      <c r="V56" s="276">
        <f>12*'04 - Veículos e Equipamentos'!U51*'01 - Dados de Entrada'!$C$213</f>
        <v>9600</v>
      </c>
      <c r="W56" s="276">
        <f>12*'04 - Veículos e Equipamentos'!V51*'01 - Dados de Entrada'!$C$213</f>
        <v>9600</v>
      </c>
      <c r="X56" s="276">
        <f>12*'04 - Veículos e Equipamentos'!W51*'01 - Dados de Entrada'!$C$213</f>
        <v>9600</v>
      </c>
      <c r="Y56" s="276">
        <f>12*'04 - Veículos e Equipamentos'!X51*'01 - Dados de Entrada'!$C$213</f>
        <v>9600</v>
      </c>
      <c r="Z56" s="276">
        <f>12*'04 - Veículos e Equipamentos'!Y51*'01 - Dados de Entrada'!$C$213</f>
        <v>9600</v>
      </c>
      <c r="AA56" s="276">
        <f>12*'04 - Veículos e Equipamentos'!Z51*'01 - Dados de Entrada'!$C$213</f>
        <v>9600</v>
      </c>
      <c r="AB56" s="276">
        <f>12*'04 - Veículos e Equipamentos'!AA51*'01 - Dados de Entrada'!$C$213</f>
        <v>9600</v>
      </c>
      <c r="AC56" s="276">
        <f>12*'04 - Veículos e Equipamentos'!AB51*'01 - Dados de Entrada'!$C$213</f>
        <v>9600</v>
      </c>
      <c r="AD56" s="276">
        <f>12*'04 - Veículos e Equipamentos'!AC51*'01 - Dados de Entrada'!$C$213</f>
        <v>9600</v>
      </c>
      <c r="AE56" s="276">
        <f>12*'04 - Veículos e Equipamentos'!AD51*'01 - Dados de Entrada'!$C$213</f>
        <v>9600</v>
      </c>
      <c r="AF56" s="276">
        <f>12*'04 - Veículos e Equipamentos'!AE51*'01 - Dados de Entrada'!$C$213</f>
        <v>9600</v>
      </c>
      <c r="AG56" s="276">
        <f>12*'04 - Veículos e Equipamentos'!AF51*'01 - Dados de Entrada'!$C$213</f>
        <v>9600</v>
      </c>
      <c r="AH56" s="276">
        <f>12*'04 - Veículos e Equipamentos'!AG51*'01 - Dados de Entrada'!$C$213</f>
        <v>9600</v>
      </c>
      <c r="AI56" s="276">
        <f>12*'04 - Veículos e Equipamentos'!AH51*'01 - Dados de Entrada'!$C$213</f>
        <v>9600</v>
      </c>
      <c r="AJ56" s="276">
        <f>12*'04 - Veículos e Equipamentos'!AI51*'01 - Dados de Entrada'!$C$213</f>
        <v>9600</v>
      </c>
      <c r="AK56" s="276">
        <f>12*'04 - Veículos e Equipamentos'!AJ51*'01 - Dados de Entrada'!$C$213</f>
        <v>9600</v>
      </c>
    </row>
    <row r="57" spans="1:37" s="152" customFormat="1" ht="13.15" customHeight="1" x14ac:dyDescent="0.2">
      <c r="A57" s="147" t="s">
        <v>984</v>
      </c>
      <c r="B57" s="275">
        <f t="shared" si="2"/>
        <v>9.5999999999999961</v>
      </c>
      <c r="C57" s="278">
        <f>C56/'01 - Dados de Entrada'!$C$257</f>
        <v>0.2742857142857143</v>
      </c>
      <c r="D57" s="278">
        <f>D56/'01 - Dados de Entrada'!$C$257</f>
        <v>0.2742857142857143</v>
      </c>
      <c r="E57" s="278">
        <f>E56/'01 - Dados de Entrada'!$C$257</f>
        <v>0.2742857142857143</v>
      </c>
      <c r="F57" s="278">
        <f>F56/'01 - Dados de Entrada'!$C$257</f>
        <v>0.2742857142857143</v>
      </c>
      <c r="G57" s="278">
        <f>G56/'01 - Dados de Entrada'!$C$257</f>
        <v>0.2742857142857143</v>
      </c>
      <c r="H57" s="278">
        <f>H56/'01 - Dados de Entrada'!$C$257</f>
        <v>0.2742857142857143</v>
      </c>
      <c r="I57" s="278">
        <f>I56/'01 - Dados de Entrada'!$C$257</f>
        <v>0.2742857142857143</v>
      </c>
      <c r="J57" s="278">
        <f>J56/'01 - Dados de Entrada'!$C$257</f>
        <v>0.2742857142857143</v>
      </c>
      <c r="K57" s="278">
        <f>K56/'01 - Dados de Entrada'!$C$257</f>
        <v>0.2742857142857143</v>
      </c>
      <c r="L57" s="278">
        <f>L56/'01 - Dados de Entrada'!$C$257</f>
        <v>0.2742857142857143</v>
      </c>
      <c r="M57" s="278">
        <f>M56/'01 - Dados de Entrada'!$C$257</f>
        <v>0.2742857142857143</v>
      </c>
      <c r="N57" s="278">
        <f>N56/'01 - Dados de Entrada'!$C$257</f>
        <v>0.2742857142857143</v>
      </c>
      <c r="O57" s="278">
        <f>O56/'01 - Dados de Entrada'!$C$257</f>
        <v>0.2742857142857143</v>
      </c>
      <c r="P57" s="278">
        <f>P56/'01 - Dados de Entrada'!$C$257</f>
        <v>0.2742857142857143</v>
      </c>
      <c r="Q57" s="278">
        <f>Q56/'01 - Dados de Entrada'!$C$257</f>
        <v>0.2742857142857143</v>
      </c>
      <c r="R57" s="278">
        <f>R56/'01 - Dados de Entrada'!$C$257</f>
        <v>0.2742857142857143</v>
      </c>
      <c r="S57" s="278">
        <f>S56/'01 - Dados de Entrada'!$C$257</f>
        <v>0.2742857142857143</v>
      </c>
      <c r="T57" s="278">
        <f>T56/'01 - Dados de Entrada'!$C$257</f>
        <v>0.2742857142857143</v>
      </c>
      <c r="U57" s="278">
        <f>U56/'01 - Dados de Entrada'!$C$257</f>
        <v>0.2742857142857143</v>
      </c>
      <c r="V57" s="278">
        <f>V56/'01 - Dados de Entrada'!$C$257</f>
        <v>0.2742857142857143</v>
      </c>
      <c r="W57" s="278">
        <f>W56/'01 - Dados de Entrada'!$C$257</f>
        <v>0.2742857142857143</v>
      </c>
      <c r="X57" s="278">
        <f>X56/'01 - Dados de Entrada'!$C$257</f>
        <v>0.2742857142857143</v>
      </c>
      <c r="Y57" s="278">
        <f>Y56/'01 - Dados de Entrada'!$C$257</f>
        <v>0.2742857142857143</v>
      </c>
      <c r="Z57" s="278">
        <f>Z56/'01 - Dados de Entrada'!$C$257</f>
        <v>0.2742857142857143</v>
      </c>
      <c r="AA57" s="278">
        <f>AA56/'01 - Dados de Entrada'!$C$257</f>
        <v>0.2742857142857143</v>
      </c>
      <c r="AB57" s="278">
        <f>AB56/'01 - Dados de Entrada'!$C$257</f>
        <v>0.2742857142857143</v>
      </c>
      <c r="AC57" s="278">
        <f>AC56/'01 - Dados de Entrada'!$C$257</f>
        <v>0.2742857142857143</v>
      </c>
      <c r="AD57" s="278">
        <f>AD56/'01 - Dados de Entrada'!$C$257</f>
        <v>0.2742857142857143</v>
      </c>
      <c r="AE57" s="278">
        <f>AE56/'01 - Dados de Entrada'!$C$257</f>
        <v>0.2742857142857143</v>
      </c>
      <c r="AF57" s="278">
        <f>AF56/'01 - Dados de Entrada'!$C$257</f>
        <v>0.2742857142857143</v>
      </c>
      <c r="AG57" s="278">
        <f>AG56/'01 - Dados de Entrada'!$C$257</f>
        <v>0.2742857142857143</v>
      </c>
      <c r="AH57" s="278">
        <f>AH56/'01 - Dados de Entrada'!$C$257</f>
        <v>0.2742857142857143</v>
      </c>
      <c r="AI57" s="278">
        <f>AI56/'01 - Dados de Entrada'!$C$257</f>
        <v>0.2742857142857143</v>
      </c>
      <c r="AJ57" s="278">
        <f>AJ56/'01 - Dados de Entrada'!$C$257</f>
        <v>0.2742857142857143</v>
      </c>
      <c r="AK57" s="278">
        <f>AK56/'01 - Dados de Entrada'!$C$257</f>
        <v>0.2742857142857143</v>
      </c>
    </row>
    <row r="58" spans="1:37" s="152" customFormat="1" ht="13.15" customHeight="1" x14ac:dyDescent="0.2">
      <c r="A58" s="147" t="s">
        <v>985</v>
      </c>
      <c r="B58" s="275">
        <f t="shared" si="2"/>
        <v>107308.80000000008</v>
      </c>
      <c r="C58" s="275">
        <f>C57*'01 - Dados de Entrada'!$C$281</f>
        <v>3065.9657142857145</v>
      </c>
      <c r="D58" s="275">
        <f>D57*'01 - Dados de Entrada'!$C$281</f>
        <v>3065.9657142857145</v>
      </c>
      <c r="E58" s="275">
        <f>E57*'01 - Dados de Entrada'!$C$281</f>
        <v>3065.9657142857145</v>
      </c>
      <c r="F58" s="275">
        <f>F57*'01 - Dados de Entrada'!$C$281</f>
        <v>3065.9657142857145</v>
      </c>
      <c r="G58" s="275">
        <f>G57*'01 - Dados de Entrada'!$C$281</f>
        <v>3065.9657142857145</v>
      </c>
      <c r="H58" s="275">
        <f>H57*'01 - Dados de Entrada'!$C$281</f>
        <v>3065.9657142857145</v>
      </c>
      <c r="I58" s="275">
        <f>I57*'01 - Dados de Entrada'!$C$281</f>
        <v>3065.9657142857145</v>
      </c>
      <c r="J58" s="275">
        <f>J57*'01 - Dados de Entrada'!$C$281</f>
        <v>3065.9657142857145</v>
      </c>
      <c r="K58" s="275">
        <f>K57*'01 - Dados de Entrada'!$C$281</f>
        <v>3065.9657142857145</v>
      </c>
      <c r="L58" s="275">
        <f>L57*'01 - Dados de Entrada'!$C$281</f>
        <v>3065.9657142857145</v>
      </c>
      <c r="M58" s="275">
        <f>M57*'01 - Dados de Entrada'!$C$281</f>
        <v>3065.9657142857145</v>
      </c>
      <c r="N58" s="275">
        <f>N57*'01 - Dados de Entrada'!$C$281</f>
        <v>3065.9657142857145</v>
      </c>
      <c r="O58" s="275">
        <f>O57*'01 - Dados de Entrada'!$C$281</f>
        <v>3065.9657142857145</v>
      </c>
      <c r="P58" s="275">
        <f>P57*'01 - Dados de Entrada'!$C$281</f>
        <v>3065.9657142857145</v>
      </c>
      <c r="Q58" s="275">
        <f>Q57*'01 - Dados de Entrada'!$C$281</f>
        <v>3065.9657142857145</v>
      </c>
      <c r="R58" s="275">
        <f>R57*'01 - Dados de Entrada'!$C$281</f>
        <v>3065.9657142857145</v>
      </c>
      <c r="S58" s="275">
        <f>S57*'01 - Dados de Entrada'!$C$281</f>
        <v>3065.9657142857145</v>
      </c>
      <c r="T58" s="275">
        <f>T57*'01 - Dados de Entrada'!$C$281</f>
        <v>3065.9657142857145</v>
      </c>
      <c r="U58" s="275">
        <f>U57*'01 - Dados de Entrada'!$C$281</f>
        <v>3065.9657142857145</v>
      </c>
      <c r="V58" s="275">
        <f>V57*'01 - Dados de Entrada'!$C$281</f>
        <v>3065.9657142857145</v>
      </c>
      <c r="W58" s="275">
        <f>W57*'01 - Dados de Entrada'!$C$281</f>
        <v>3065.9657142857145</v>
      </c>
      <c r="X58" s="275">
        <f>X57*'01 - Dados de Entrada'!$C$281</f>
        <v>3065.9657142857145</v>
      </c>
      <c r="Y58" s="275">
        <f>Y57*'01 - Dados de Entrada'!$C$281</f>
        <v>3065.9657142857145</v>
      </c>
      <c r="Z58" s="275">
        <f>Z57*'01 - Dados de Entrada'!$C$281</f>
        <v>3065.9657142857145</v>
      </c>
      <c r="AA58" s="275">
        <f>AA57*'01 - Dados de Entrada'!$C$281</f>
        <v>3065.9657142857145</v>
      </c>
      <c r="AB58" s="275">
        <f>AB57*'01 - Dados de Entrada'!$C$281</f>
        <v>3065.9657142857145</v>
      </c>
      <c r="AC58" s="275">
        <f>AC57*'01 - Dados de Entrada'!$C$281</f>
        <v>3065.9657142857145</v>
      </c>
      <c r="AD58" s="275">
        <f>AD57*'01 - Dados de Entrada'!$C$281</f>
        <v>3065.9657142857145</v>
      </c>
      <c r="AE58" s="275">
        <f>AE57*'01 - Dados de Entrada'!$C$281</f>
        <v>3065.9657142857145</v>
      </c>
      <c r="AF58" s="275">
        <f>AF57*'01 - Dados de Entrada'!$C$281</f>
        <v>3065.9657142857145</v>
      </c>
      <c r="AG58" s="275">
        <f>AG57*'01 - Dados de Entrada'!$C$281</f>
        <v>3065.9657142857145</v>
      </c>
      <c r="AH58" s="275">
        <f>AH57*'01 - Dados de Entrada'!$C$281</f>
        <v>3065.9657142857145</v>
      </c>
      <c r="AI58" s="275">
        <f>AI57*'01 - Dados de Entrada'!$C$281</f>
        <v>3065.9657142857145</v>
      </c>
      <c r="AJ58" s="275">
        <f>AJ57*'01 - Dados de Entrada'!$C$281</f>
        <v>3065.9657142857145</v>
      </c>
      <c r="AK58" s="275">
        <f>AK57*'01 - Dados de Entrada'!$C$281</f>
        <v>3065.9657142857145</v>
      </c>
    </row>
    <row r="59" spans="1:37" s="152" customFormat="1" ht="13.15" customHeight="1" x14ac:dyDescent="0.2">
      <c r="A59" s="271" t="s">
        <v>991</v>
      </c>
      <c r="B59" s="275">
        <f t="shared" si="2"/>
        <v>0</v>
      </c>
      <c r="C59" s="346"/>
      <c r="D59" s="346"/>
      <c r="E59" s="346"/>
      <c r="F59" s="346"/>
      <c r="G59" s="346"/>
      <c r="H59" s="346"/>
      <c r="I59" s="346"/>
      <c r="J59" s="346"/>
      <c r="K59" s="346"/>
      <c r="L59" s="346"/>
      <c r="M59" s="346"/>
      <c r="N59" s="346"/>
      <c r="O59" s="346"/>
      <c r="P59" s="346"/>
      <c r="Q59" s="346"/>
      <c r="R59" s="346"/>
      <c r="S59" s="346"/>
      <c r="T59" s="346"/>
      <c r="U59" s="346"/>
      <c r="V59" s="346"/>
      <c r="W59" s="346"/>
      <c r="X59" s="346"/>
      <c r="Y59" s="346"/>
      <c r="Z59" s="346"/>
      <c r="AA59" s="346"/>
      <c r="AB59" s="346"/>
      <c r="AC59" s="346"/>
      <c r="AD59" s="346"/>
      <c r="AE59" s="346"/>
      <c r="AF59" s="346"/>
      <c r="AG59" s="346"/>
      <c r="AH59" s="346"/>
      <c r="AI59" s="346"/>
      <c r="AJ59" s="346"/>
      <c r="AK59" s="346"/>
    </row>
    <row r="60" spans="1:37" s="152" customFormat="1" ht="13.15" customHeight="1" x14ac:dyDescent="0.2">
      <c r="A60" s="147" t="s">
        <v>956</v>
      </c>
      <c r="B60" s="275">
        <f t="shared" si="2"/>
        <v>1680000</v>
      </c>
      <c r="C60" s="276">
        <f>12*'04 - Veículos e Equipamentos'!B52*'01 - Dados de Entrada'!$C$214</f>
        <v>48000</v>
      </c>
      <c r="D60" s="276">
        <f>12*'04 - Veículos e Equipamentos'!C52*'01 - Dados de Entrada'!$C$214</f>
        <v>48000</v>
      </c>
      <c r="E60" s="276">
        <f>12*'04 - Veículos e Equipamentos'!D52*'01 - Dados de Entrada'!$C$214</f>
        <v>48000</v>
      </c>
      <c r="F60" s="276">
        <f>12*'04 - Veículos e Equipamentos'!E52*'01 - Dados de Entrada'!$C$214</f>
        <v>48000</v>
      </c>
      <c r="G60" s="276">
        <f>12*'04 - Veículos e Equipamentos'!F52*'01 - Dados de Entrada'!$C$214</f>
        <v>48000</v>
      </c>
      <c r="H60" s="276">
        <f>12*'04 - Veículos e Equipamentos'!G52*'01 - Dados de Entrada'!$C$214</f>
        <v>48000</v>
      </c>
      <c r="I60" s="276">
        <f>12*'04 - Veículos e Equipamentos'!H52*'01 - Dados de Entrada'!$C$214</f>
        <v>48000</v>
      </c>
      <c r="J60" s="276">
        <f>12*'04 - Veículos e Equipamentos'!I52*'01 - Dados de Entrada'!$C$214</f>
        <v>48000</v>
      </c>
      <c r="K60" s="276">
        <f>12*'04 - Veículos e Equipamentos'!J52*'01 - Dados de Entrada'!$C$214</f>
        <v>48000</v>
      </c>
      <c r="L60" s="276">
        <f>12*'04 - Veículos e Equipamentos'!K52*'01 - Dados de Entrada'!$C$214</f>
        <v>48000</v>
      </c>
      <c r="M60" s="276">
        <f>12*'04 - Veículos e Equipamentos'!L52*'01 - Dados de Entrada'!$C$214</f>
        <v>48000</v>
      </c>
      <c r="N60" s="276">
        <f>12*'04 - Veículos e Equipamentos'!M52*'01 - Dados de Entrada'!$C$214</f>
        <v>48000</v>
      </c>
      <c r="O60" s="276">
        <f>12*'04 - Veículos e Equipamentos'!N52*'01 - Dados de Entrada'!$C$214</f>
        <v>48000</v>
      </c>
      <c r="P60" s="276">
        <f>12*'04 - Veículos e Equipamentos'!O52*'01 - Dados de Entrada'!$C$214</f>
        <v>48000</v>
      </c>
      <c r="Q60" s="276">
        <f>12*'04 - Veículos e Equipamentos'!P52*'01 - Dados de Entrada'!$C$214</f>
        <v>48000</v>
      </c>
      <c r="R60" s="276">
        <f>12*'04 - Veículos e Equipamentos'!Q52*'01 - Dados de Entrada'!$C$214</f>
        <v>48000</v>
      </c>
      <c r="S60" s="276">
        <f>12*'04 - Veículos e Equipamentos'!R52*'01 - Dados de Entrada'!$C$214</f>
        <v>48000</v>
      </c>
      <c r="T60" s="276">
        <f>12*'04 - Veículos e Equipamentos'!S52*'01 - Dados de Entrada'!$C$214</f>
        <v>48000</v>
      </c>
      <c r="U60" s="276">
        <f>12*'04 - Veículos e Equipamentos'!T52*'01 - Dados de Entrada'!$C$214</f>
        <v>48000</v>
      </c>
      <c r="V60" s="276">
        <f>12*'04 - Veículos e Equipamentos'!U52*'01 - Dados de Entrada'!$C$214</f>
        <v>48000</v>
      </c>
      <c r="W60" s="276">
        <f>12*'04 - Veículos e Equipamentos'!V52*'01 - Dados de Entrada'!$C$214</f>
        <v>48000</v>
      </c>
      <c r="X60" s="276">
        <f>12*'04 - Veículos e Equipamentos'!W52*'01 - Dados de Entrada'!$C$214</f>
        <v>48000</v>
      </c>
      <c r="Y60" s="276">
        <f>12*'04 - Veículos e Equipamentos'!X52*'01 - Dados de Entrada'!$C$214</f>
        <v>48000</v>
      </c>
      <c r="Z60" s="276">
        <f>12*'04 - Veículos e Equipamentos'!Y52*'01 - Dados de Entrada'!$C$214</f>
        <v>48000</v>
      </c>
      <c r="AA60" s="276">
        <f>12*'04 - Veículos e Equipamentos'!Z52*'01 - Dados de Entrada'!$C$214</f>
        <v>48000</v>
      </c>
      <c r="AB60" s="276">
        <f>12*'04 - Veículos e Equipamentos'!AA52*'01 - Dados de Entrada'!$C$214</f>
        <v>48000</v>
      </c>
      <c r="AC60" s="276">
        <f>12*'04 - Veículos e Equipamentos'!AB52*'01 - Dados de Entrada'!$C$214</f>
        <v>48000</v>
      </c>
      <c r="AD60" s="276">
        <f>12*'04 - Veículos e Equipamentos'!AC52*'01 - Dados de Entrada'!$C$214</f>
        <v>48000</v>
      </c>
      <c r="AE60" s="276">
        <f>12*'04 - Veículos e Equipamentos'!AD52*'01 - Dados de Entrada'!$C$214</f>
        <v>48000</v>
      </c>
      <c r="AF60" s="276">
        <f>12*'04 - Veículos e Equipamentos'!AE52*'01 - Dados de Entrada'!$C$214</f>
        <v>48000</v>
      </c>
      <c r="AG60" s="276">
        <f>12*'04 - Veículos e Equipamentos'!AF52*'01 - Dados de Entrada'!$C$214</f>
        <v>48000</v>
      </c>
      <c r="AH60" s="276">
        <f>12*'04 - Veículos e Equipamentos'!AG52*'01 - Dados de Entrada'!$C$214</f>
        <v>48000</v>
      </c>
      <c r="AI60" s="276">
        <f>12*'04 - Veículos e Equipamentos'!AH52*'01 - Dados de Entrada'!$C$214</f>
        <v>48000</v>
      </c>
      <c r="AJ60" s="276">
        <f>12*'04 - Veículos e Equipamentos'!AI52*'01 - Dados de Entrada'!$C$214</f>
        <v>48000</v>
      </c>
      <c r="AK60" s="276">
        <f>12*'04 - Veículos e Equipamentos'!AJ52*'01 - Dados de Entrada'!$C$214</f>
        <v>48000</v>
      </c>
    </row>
    <row r="61" spans="1:37" s="152" customFormat="1" ht="13.15" customHeight="1" x14ac:dyDescent="0.2">
      <c r="A61" s="147" t="s">
        <v>984</v>
      </c>
      <c r="B61" s="275">
        <f t="shared" si="2"/>
        <v>48.000000000000014</v>
      </c>
      <c r="C61" s="278">
        <f>C60/'01 - Dados de Entrada'!$C$257</f>
        <v>1.3714285714285714</v>
      </c>
      <c r="D61" s="278">
        <f>D60/'01 - Dados de Entrada'!$C$257</f>
        <v>1.3714285714285714</v>
      </c>
      <c r="E61" s="278">
        <f>E60/'01 - Dados de Entrada'!$C$257</f>
        <v>1.3714285714285714</v>
      </c>
      <c r="F61" s="278">
        <f>F60/'01 - Dados de Entrada'!$C$257</f>
        <v>1.3714285714285714</v>
      </c>
      <c r="G61" s="278">
        <f>G60/'01 - Dados de Entrada'!$C$257</f>
        <v>1.3714285714285714</v>
      </c>
      <c r="H61" s="278">
        <f>H60/'01 - Dados de Entrada'!$C$257</f>
        <v>1.3714285714285714</v>
      </c>
      <c r="I61" s="278">
        <f>I60/'01 - Dados de Entrada'!$C$257</f>
        <v>1.3714285714285714</v>
      </c>
      <c r="J61" s="278">
        <f>J60/'01 - Dados de Entrada'!$C$257</f>
        <v>1.3714285714285714</v>
      </c>
      <c r="K61" s="278">
        <f>K60/'01 - Dados de Entrada'!$C$257</f>
        <v>1.3714285714285714</v>
      </c>
      <c r="L61" s="278">
        <f>L60/'01 - Dados de Entrada'!$C$257</f>
        <v>1.3714285714285714</v>
      </c>
      <c r="M61" s="278">
        <f>M60/'01 - Dados de Entrada'!$C$257</f>
        <v>1.3714285714285714</v>
      </c>
      <c r="N61" s="278">
        <f>N60/'01 - Dados de Entrada'!$C$257</f>
        <v>1.3714285714285714</v>
      </c>
      <c r="O61" s="278">
        <f>O60/'01 - Dados de Entrada'!$C$257</f>
        <v>1.3714285714285714</v>
      </c>
      <c r="P61" s="278">
        <f>P60/'01 - Dados de Entrada'!$C$257</f>
        <v>1.3714285714285714</v>
      </c>
      <c r="Q61" s="278">
        <f>Q60/'01 - Dados de Entrada'!$C$257</f>
        <v>1.3714285714285714</v>
      </c>
      <c r="R61" s="278">
        <f>R60/'01 - Dados de Entrada'!$C$257</f>
        <v>1.3714285714285714</v>
      </c>
      <c r="S61" s="278">
        <f>S60/'01 - Dados de Entrada'!$C$257</f>
        <v>1.3714285714285714</v>
      </c>
      <c r="T61" s="278">
        <f>T60/'01 - Dados de Entrada'!$C$257</f>
        <v>1.3714285714285714</v>
      </c>
      <c r="U61" s="278">
        <f>U60/'01 - Dados de Entrada'!$C$257</f>
        <v>1.3714285714285714</v>
      </c>
      <c r="V61" s="278">
        <f>V60/'01 - Dados de Entrada'!$C$257</f>
        <v>1.3714285714285714</v>
      </c>
      <c r="W61" s="278">
        <f>W60/'01 - Dados de Entrada'!$C$257</f>
        <v>1.3714285714285714</v>
      </c>
      <c r="X61" s="278">
        <f>X60/'01 - Dados de Entrada'!$C$257</f>
        <v>1.3714285714285714</v>
      </c>
      <c r="Y61" s="278">
        <f>Y60/'01 - Dados de Entrada'!$C$257</f>
        <v>1.3714285714285714</v>
      </c>
      <c r="Z61" s="278">
        <f>Z60/'01 - Dados de Entrada'!$C$257</f>
        <v>1.3714285714285714</v>
      </c>
      <c r="AA61" s="278">
        <f>AA60/'01 - Dados de Entrada'!$C$257</f>
        <v>1.3714285714285714</v>
      </c>
      <c r="AB61" s="278">
        <f>AB60/'01 - Dados de Entrada'!$C$257</f>
        <v>1.3714285714285714</v>
      </c>
      <c r="AC61" s="278">
        <f>AC60/'01 - Dados de Entrada'!$C$257</f>
        <v>1.3714285714285714</v>
      </c>
      <c r="AD61" s="278">
        <f>AD60/'01 - Dados de Entrada'!$C$257</f>
        <v>1.3714285714285714</v>
      </c>
      <c r="AE61" s="278">
        <f>AE60/'01 - Dados de Entrada'!$C$257</f>
        <v>1.3714285714285714</v>
      </c>
      <c r="AF61" s="278">
        <f>AF60/'01 - Dados de Entrada'!$C$257</f>
        <v>1.3714285714285714</v>
      </c>
      <c r="AG61" s="278">
        <f>AG60/'01 - Dados de Entrada'!$C$257</f>
        <v>1.3714285714285714</v>
      </c>
      <c r="AH61" s="278">
        <f>AH60/'01 - Dados de Entrada'!$C$257</f>
        <v>1.3714285714285714</v>
      </c>
      <c r="AI61" s="278">
        <f>AI60/'01 - Dados de Entrada'!$C$257</f>
        <v>1.3714285714285714</v>
      </c>
      <c r="AJ61" s="278">
        <f>AJ60/'01 - Dados de Entrada'!$C$257</f>
        <v>1.3714285714285714</v>
      </c>
      <c r="AK61" s="278">
        <f>AK60/'01 - Dados de Entrada'!$C$257</f>
        <v>1.3714285714285714</v>
      </c>
    </row>
    <row r="62" spans="1:37" s="152" customFormat="1" ht="13.15" customHeight="1" x14ac:dyDescent="0.2">
      <c r="A62" s="147" t="s">
        <v>985</v>
      </c>
      <c r="B62" s="275">
        <f t="shared" si="2"/>
        <v>357696</v>
      </c>
      <c r="C62" s="275">
        <f>C61*'01 - Dados de Entrada'!$C$282</f>
        <v>10219.885714285714</v>
      </c>
      <c r="D62" s="275">
        <f>D61*'01 - Dados de Entrada'!$C$282</f>
        <v>10219.885714285714</v>
      </c>
      <c r="E62" s="275">
        <f>E61*'01 - Dados de Entrada'!$C$282</f>
        <v>10219.885714285714</v>
      </c>
      <c r="F62" s="275">
        <f>F61*'01 - Dados de Entrada'!$C$282</f>
        <v>10219.885714285714</v>
      </c>
      <c r="G62" s="275">
        <f>G61*'01 - Dados de Entrada'!$C$282</f>
        <v>10219.885714285714</v>
      </c>
      <c r="H62" s="275">
        <f>H61*'01 - Dados de Entrada'!$C$282</f>
        <v>10219.885714285714</v>
      </c>
      <c r="I62" s="275">
        <f>I61*'01 - Dados de Entrada'!$C$282</f>
        <v>10219.885714285714</v>
      </c>
      <c r="J62" s="275">
        <f>J61*'01 - Dados de Entrada'!$C$282</f>
        <v>10219.885714285714</v>
      </c>
      <c r="K62" s="275">
        <f>K61*'01 - Dados de Entrada'!$C$282</f>
        <v>10219.885714285714</v>
      </c>
      <c r="L62" s="275">
        <f>L61*'01 - Dados de Entrada'!$C$282</f>
        <v>10219.885714285714</v>
      </c>
      <c r="M62" s="275">
        <f>M61*'01 - Dados de Entrada'!$C$282</f>
        <v>10219.885714285714</v>
      </c>
      <c r="N62" s="275">
        <f>N61*'01 - Dados de Entrada'!$C$282</f>
        <v>10219.885714285714</v>
      </c>
      <c r="O62" s="275">
        <f>O61*'01 - Dados de Entrada'!$C$282</f>
        <v>10219.885714285714</v>
      </c>
      <c r="P62" s="275">
        <f>P61*'01 - Dados de Entrada'!$C$282</f>
        <v>10219.885714285714</v>
      </c>
      <c r="Q62" s="275">
        <f>Q61*'01 - Dados de Entrada'!$C$282</f>
        <v>10219.885714285714</v>
      </c>
      <c r="R62" s="275">
        <f>R61*'01 - Dados de Entrada'!$C$282</f>
        <v>10219.885714285714</v>
      </c>
      <c r="S62" s="275">
        <f>S61*'01 - Dados de Entrada'!$C$282</f>
        <v>10219.885714285714</v>
      </c>
      <c r="T62" s="275">
        <f>T61*'01 - Dados de Entrada'!$C$282</f>
        <v>10219.885714285714</v>
      </c>
      <c r="U62" s="275">
        <f>U61*'01 - Dados de Entrada'!$C$282</f>
        <v>10219.885714285714</v>
      </c>
      <c r="V62" s="275">
        <f>V61*'01 - Dados de Entrada'!$C$282</f>
        <v>10219.885714285714</v>
      </c>
      <c r="W62" s="275">
        <f>W61*'01 - Dados de Entrada'!$C$282</f>
        <v>10219.885714285714</v>
      </c>
      <c r="X62" s="275">
        <f>X61*'01 - Dados de Entrada'!$C$282</f>
        <v>10219.885714285714</v>
      </c>
      <c r="Y62" s="275">
        <f>Y61*'01 - Dados de Entrada'!$C$282</f>
        <v>10219.885714285714</v>
      </c>
      <c r="Z62" s="275">
        <f>Z61*'01 - Dados de Entrada'!$C$282</f>
        <v>10219.885714285714</v>
      </c>
      <c r="AA62" s="275">
        <f>AA61*'01 - Dados de Entrada'!$C$282</f>
        <v>10219.885714285714</v>
      </c>
      <c r="AB62" s="275">
        <f>AB61*'01 - Dados de Entrada'!$C$282</f>
        <v>10219.885714285714</v>
      </c>
      <c r="AC62" s="275">
        <f>AC61*'01 - Dados de Entrada'!$C$282</f>
        <v>10219.885714285714</v>
      </c>
      <c r="AD62" s="275">
        <f>AD61*'01 - Dados de Entrada'!$C$282</f>
        <v>10219.885714285714</v>
      </c>
      <c r="AE62" s="275">
        <f>AE61*'01 - Dados de Entrada'!$C$282</f>
        <v>10219.885714285714</v>
      </c>
      <c r="AF62" s="275">
        <f>AF61*'01 - Dados de Entrada'!$C$282</f>
        <v>10219.885714285714</v>
      </c>
      <c r="AG62" s="275">
        <f>AG61*'01 - Dados de Entrada'!$C$282</f>
        <v>10219.885714285714</v>
      </c>
      <c r="AH62" s="275">
        <f>AH61*'01 - Dados de Entrada'!$C$282</f>
        <v>10219.885714285714</v>
      </c>
      <c r="AI62" s="275">
        <f>AI61*'01 - Dados de Entrada'!$C$282</f>
        <v>10219.885714285714</v>
      </c>
      <c r="AJ62" s="275">
        <f>AJ61*'01 - Dados de Entrada'!$C$282</f>
        <v>10219.885714285714</v>
      </c>
      <c r="AK62" s="275">
        <f>AK61*'01 - Dados de Entrada'!$C$282</f>
        <v>10219.885714285714</v>
      </c>
    </row>
    <row r="63" spans="1:37" s="152" customFormat="1" ht="13.15" customHeight="1" x14ac:dyDescent="0.2">
      <c r="A63" s="271" t="s">
        <v>992</v>
      </c>
      <c r="B63" s="275">
        <f t="shared" si="2"/>
        <v>0</v>
      </c>
      <c r="C63" s="346"/>
      <c r="D63" s="346"/>
      <c r="E63" s="346"/>
      <c r="F63" s="346"/>
      <c r="G63" s="346"/>
      <c r="H63" s="346"/>
      <c r="I63" s="346"/>
      <c r="J63" s="346"/>
      <c r="K63" s="346"/>
      <c r="L63" s="346"/>
      <c r="M63" s="346"/>
      <c r="N63" s="346"/>
      <c r="O63" s="346"/>
      <c r="P63" s="346"/>
      <c r="Q63" s="346"/>
      <c r="R63" s="346"/>
      <c r="S63" s="346"/>
      <c r="T63" s="346"/>
      <c r="U63" s="346"/>
      <c r="V63" s="346"/>
      <c r="W63" s="346"/>
      <c r="X63" s="346"/>
      <c r="Y63" s="346"/>
      <c r="Z63" s="346"/>
      <c r="AA63" s="346"/>
      <c r="AB63" s="346"/>
      <c r="AC63" s="346"/>
      <c r="AD63" s="346"/>
      <c r="AE63" s="346"/>
      <c r="AF63" s="346"/>
      <c r="AG63" s="346"/>
      <c r="AH63" s="346"/>
      <c r="AI63" s="346"/>
      <c r="AJ63" s="346"/>
      <c r="AK63" s="346"/>
    </row>
    <row r="64" spans="1:37" s="152" customFormat="1" ht="13.15" customHeight="1" x14ac:dyDescent="0.2">
      <c r="A64" s="147" t="s">
        <v>956</v>
      </c>
      <c r="B64" s="275">
        <f t="shared" si="2"/>
        <v>740040</v>
      </c>
      <c r="C64" s="276">
        <f>12*'04 - Veículos e Equipamentos'!B53*'01 - Dados de Entrada'!$C$215</f>
        <v>21144</v>
      </c>
      <c r="D64" s="276">
        <f>12*'04 - Veículos e Equipamentos'!C53*'01 - Dados de Entrada'!$C$215</f>
        <v>21144</v>
      </c>
      <c r="E64" s="276">
        <f>12*'04 - Veículos e Equipamentos'!D53*'01 - Dados de Entrada'!$C$215</f>
        <v>21144</v>
      </c>
      <c r="F64" s="276">
        <f>12*'04 - Veículos e Equipamentos'!E53*'01 - Dados de Entrada'!$C$215</f>
        <v>21144</v>
      </c>
      <c r="G64" s="276">
        <f>12*'04 - Veículos e Equipamentos'!F53*'01 - Dados de Entrada'!$C$215</f>
        <v>21144</v>
      </c>
      <c r="H64" s="276">
        <f>12*'04 - Veículos e Equipamentos'!G53*'01 - Dados de Entrada'!$C$215</f>
        <v>21144</v>
      </c>
      <c r="I64" s="276">
        <f>12*'04 - Veículos e Equipamentos'!H53*'01 - Dados de Entrada'!$C$215</f>
        <v>21144</v>
      </c>
      <c r="J64" s="276">
        <f>12*'04 - Veículos e Equipamentos'!I53*'01 - Dados de Entrada'!$C$215</f>
        <v>21144</v>
      </c>
      <c r="K64" s="276">
        <f>12*'04 - Veículos e Equipamentos'!J53*'01 - Dados de Entrada'!$C$215</f>
        <v>21144</v>
      </c>
      <c r="L64" s="276">
        <f>12*'04 - Veículos e Equipamentos'!K53*'01 - Dados de Entrada'!$C$215</f>
        <v>21144</v>
      </c>
      <c r="M64" s="276">
        <f>12*'04 - Veículos e Equipamentos'!L53*'01 - Dados de Entrada'!$C$215</f>
        <v>21144</v>
      </c>
      <c r="N64" s="276">
        <f>12*'04 - Veículos e Equipamentos'!M53*'01 - Dados de Entrada'!$C$215</f>
        <v>21144</v>
      </c>
      <c r="O64" s="276">
        <f>12*'04 - Veículos e Equipamentos'!N53*'01 - Dados de Entrada'!$C$215</f>
        <v>21144</v>
      </c>
      <c r="P64" s="276">
        <f>12*'04 - Veículos e Equipamentos'!O53*'01 - Dados de Entrada'!$C$215</f>
        <v>21144</v>
      </c>
      <c r="Q64" s="276">
        <f>12*'04 - Veículos e Equipamentos'!P53*'01 - Dados de Entrada'!$C$215</f>
        <v>21144</v>
      </c>
      <c r="R64" s="276">
        <f>12*'04 - Veículos e Equipamentos'!Q53*'01 - Dados de Entrada'!$C$215</f>
        <v>21144</v>
      </c>
      <c r="S64" s="276">
        <f>12*'04 - Veículos e Equipamentos'!R53*'01 - Dados de Entrada'!$C$215</f>
        <v>21144</v>
      </c>
      <c r="T64" s="276">
        <f>12*'04 - Veículos e Equipamentos'!S53*'01 - Dados de Entrada'!$C$215</f>
        <v>21144</v>
      </c>
      <c r="U64" s="276">
        <f>12*'04 - Veículos e Equipamentos'!T53*'01 - Dados de Entrada'!$C$215</f>
        <v>21144</v>
      </c>
      <c r="V64" s="276">
        <f>12*'04 - Veículos e Equipamentos'!U53*'01 - Dados de Entrada'!$C$215</f>
        <v>21144</v>
      </c>
      <c r="W64" s="276">
        <f>12*'04 - Veículos e Equipamentos'!V53*'01 - Dados de Entrada'!$C$215</f>
        <v>21144</v>
      </c>
      <c r="X64" s="276">
        <f>12*'04 - Veículos e Equipamentos'!W53*'01 - Dados de Entrada'!$C$215</f>
        <v>21144</v>
      </c>
      <c r="Y64" s="276">
        <f>12*'04 - Veículos e Equipamentos'!X53*'01 - Dados de Entrada'!$C$215</f>
        <v>21144</v>
      </c>
      <c r="Z64" s="276">
        <f>12*'04 - Veículos e Equipamentos'!Y53*'01 - Dados de Entrada'!$C$215</f>
        <v>21144</v>
      </c>
      <c r="AA64" s="276">
        <f>12*'04 - Veículos e Equipamentos'!Z53*'01 - Dados de Entrada'!$C$215</f>
        <v>21144</v>
      </c>
      <c r="AB64" s="276">
        <f>12*'04 - Veículos e Equipamentos'!AA53*'01 - Dados de Entrada'!$C$215</f>
        <v>21144</v>
      </c>
      <c r="AC64" s="276">
        <f>12*'04 - Veículos e Equipamentos'!AB53*'01 - Dados de Entrada'!$C$215</f>
        <v>21144</v>
      </c>
      <c r="AD64" s="276">
        <f>12*'04 - Veículos e Equipamentos'!AC53*'01 - Dados de Entrada'!$C$215</f>
        <v>21144</v>
      </c>
      <c r="AE64" s="276">
        <f>12*'04 - Veículos e Equipamentos'!AD53*'01 - Dados de Entrada'!$C$215</f>
        <v>21144</v>
      </c>
      <c r="AF64" s="276">
        <f>12*'04 - Veículos e Equipamentos'!AE53*'01 - Dados de Entrada'!$C$215</f>
        <v>21144</v>
      </c>
      <c r="AG64" s="276">
        <f>12*'04 - Veículos e Equipamentos'!AF53*'01 - Dados de Entrada'!$C$215</f>
        <v>21144</v>
      </c>
      <c r="AH64" s="276">
        <f>12*'04 - Veículos e Equipamentos'!AG53*'01 - Dados de Entrada'!$C$215</f>
        <v>21144</v>
      </c>
      <c r="AI64" s="276">
        <f>12*'04 - Veículos e Equipamentos'!AH53*'01 - Dados de Entrada'!$C$215</f>
        <v>21144</v>
      </c>
      <c r="AJ64" s="276">
        <f>12*'04 - Veículos e Equipamentos'!AI53*'01 - Dados de Entrada'!$C$215</f>
        <v>21144</v>
      </c>
      <c r="AK64" s="276">
        <f>12*'04 - Veículos e Equipamentos'!AJ53*'01 - Dados de Entrada'!$C$215</f>
        <v>21144</v>
      </c>
    </row>
    <row r="65" spans="1:37" s="152" customFormat="1" ht="13.15" customHeight="1" x14ac:dyDescent="0.2">
      <c r="A65" s="147" t="s">
        <v>984</v>
      </c>
      <c r="B65" s="275">
        <f t="shared" si="2"/>
        <v>49.335999999999977</v>
      </c>
      <c r="C65" s="278">
        <f>C64/'01 - Dados de Entrada'!$C$261</f>
        <v>1.4096</v>
      </c>
      <c r="D65" s="278">
        <f>D64/'01 - Dados de Entrada'!$C$261</f>
        <v>1.4096</v>
      </c>
      <c r="E65" s="278">
        <f>E64/'01 - Dados de Entrada'!$C$261</f>
        <v>1.4096</v>
      </c>
      <c r="F65" s="278">
        <f>F64/'01 - Dados de Entrada'!$C$261</f>
        <v>1.4096</v>
      </c>
      <c r="G65" s="278">
        <f>G64/'01 - Dados de Entrada'!$C$261</f>
        <v>1.4096</v>
      </c>
      <c r="H65" s="278">
        <f>H64/'01 - Dados de Entrada'!$C$261</f>
        <v>1.4096</v>
      </c>
      <c r="I65" s="278">
        <f>I64/'01 - Dados de Entrada'!$C$261</f>
        <v>1.4096</v>
      </c>
      <c r="J65" s="278">
        <f>J64/'01 - Dados de Entrada'!$C$261</f>
        <v>1.4096</v>
      </c>
      <c r="K65" s="278">
        <f>K64/'01 - Dados de Entrada'!$C$261</f>
        <v>1.4096</v>
      </c>
      <c r="L65" s="278">
        <f>L64/'01 - Dados de Entrada'!$C$261</f>
        <v>1.4096</v>
      </c>
      <c r="M65" s="278">
        <f>M64/'01 - Dados de Entrada'!$C$261</f>
        <v>1.4096</v>
      </c>
      <c r="N65" s="278">
        <f>N64/'01 - Dados de Entrada'!$C$261</f>
        <v>1.4096</v>
      </c>
      <c r="O65" s="278">
        <f>O64/'01 - Dados de Entrada'!$C$261</f>
        <v>1.4096</v>
      </c>
      <c r="P65" s="278">
        <f>P64/'01 - Dados de Entrada'!$C$261</f>
        <v>1.4096</v>
      </c>
      <c r="Q65" s="278">
        <f>Q64/'01 - Dados de Entrada'!$C$261</f>
        <v>1.4096</v>
      </c>
      <c r="R65" s="278">
        <f>R64/'01 - Dados de Entrada'!$C$261</f>
        <v>1.4096</v>
      </c>
      <c r="S65" s="278">
        <f>S64/'01 - Dados de Entrada'!$C$261</f>
        <v>1.4096</v>
      </c>
      <c r="T65" s="278">
        <f>T64/'01 - Dados de Entrada'!$C$261</f>
        <v>1.4096</v>
      </c>
      <c r="U65" s="278">
        <f>U64/'01 - Dados de Entrada'!$C$261</f>
        <v>1.4096</v>
      </c>
      <c r="V65" s="278">
        <f>V64/'01 - Dados de Entrada'!$C$261</f>
        <v>1.4096</v>
      </c>
      <c r="W65" s="278">
        <f>W64/'01 - Dados de Entrada'!$C$261</f>
        <v>1.4096</v>
      </c>
      <c r="X65" s="278">
        <f>X64/'01 - Dados de Entrada'!$C$261</f>
        <v>1.4096</v>
      </c>
      <c r="Y65" s="278">
        <f>Y64/'01 - Dados de Entrada'!$C$261</f>
        <v>1.4096</v>
      </c>
      <c r="Z65" s="278">
        <f>Z64/'01 - Dados de Entrada'!$C$261</f>
        <v>1.4096</v>
      </c>
      <c r="AA65" s="278">
        <f>AA64/'01 - Dados de Entrada'!$C$261</f>
        <v>1.4096</v>
      </c>
      <c r="AB65" s="278">
        <f>AB64/'01 - Dados de Entrada'!$C$261</f>
        <v>1.4096</v>
      </c>
      <c r="AC65" s="278">
        <f>AC64/'01 - Dados de Entrada'!$C$261</f>
        <v>1.4096</v>
      </c>
      <c r="AD65" s="278">
        <f>AD64/'01 - Dados de Entrada'!$C$261</f>
        <v>1.4096</v>
      </c>
      <c r="AE65" s="278">
        <f>AE64/'01 - Dados de Entrada'!$C$261</f>
        <v>1.4096</v>
      </c>
      <c r="AF65" s="278">
        <f>AF64/'01 - Dados de Entrada'!$C$261</f>
        <v>1.4096</v>
      </c>
      <c r="AG65" s="278">
        <f>AG64/'01 - Dados de Entrada'!$C$261</f>
        <v>1.4096</v>
      </c>
      <c r="AH65" s="278">
        <f>AH64/'01 - Dados de Entrada'!$C$261</f>
        <v>1.4096</v>
      </c>
      <c r="AI65" s="278">
        <f>AI64/'01 - Dados de Entrada'!$C$261</f>
        <v>1.4096</v>
      </c>
      <c r="AJ65" s="278">
        <f>AJ64/'01 - Dados de Entrada'!$C$261</f>
        <v>1.4096</v>
      </c>
      <c r="AK65" s="278">
        <f>AK64/'01 - Dados de Entrada'!$C$261</f>
        <v>1.4096</v>
      </c>
    </row>
    <row r="66" spans="1:37" s="152" customFormat="1" ht="13.15" customHeight="1" x14ac:dyDescent="0.2">
      <c r="A66" s="147" t="s">
        <v>985</v>
      </c>
      <c r="B66" s="275">
        <f t="shared" si="2"/>
        <v>21268.468976831984</v>
      </c>
      <c r="C66" s="275">
        <f>C65*'01 - Dados de Entrada'!$C$287</f>
        <v>607.67054219520003</v>
      </c>
      <c r="D66" s="275">
        <f>D65*'01 - Dados de Entrada'!$C$287</f>
        <v>607.67054219520003</v>
      </c>
      <c r="E66" s="275">
        <f>E65*'01 - Dados de Entrada'!$C$287</f>
        <v>607.67054219520003</v>
      </c>
      <c r="F66" s="275">
        <f>F65*'01 - Dados de Entrada'!$C$287</f>
        <v>607.67054219520003</v>
      </c>
      <c r="G66" s="275">
        <f>G65*'01 - Dados de Entrada'!$C$287</f>
        <v>607.67054219520003</v>
      </c>
      <c r="H66" s="275">
        <f>H65*'01 - Dados de Entrada'!$C$287</f>
        <v>607.67054219520003</v>
      </c>
      <c r="I66" s="275">
        <f>I65*'01 - Dados de Entrada'!$C$287</f>
        <v>607.67054219520003</v>
      </c>
      <c r="J66" s="275">
        <f>J65*'01 - Dados de Entrada'!$C$287</f>
        <v>607.67054219520003</v>
      </c>
      <c r="K66" s="275">
        <f>K65*'01 - Dados de Entrada'!$C$287</f>
        <v>607.67054219520003</v>
      </c>
      <c r="L66" s="275">
        <f>L65*'01 - Dados de Entrada'!$C$287</f>
        <v>607.67054219520003</v>
      </c>
      <c r="M66" s="275">
        <f>M65*'01 - Dados de Entrada'!$C$287</f>
        <v>607.67054219520003</v>
      </c>
      <c r="N66" s="275">
        <f>N65*'01 - Dados de Entrada'!$C$287</f>
        <v>607.67054219520003</v>
      </c>
      <c r="O66" s="275">
        <f>O65*'01 - Dados de Entrada'!$C$287</f>
        <v>607.67054219520003</v>
      </c>
      <c r="P66" s="275">
        <f>P65*'01 - Dados de Entrada'!$C$287</f>
        <v>607.67054219520003</v>
      </c>
      <c r="Q66" s="275">
        <f>Q65*'01 - Dados de Entrada'!$C$287</f>
        <v>607.67054219520003</v>
      </c>
      <c r="R66" s="275">
        <f>R65*'01 - Dados de Entrada'!$C$287</f>
        <v>607.67054219520003</v>
      </c>
      <c r="S66" s="275">
        <f>S65*'01 - Dados de Entrada'!$C$287</f>
        <v>607.67054219520003</v>
      </c>
      <c r="T66" s="275">
        <f>T65*'01 - Dados de Entrada'!$C$287</f>
        <v>607.67054219520003</v>
      </c>
      <c r="U66" s="275">
        <f>U65*'01 - Dados de Entrada'!$C$287</f>
        <v>607.67054219520003</v>
      </c>
      <c r="V66" s="275">
        <f>V65*'01 - Dados de Entrada'!$C$287</f>
        <v>607.67054219520003</v>
      </c>
      <c r="W66" s="275">
        <f>W65*'01 - Dados de Entrada'!$C$287</f>
        <v>607.67054219520003</v>
      </c>
      <c r="X66" s="275">
        <f>X65*'01 - Dados de Entrada'!$C$287</f>
        <v>607.67054219520003</v>
      </c>
      <c r="Y66" s="275">
        <f>Y65*'01 - Dados de Entrada'!$C$287</f>
        <v>607.67054219520003</v>
      </c>
      <c r="Z66" s="275">
        <f>Z65*'01 - Dados de Entrada'!$C$287</f>
        <v>607.67054219520003</v>
      </c>
      <c r="AA66" s="275">
        <f>AA65*'01 - Dados de Entrada'!$C$287</f>
        <v>607.67054219520003</v>
      </c>
      <c r="AB66" s="275">
        <f>AB65*'01 - Dados de Entrada'!$C$287</f>
        <v>607.67054219520003</v>
      </c>
      <c r="AC66" s="275">
        <f>AC65*'01 - Dados de Entrada'!$C$287</f>
        <v>607.67054219520003</v>
      </c>
      <c r="AD66" s="275">
        <f>AD65*'01 - Dados de Entrada'!$C$287</f>
        <v>607.67054219520003</v>
      </c>
      <c r="AE66" s="275">
        <f>AE65*'01 - Dados de Entrada'!$C$287</f>
        <v>607.67054219520003</v>
      </c>
      <c r="AF66" s="275">
        <f>AF65*'01 - Dados de Entrada'!$C$287</f>
        <v>607.67054219520003</v>
      </c>
      <c r="AG66" s="275">
        <f>AG65*'01 - Dados de Entrada'!$C$287</f>
        <v>607.67054219520003</v>
      </c>
      <c r="AH66" s="275">
        <f>AH65*'01 - Dados de Entrada'!$C$287</f>
        <v>607.67054219520003</v>
      </c>
      <c r="AI66" s="275">
        <f>AI65*'01 - Dados de Entrada'!$C$287</f>
        <v>607.67054219520003</v>
      </c>
      <c r="AJ66" s="275">
        <f>AJ65*'01 - Dados de Entrada'!$C$287</f>
        <v>607.67054219520003</v>
      </c>
      <c r="AK66" s="275">
        <f>AK65*'01 - Dados de Entrada'!$C$287</f>
        <v>607.67054219520003</v>
      </c>
    </row>
    <row r="67" spans="1:37" customFormat="1" ht="13.15" customHeight="1" x14ac:dyDescent="0.2">
      <c r="A67" s="271" t="s">
        <v>954</v>
      </c>
    </row>
    <row r="68" spans="1:37" customFormat="1" ht="13.15" customHeight="1" x14ac:dyDescent="0.2">
      <c r="A68" s="147" t="s">
        <v>956</v>
      </c>
      <c r="B68" s="275">
        <f>SUM(C68:AK68)</f>
        <v>840000</v>
      </c>
      <c r="C68" s="273">
        <f>12*'01 - Dados de Entrada'!$C$216*'04 - Veículos e Equipamentos'!B55</f>
        <v>24000</v>
      </c>
      <c r="D68" s="273">
        <f>12*'01 - Dados de Entrada'!$C$216*'04 - Veículos e Equipamentos'!C55</f>
        <v>24000</v>
      </c>
      <c r="E68" s="273">
        <f>12*'01 - Dados de Entrada'!$C$216*'04 - Veículos e Equipamentos'!D55</f>
        <v>24000</v>
      </c>
      <c r="F68" s="273">
        <f>12*'01 - Dados de Entrada'!$C$216*'04 - Veículos e Equipamentos'!E55</f>
        <v>24000</v>
      </c>
      <c r="G68" s="273">
        <f>12*'01 - Dados de Entrada'!$C$216*'04 - Veículos e Equipamentos'!F55</f>
        <v>24000</v>
      </c>
      <c r="H68" s="273">
        <f>12*'01 - Dados de Entrada'!$C$216*'04 - Veículos e Equipamentos'!G55</f>
        <v>24000</v>
      </c>
      <c r="I68" s="273">
        <f>12*'01 - Dados de Entrada'!$C$216*'04 - Veículos e Equipamentos'!H55</f>
        <v>24000</v>
      </c>
      <c r="J68" s="273">
        <f>12*'01 - Dados de Entrada'!$C$216*'04 - Veículos e Equipamentos'!I55</f>
        <v>24000</v>
      </c>
      <c r="K68" s="273">
        <f>12*'01 - Dados de Entrada'!$C$216*'04 - Veículos e Equipamentos'!J55</f>
        <v>24000</v>
      </c>
      <c r="L68" s="273">
        <f>12*'01 - Dados de Entrada'!$C$216*'04 - Veículos e Equipamentos'!K55</f>
        <v>24000</v>
      </c>
      <c r="M68" s="273">
        <f>12*'01 - Dados de Entrada'!$C$216*'04 - Veículos e Equipamentos'!L55</f>
        <v>24000</v>
      </c>
      <c r="N68" s="273">
        <f>12*'01 - Dados de Entrada'!$C$216*'04 - Veículos e Equipamentos'!M55</f>
        <v>24000</v>
      </c>
      <c r="O68" s="273">
        <f>12*'01 - Dados de Entrada'!$C$216*'04 - Veículos e Equipamentos'!N55</f>
        <v>24000</v>
      </c>
      <c r="P68" s="273">
        <f>12*'01 - Dados de Entrada'!$C$216*'04 - Veículos e Equipamentos'!O55</f>
        <v>24000</v>
      </c>
      <c r="Q68" s="273">
        <f>12*'01 - Dados de Entrada'!$C$216*'04 - Veículos e Equipamentos'!P55</f>
        <v>24000</v>
      </c>
      <c r="R68" s="273">
        <f>12*'01 - Dados de Entrada'!$C$216*'04 - Veículos e Equipamentos'!Q55</f>
        <v>24000</v>
      </c>
      <c r="S68" s="273">
        <f>12*'01 - Dados de Entrada'!$C$216*'04 - Veículos e Equipamentos'!R55</f>
        <v>24000</v>
      </c>
      <c r="T68" s="273">
        <f>12*'01 - Dados de Entrada'!$C$216*'04 - Veículos e Equipamentos'!S55</f>
        <v>24000</v>
      </c>
      <c r="U68" s="273">
        <f>12*'01 - Dados de Entrada'!$C$216*'04 - Veículos e Equipamentos'!T55</f>
        <v>24000</v>
      </c>
      <c r="V68" s="273">
        <f>12*'01 - Dados de Entrada'!$C$216*'04 - Veículos e Equipamentos'!U55</f>
        <v>24000</v>
      </c>
      <c r="W68" s="273">
        <f>12*'01 - Dados de Entrada'!$C$216*'04 - Veículos e Equipamentos'!V55</f>
        <v>24000</v>
      </c>
      <c r="X68" s="273">
        <f>12*'01 - Dados de Entrada'!$C$216*'04 - Veículos e Equipamentos'!W55</f>
        <v>24000</v>
      </c>
      <c r="Y68" s="273">
        <f>12*'01 - Dados de Entrada'!$C$216*'04 - Veículos e Equipamentos'!X55</f>
        <v>24000</v>
      </c>
      <c r="Z68" s="273">
        <f>12*'01 - Dados de Entrada'!$C$216*'04 - Veículos e Equipamentos'!Y55</f>
        <v>24000</v>
      </c>
      <c r="AA68" s="273">
        <f>12*'01 - Dados de Entrada'!$C$216*'04 - Veículos e Equipamentos'!Z55</f>
        <v>24000</v>
      </c>
      <c r="AB68" s="273">
        <f>12*'01 - Dados de Entrada'!$C$216*'04 - Veículos e Equipamentos'!AA55</f>
        <v>24000</v>
      </c>
      <c r="AC68" s="273">
        <f>12*'01 - Dados de Entrada'!$C$216*'04 - Veículos e Equipamentos'!AB55</f>
        <v>24000</v>
      </c>
      <c r="AD68" s="273">
        <f>12*'01 - Dados de Entrada'!$C$216*'04 - Veículos e Equipamentos'!AC55</f>
        <v>24000</v>
      </c>
      <c r="AE68" s="273">
        <f>12*'01 - Dados de Entrada'!$C$216*'04 - Veículos e Equipamentos'!AD55</f>
        <v>24000</v>
      </c>
      <c r="AF68" s="273">
        <f>12*'01 - Dados de Entrada'!$C$216*'04 - Veículos e Equipamentos'!AE55</f>
        <v>24000</v>
      </c>
      <c r="AG68" s="273">
        <f>12*'01 - Dados de Entrada'!$C$216*'04 - Veículos e Equipamentos'!AF55</f>
        <v>24000</v>
      </c>
      <c r="AH68" s="273">
        <f>12*'01 - Dados de Entrada'!$C$216*'04 - Veículos e Equipamentos'!AG55</f>
        <v>24000</v>
      </c>
      <c r="AI68" s="273">
        <f>12*'01 - Dados de Entrada'!$C$216*'04 - Veículos e Equipamentos'!AH55</f>
        <v>24000</v>
      </c>
      <c r="AJ68" s="273">
        <f>12*'01 - Dados de Entrada'!$C$216*'04 - Veículos e Equipamentos'!AI55</f>
        <v>24000</v>
      </c>
      <c r="AK68" s="273">
        <f>12*'01 - Dados de Entrada'!$C$216*'04 - Veículos e Equipamentos'!AJ55</f>
        <v>24000</v>
      </c>
    </row>
    <row r="69" spans="1:37" customFormat="1" ht="13.15" customHeight="1" x14ac:dyDescent="0.2">
      <c r="A69" s="147" t="s">
        <v>984</v>
      </c>
      <c r="B69" s="275">
        <f>SUM(C69:AK69)</f>
        <v>16.800000000000011</v>
      </c>
      <c r="C69" s="278">
        <f>C68/'01 - Dados de Entrada'!$C$256</f>
        <v>0.48</v>
      </c>
      <c r="D69" s="278">
        <f>D68/'01 - Dados de Entrada'!$C$256</f>
        <v>0.48</v>
      </c>
      <c r="E69" s="278">
        <f>E68/'01 - Dados de Entrada'!$C$256</f>
        <v>0.48</v>
      </c>
      <c r="F69" s="278">
        <f>F68/'01 - Dados de Entrada'!$C$256</f>
        <v>0.48</v>
      </c>
      <c r="G69" s="278">
        <f>G68/'01 - Dados de Entrada'!$C$256</f>
        <v>0.48</v>
      </c>
      <c r="H69" s="278">
        <f>H68/'01 - Dados de Entrada'!$C$256</f>
        <v>0.48</v>
      </c>
      <c r="I69" s="278">
        <f>I68/'01 - Dados de Entrada'!$C$256</f>
        <v>0.48</v>
      </c>
      <c r="J69" s="278">
        <f>J68/'01 - Dados de Entrada'!$C$256</f>
        <v>0.48</v>
      </c>
      <c r="K69" s="278">
        <f>K68/'01 - Dados de Entrada'!$C$256</f>
        <v>0.48</v>
      </c>
      <c r="L69" s="278">
        <f>L68/'01 - Dados de Entrada'!$C$256</f>
        <v>0.48</v>
      </c>
      <c r="M69" s="278">
        <f>M68/'01 - Dados de Entrada'!$C$256</f>
        <v>0.48</v>
      </c>
      <c r="N69" s="278">
        <f>N68/'01 - Dados de Entrada'!$C$256</f>
        <v>0.48</v>
      </c>
      <c r="O69" s="278">
        <f>O68/'01 - Dados de Entrada'!$C$256</f>
        <v>0.48</v>
      </c>
      <c r="P69" s="278">
        <f>P68/'01 - Dados de Entrada'!$C$256</f>
        <v>0.48</v>
      </c>
      <c r="Q69" s="278">
        <f>Q68/'01 - Dados de Entrada'!$C$256</f>
        <v>0.48</v>
      </c>
      <c r="R69" s="278">
        <f>R68/'01 - Dados de Entrada'!$C$256</f>
        <v>0.48</v>
      </c>
      <c r="S69" s="278">
        <f>S68/'01 - Dados de Entrada'!$C$256</f>
        <v>0.48</v>
      </c>
      <c r="T69" s="278">
        <f>T68/'01 - Dados de Entrada'!$C$256</f>
        <v>0.48</v>
      </c>
      <c r="U69" s="278">
        <f>U68/'01 - Dados de Entrada'!$C$256</f>
        <v>0.48</v>
      </c>
      <c r="V69" s="278">
        <f>V68/'01 - Dados de Entrada'!$C$256</f>
        <v>0.48</v>
      </c>
      <c r="W69" s="278">
        <f>W68/'01 - Dados de Entrada'!$C$256</f>
        <v>0.48</v>
      </c>
      <c r="X69" s="278">
        <f>X68/'01 - Dados de Entrada'!$C$256</f>
        <v>0.48</v>
      </c>
      <c r="Y69" s="278">
        <f>Y68/'01 - Dados de Entrada'!$C$256</f>
        <v>0.48</v>
      </c>
      <c r="Z69" s="278">
        <f>Z68/'01 - Dados de Entrada'!$C$256</f>
        <v>0.48</v>
      </c>
      <c r="AA69" s="278">
        <f>AA68/'01 - Dados de Entrada'!$C$256</f>
        <v>0.48</v>
      </c>
      <c r="AB69" s="278">
        <f>AB68/'01 - Dados de Entrada'!$C$256</f>
        <v>0.48</v>
      </c>
      <c r="AC69" s="278">
        <f>AC68/'01 - Dados de Entrada'!$C$256</f>
        <v>0.48</v>
      </c>
      <c r="AD69" s="278">
        <f>AD68/'01 - Dados de Entrada'!$C$256</f>
        <v>0.48</v>
      </c>
      <c r="AE69" s="278">
        <f>AE68/'01 - Dados de Entrada'!$C$256</f>
        <v>0.48</v>
      </c>
      <c r="AF69" s="278">
        <f>AF68/'01 - Dados de Entrada'!$C$256</f>
        <v>0.48</v>
      </c>
      <c r="AG69" s="278">
        <f>AG68/'01 - Dados de Entrada'!$C$256</f>
        <v>0.48</v>
      </c>
      <c r="AH69" s="278">
        <f>AH68/'01 - Dados de Entrada'!$C$256</f>
        <v>0.48</v>
      </c>
      <c r="AI69" s="278">
        <f>AI68/'01 - Dados de Entrada'!$C$256</f>
        <v>0.48</v>
      </c>
      <c r="AJ69" s="278">
        <f>AJ68/'01 - Dados de Entrada'!$C$256</f>
        <v>0.48</v>
      </c>
      <c r="AK69" s="278">
        <f>AK68/'01 - Dados de Entrada'!$C$256</f>
        <v>0.48</v>
      </c>
    </row>
    <row r="70" spans="1:37" customFormat="1" ht="13.15" customHeight="1" x14ac:dyDescent="0.2">
      <c r="A70" s="147" t="s">
        <v>985</v>
      </c>
      <c r="B70" s="275">
        <f>SUM(C70:AK70)</f>
        <v>493118.3293015394</v>
      </c>
      <c r="C70" s="275">
        <f>C69*'01 - Dados de Entrada'!$C$280</f>
        <v>14089.095122901119</v>
      </c>
      <c r="D70" s="275">
        <f>D69*'01 - Dados de Entrada'!$C$280</f>
        <v>14089.095122901119</v>
      </c>
      <c r="E70" s="275">
        <f>E69*'01 - Dados de Entrada'!$C$280</f>
        <v>14089.095122901119</v>
      </c>
      <c r="F70" s="275">
        <f>F69*'01 - Dados de Entrada'!$C$280</f>
        <v>14089.095122901119</v>
      </c>
      <c r="G70" s="275">
        <f>G69*'01 - Dados de Entrada'!$C$280</f>
        <v>14089.095122901119</v>
      </c>
      <c r="H70" s="275">
        <f>H69*'01 - Dados de Entrada'!$C$280</f>
        <v>14089.095122901119</v>
      </c>
      <c r="I70" s="275">
        <f>I69*'01 - Dados de Entrada'!$C$280</f>
        <v>14089.095122901119</v>
      </c>
      <c r="J70" s="275">
        <f>J69*'01 - Dados de Entrada'!$C$280</f>
        <v>14089.095122901119</v>
      </c>
      <c r="K70" s="275">
        <f>K69*'01 - Dados de Entrada'!$C$280</f>
        <v>14089.095122901119</v>
      </c>
      <c r="L70" s="275">
        <f>L69*'01 - Dados de Entrada'!$C$280</f>
        <v>14089.095122901119</v>
      </c>
      <c r="M70" s="275">
        <f>M69*'01 - Dados de Entrada'!$C$280</f>
        <v>14089.095122901119</v>
      </c>
      <c r="N70" s="275">
        <f>N69*'01 - Dados de Entrada'!$C$280</f>
        <v>14089.095122901119</v>
      </c>
      <c r="O70" s="275">
        <f>O69*'01 - Dados de Entrada'!$C$280</f>
        <v>14089.095122901119</v>
      </c>
      <c r="P70" s="275">
        <f>P69*'01 - Dados de Entrada'!$C$280</f>
        <v>14089.095122901119</v>
      </c>
      <c r="Q70" s="275">
        <f>Q69*'01 - Dados de Entrada'!$C$280</f>
        <v>14089.095122901119</v>
      </c>
      <c r="R70" s="275">
        <f>R69*'01 - Dados de Entrada'!$C$280</f>
        <v>14089.095122901119</v>
      </c>
      <c r="S70" s="275">
        <f>S69*'01 - Dados de Entrada'!$C$280</f>
        <v>14089.095122901119</v>
      </c>
      <c r="T70" s="275">
        <f>T69*'01 - Dados de Entrada'!$C$280</f>
        <v>14089.095122901119</v>
      </c>
      <c r="U70" s="275">
        <f>U69*'01 - Dados de Entrada'!$C$280</f>
        <v>14089.095122901119</v>
      </c>
      <c r="V70" s="275">
        <f>V69*'01 - Dados de Entrada'!$C$280</f>
        <v>14089.095122901119</v>
      </c>
      <c r="W70" s="275">
        <f>W69*'01 - Dados de Entrada'!$C$280</f>
        <v>14089.095122901119</v>
      </c>
      <c r="X70" s="275">
        <f>X69*'01 - Dados de Entrada'!$C$280</f>
        <v>14089.095122901119</v>
      </c>
      <c r="Y70" s="275">
        <f>Y69*'01 - Dados de Entrada'!$C$280</f>
        <v>14089.095122901119</v>
      </c>
      <c r="Z70" s="275">
        <f>Z69*'01 - Dados de Entrada'!$C$280</f>
        <v>14089.095122901119</v>
      </c>
      <c r="AA70" s="275">
        <f>AA69*'01 - Dados de Entrada'!$C$280</f>
        <v>14089.095122901119</v>
      </c>
      <c r="AB70" s="275">
        <f>AB69*'01 - Dados de Entrada'!$C$280</f>
        <v>14089.095122901119</v>
      </c>
      <c r="AC70" s="275">
        <f>AC69*'01 - Dados de Entrada'!$C$280</f>
        <v>14089.095122901119</v>
      </c>
      <c r="AD70" s="275">
        <f>AD69*'01 - Dados de Entrada'!$C$280</f>
        <v>14089.095122901119</v>
      </c>
      <c r="AE70" s="275">
        <f>AE69*'01 - Dados de Entrada'!$C$280</f>
        <v>14089.095122901119</v>
      </c>
      <c r="AF70" s="275">
        <f>AF69*'01 - Dados de Entrada'!$C$280</f>
        <v>14089.095122901119</v>
      </c>
      <c r="AG70" s="275">
        <f>AG69*'01 - Dados de Entrada'!$C$280</f>
        <v>14089.095122901119</v>
      </c>
      <c r="AH70" s="275">
        <f>AH69*'01 - Dados de Entrada'!$C$280</f>
        <v>14089.095122901119</v>
      </c>
      <c r="AI70" s="275">
        <f>AI69*'01 - Dados de Entrada'!$C$280</f>
        <v>14089.095122901119</v>
      </c>
      <c r="AJ70" s="275">
        <f>AJ69*'01 - Dados de Entrada'!$C$280</f>
        <v>14089.095122901119</v>
      </c>
      <c r="AK70" s="275">
        <f>AK69*'01 - Dados de Entrada'!$C$280</f>
        <v>14089.095122901119</v>
      </c>
    </row>
    <row r="71" spans="1:37" customFormat="1" ht="13.15" customHeight="1" x14ac:dyDescent="0.2">
      <c r="A71" s="271" t="s">
        <v>955</v>
      </c>
    </row>
    <row r="72" spans="1:37" customFormat="1" ht="13.15" customHeight="1" x14ac:dyDescent="0.2">
      <c r="A72" s="147" t="s">
        <v>956</v>
      </c>
      <c r="B72" s="275">
        <f>SUM(C72:AK72)</f>
        <v>740040</v>
      </c>
      <c r="C72" s="273">
        <f>12*'01 - Dados de Entrada'!$C$217*'04 - Veículos e Equipamentos'!B56</f>
        <v>21144</v>
      </c>
      <c r="D72" s="273">
        <f>12*'01 - Dados de Entrada'!$C$217*'04 - Veículos e Equipamentos'!C56</f>
        <v>21144</v>
      </c>
      <c r="E72" s="273">
        <f>12*'01 - Dados de Entrada'!$C$217*'04 - Veículos e Equipamentos'!D56</f>
        <v>21144</v>
      </c>
      <c r="F72" s="273">
        <f>12*'01 - Dados de Entrada'!$C$217*'04 - Veículos e Equipamentos'!E56</f>
        <v>21144</v>
      </c>
      <c r="G72" s="273">
        <f>12*'01 - Dados de Entrada'!$C$217*'04 - Veículos e Equipamentos'!F56</f>
        <v>21144</v>
      </c>
      <c r="H72" s="273">
        <f>12*'01 - Dados de Entrada'!$C$217*'04 - Veículos e Equipamentos'!G56</f>
        <v>21144</v>
      </c>
      <c r="I72" s="273">
        <f>12*'01 - Dados de Entrada'!$C$217*'04 - Veículos e Equipamentos'!H56</f>
        <v>21144</v>
      </c>
      <c r="J72" s="273">
        <f>12*'01 - Dados de Entrada'!$C$217*'04 - Veículos e Equipamentos'!I56</f>
        <v>21144</v>
      </c>
      <c r="K72" s="273">
        <f>12*'01 - Dados de Entrada'!$C$217*'04 - Veículos e Equipamentos'!J56</f>
        <v>21144</v>
      </c>
      <c r="L72" s="273">
        <f>12*'01 - Dados de Entrada'!$C$217*'04 - Veículos e Equipamentos'!K56</f>
        <v>21144</v>
      </c>
      <c r="M72" s="273">
        <f>12*'01 - Dados de Entrada'!$C$217*'04 - Veículos e Equipamentos'!L56</f>
        <v>21144</v>
      </c>
      <c r="N72" s="273">
        <f>12*'01 - Dados de Entrada'!$C$217*'04 - Veículos e Equipamentos'!M56</f>
        <v>21144</v>
      </c>
      <c r="O72" s="273">
        <f>12*'01 - Dados de Entrada'!$C$217*'04 - Veículos e Equipamentos'!N56</f>
        <v>21144</v>
      </c>
      <c r="P72" s="273">
        <f>12*'01 - Dados de Entrada'!$C$217*'04 - Veículos e Equipamentos'!O56</f>
        <v>21144</v>
      </c>
      <c r="Q72" s="273">
        <f>12*'01 - Dados de Entrada'!$C$217*'04 - Veículos e Equipamentos'!P56</f>
        <v>21144</v>
      </c>
      <c r="R72" s="273">
        <f>12*'01 - Dados de Entrada'!$C$217*'04 - Veículos e Equipamentos'!Q56</f>
        <v>21144</v>
      </c>
      <c r="S72" s="273">
        <f>12*'01 - Dados de Entrada'!$C$217*'04 - Veículos e Equipamentos'!R56</f>
        <v>21144</v>
      </c>
      <c r="T72" s="273">
        <f>12*'01 - Dados de Entrada'!$C$217*'04 - Veículos e Equipamentos'!S56</f>
        <v>21144</v>
      </c>
      <c r="U72" s="273">
        <f>12*'01 - Dados de Entrada'!$C$217*'04 - Veículos e Equipamentos'!T56</f>
        <v>21144</v>
      </c>
      <c r="V72" s="273">
        <f>12*'01 - Dados de Entrada'!$C$217*'04 - Veículos e Equipamentos'!U56</f>
        <v>21144</v>
      </c>
      <c r="W72" s="273">
        <f>12*'01 - Dados de Entrada'!$C$217*'04 - Veículos e Equipamentos'!V56</f>
        <v>21144</v>
      </c>
      <c r="X72" s="273">
        <f>12*'01 - Dados de Entrada'!$C$217*'04 - Veículos e Equipamentos'!W56</f>
        <v>21144</v>
      </c>
      <c r="Y72" s="273">
        <f>12*'01 - Dados de Entrada'!$C$217*'04 - Veículos e Equipamentos'!X56</f>
        <v>21144</v>
      </c>
      <c r="Z72" s="273">
        <f>12*'01 - Dados de Entrada'!$C$217*'04 - Veículos e Equipamentos'!Y56</f>
        <v>21144</v>
      </c>
      <c r="AA72" s="273">
        <f>12*'01 - Dados de Entrada'!$C$217*'04 - Veículos e Equipamentos'!Z56</f>
        <v>21144</v>
      </c>
      <c r="AB72" s="273">
        <f>12*'01 - Dados de Entrada'!$C$217*'04 - Veículos e Equipamentos'!AA56</f>
        <v>21144</v>
      </c>
      <c r="AC72" s="273">
        <f>12*'01 - Dados de Entrada'!$C$217*'04 - Veículos e Equipamentos'!AB56</f>
        <v>21144</v>
      </c>
      <c r="AD72" s="273">
        <f>12*'01 - Dados de Entrada'!$C$217*'04 - Veículos e Equipamentos'!AC56</f>
        <v>21144</v>
      </c>
      <c r="AE72" s="273">
        <f>12*'01 - Dados de Entrada'!$C$217*'04 - Veículos e Equipamentos'!AD56</f>
        <v>21144</v>
      </c>
      <c r="AF72" s="273">
        <f>12*'01 - Dados de Entrada'!$C$217*'04 - Veículos e Equipamentos'!AE56</f>
        <v>21144</v>
      </c>
      <c r="AG72" s="273">
        <f>12*'01 - Dados de Entrada'!$C$217*'04 - Veículos e Equipamentos'!AF56</f>
        <v>21144</v>
      </c>
      <c r="AH72" s="273">
        <f>12*'01 - Dados de Entrada'!$C$217*'04 - Veículos e Equipamentos'!AG56</f>
        <v>21144</v>
      </c>
      <c r="AI72" s="273">
        <f>12*'01 - Dados de Entrada'!$C$217*'04 - Veículos e Equipamentos'!AH56</f>
        <v>21144</v>
      </c>
      <c r="AJ72" s="273">
        <f>12*'01 - Dados de Entrada'!$C$217*'04 - Veículos e Equipamentos'!AI56</f>
        <v>21144</v>
      </c>
      <c r="AK72" s="273">
        <f>12*'01 - Dados de Entrada'!$C$217*'04 - Veículos e Equipamentos'!AJ56</f>
        <v>21144</v>
      </c>
    </row>
    <row r="73" spans="1:37" customFormat="1" ht="13.15" customHeight="1" x14ac:dyDescent="0.2">
      <c r="A73" s="147" t="s">
        <v>984</v>
      </c>
      <c r="B73" s="275">
        <f>SUM(C73:AK73)</f>
        <v>21.143999999999991</v>
      </c>
      <c r="C73" s="278">
        <f>C72/'01 - Dados de Entrada'!$C$257</f>
        <v>0.60411428571428571</v>
      </c>
      <c r="D73" s="278">
        <f>D72/'01 - Dados de Entrada'!$C$257</f>
        <v>0.60411428571428571</v>
      </c>
      <c r="E73" s="278">
        <f>E72/'01 - Dados de Entrada'!$C$257</f>
        <v>0.60411428571428571</v>
      </c>
      <c r="F73" s="278">
        <f>F72/'01 - Dados de Entrada'!$C$257</f>
        <v>0.60411428571428571</v>
      </c>
      <c r="G73" s="278">
        <f>G72/'01 - Dados de Entrada'!$C$257</f>
        <v>0.60411428571428571</v>
      </c>
      <c r="H73" s="278">
        <f>H72/'01 - Dados de Entrada'!$C$257</f>
        <v>0.60411428571428571</v>
      </c>
      <c r="I73" s="278">
        <f>I72/'01 - Dados de Entrada'!$C$257</f>
        <v>0.60411428571428571</v>
      </c>
      <c r="J73" s="278">
        <f>J72/'01 - Dados de Entrada'!$C$257</f>
        <v>0.60411428571428571</v>
      </c>
      <c r="K73" s="278">
        <f>K72/'01 - Dados de Entrada'!$C$257</f>
        <v>0.60411428571428571</v>
      </c>
      <c r="L73" s="278">
        <f>L72/'01 - Dados de Entrada'!$C$257</f>
        <v>0.60411428571428571</v>
      </c>
      <c r="M73" s="278">
        <f>M72/'01 - Dados de Entrada'!$C$257</f>
        <v>0.60411428571428571</v>
      </c>
      <c r="N73" s="278">
        <f>N72/'01 - Dados de Entrada'!$C$257</f>
        <v>0.60411428571428571</v>
      </c>
      <c r="O73" s="278">
        <f>O72/'01 - Dados de Entrada'!$C$257</f>
        <v>0.60411428571428571</v>
      </c>
      <c r="P73" s="278">
        <f>P72/'01 - Dados de Entrada'!$C$257</f>
        <v>0.60411428571428571</v>
      </c>
      <c r="Q73" s="278">
        <f>Q72/'01 - Dados de Entrada'!$C$257</f>
        <v>0.60411428571428571</v>
      </c>
      <c r="R73" s="278">
        <f>R72/'01 - Dados de Entrada'!$C$257</f>
        <v>0.60411428571428571</v>
      </c>
      <c r="S73" s="278">
        <f>S72/'01 - Dados de Entrada'!$C$257</f>
        <v>0.60411428571428571</v>
      </c>
      <c r="T73" s="278">
        <f>T72/'01 - Dados de Entrada'!$C$257</f>
        <v>0.60411428571428571</v>
      </c>
      <c r="U73" s="278">
        <f>U72/'01 - Dados de Entrada'!$C$257</f>
        <v>0.60411428571428571</v>
      </c>
      <c r="V73" s="278">
        <f>V72/'01 - Dados de Entrada'!$C$257</f>
        <v>0.60411428571428571</v>
      </c>
      <c r="W73" s="278">
        <f>W72/'01 - Dados de Entrada'!$C$257</f>
        <v>0.60411428571428571</v>
      </c>
      <c r="X73" s="278">
        <f>X72/'01 - Dados de Entrada'!$C$257</f>
        <v>0.60411428571428571</v>
      </c>
      <c r="Y73" s="278">
        <f>Y72/'01 - Dados de Entrada'!$C$257</f>
        <v>0.60411428571428571</v>
      </c>
      <c r="Z73" s="278">
        <f>Z72/'01 - Dados de Entrada'!$C$257</f>
        <v>0.60411428571428571</v>
      </c>
      <c r="AA73" s="278">
        <f>AA72/'01 - Dados de Entrada'!$C$257</f>
        <v>0.60411428571428571</v>
      </c>
      <c r="AB73" s="278">
        <f>AB72/'01 - Dados de Entrada'!$C$257</f>
        <v>0.60411428571428571</v>
      </c>
      <c r="AC73" s="278">
        <f>AC72/'01 - Dados de Entrada'!$C$257</f>
        <v>0.60411428571428571</v>
      </c>
      <c r="AD73" s="278">
        <f>AD72/'01 - Dados de Entrada'!$C$257</f>
        <v>0.60411428571428571</v>
      </c>
      <c r="AE73" s="278">
        <f>AE72/'01 - Dados de Entrada'!$C$257</f>
        <v>0.60411428571428571</v>
      </c>
      <c r="AF73" s="278">
        <f>AF72/'01 - Dados de Entrada'!$C$257</f>
        <v>0.60411428571428571</v>
      </c>
      <c r="AG73" s="278">
        <f>AG72/'01 - Dados de Entrada'!$C$257</f>
        <v>0.60411428571428571</v>
      </c>
      <c r="AH73" s="278">
        <f>AH72/'01 - Dados de Entrada'!$C$257</f>
        <v>0.60411428571428571</v>
      </c>
      <c r="AI73" s="278">
        <f>AI72/'01 - Dados de Entrada'!$C$257</f>
        <v>0.60411428571428571</v>
      </c>
      <c r="AJ73" s="278">
        <f>AJ72/'01 - Dados de Entrada'!$C$257</f>
        <v>0.60411428571428571</v>
      </c>
      <c r="AK73" s="278">
        <f>AK72/'01 - Dados de Entrada'!$C$257</f>
        <v>0.60411428571428571</v>
      </c>
    </row>
    <row r="74" spans="1:37" customFormat="1" ht="13.15" customHeight="1" x14ac:dyDescent="0.2">
      <c r="A74" s="147" t="s">
        <v>985</v>
      </c>
      <c r="B74" s="275">
        <f>SUM(C74:AK74)</f>
        <v>157565.08800000013</v>
      </c>
      <c r="C74" s="275">
        <f>C73*'01 - Dados de Entrada'!$C$282</f>
        <v>4501.859657142857</v>
      </c>
      <c r="D74" s="275">
        <f>D73*'01 - Dados de Entrada'!$C$282</f>
        <v>4501.859657142857</v>
      </c>
      <c r="E74" s="275">
        <f>E73*'01 - Dados de Entrada'!$C$282</f>
        <v>4501.859657142857</v>
      </c>
      <c r="F74" s="275">
        <f>F73*'01 - Dados de Entrada'!$C$282</f>
        <v>4501.859657142857</v>
      </c>
      <c r="G74" s="275">
        <f>G73*'01 - Dados de Entrada'!$C$282</f>
        <v>4501.859657142857</v>
      </c>
      <c r="H74" s="275">
        <f>H73*'01 - Dados de Entrada'!$C$282</f>
        <v>4501.859657142857</v>
      </c>
      <c r="I74" s="275">
        <f>I73*'01 - Dados de Entrada'!$C$282</f>
        <v>4501.859657142857</v>
      </c>
      <c r="J74" s="275">
        <f>J73*'01 - Dados de Entrada'!$C$282</f>
        <v>4501.859657142857</v>
      </c>
      <c r="K74" s="275">
        <f>K73*'01 - Dados de Entrada'!$C$282</f>
        <v>4501.859657142857</v>
      </c>
      <c r="L74" s="275">
        <f>L73*'01 - Dados de Entrada'!$C$282</f>
        <v>4501.859657142857</v>
      </c>
      <c r="M74" s="275">
        <f>M73*'01 - Dados de Entrada'!$C$282</f>
        <v>4501.859657142857</v>
      </c>
      <c r="N74" s="275">
        <f>N73*'01 - Dados de Entrada'!$C$282</f>
        <v>4501.859657142857</v>
      </c>
      <c r="O74" s="275">
        <f>O73*'01 - Dados de Entrada'!$C$282</f>
        <v>4501.859657142857</v>
      </c>
      <c r="P74" s="275">
        <f>P73*'01 - Dados de Entrada'!$C$282</f>
        <v>4501.859657142857</v>
      </c>
      <c r="Q74" s="275">
        <f>Q73*'01 - Dados de Entrada'!$C$282</f>
        <v>4501.859657142857</v>
      </c>
      <c r="R74" s="275">
        <f>R73*'01 - Dados de Entrada'!$C$282</f>
        <v>4501.859657142857</v>
      </c>
      <c r="S74" s="275">
        <f>S73*'01 - Dados de Entrada'!$C$282</f>
        <v>4501.859657142857</v>
      </c>
      <c r="T74" s="275">
        <f>T73*'01 - Dados de Entrada'!$C$282</f>
        <v>4501.859657142857</v>
      </c>
      <c r="U74" s="275">
        <f>U73*'01 - Dados de Entrada'!$C$282</f>
        <v>4501.859657142857</v>
      </c>
      <c r="V74" s="275">
        <f>V73*'01 - Dados de Entrada'!$C$282</f>
        <v>4501.859657142857</v>
      </c>
      <c r="W74" s="275">
        <f>W73*'01 - Dados de Entrada'!$C$282</f>
        <v>4501.859657142857</v>
      </c>
      <c r="X74" s="275">
        <f>X73*'01 - Dados de Entrada'!$C$282</f>
        <v>4501.859657142857</v>
      </c>
      <c r="Y74" s="275">
        <f>Y73*'01 - Dados de Entrada'!$C$282</f>
        <v>4501.859657142857</v>
      </c>
      <c r="Z74" s="275">
        <f>Z73*'01 - Dados de Entrada'!$C$282</f>
        <v>4501.859657142857</v>
      </c>
      <c r="AA74" s="275">
        <f>AA73*'01 - Dados de Entrada'!$C$282</f>
        <v>4501.859657142857</v>
      </c>
      <c r="AB74" s="275">
        <f>AB73*'01 - Dados de Entrada'!$C$282</f>
        <v>4501.859657142857</v>
      </c>
      <c r="AC74" s="275">
        <f>AC73*'01 - Dados de Entrada'!$C$282</f>
        <v>4501.859657142857</v>
      </c>
      <c r="AD74" s="275">
        <f>AD73*'01 - Dados de Entrada'!$C$282</f>
        <v>4501.859657142857</v>
      </c>
      <c r="AE74" s="275">
        <f>AE73*'01 - Dados de Entrada'!$C$282</f>
        <v>4501.859657142857</v>
      </c>
      <c r="AF74" s="275">
        <f>AF73*'01 - Dados de Entrada'!$C$282</f>
        <v>4501.859657142857</v>
      </c>
      <c r="AG74" s="275">
        <f>AG73*'01 - Dados de Entrada'!$C$282</f>
        <v>4501.859657142857</v>
      </c>
      <c r="AH74" s="275">
        <f>AH73*'01 - Dados de Entrada'!$C$282</f>
        <v>4501.859657142857</v>
      </c>
      <c r="AI74" s="275">
        <f>AI73*'01 - Dados de Entrada'!$C$282</f>
        <v>4501.859657142857</v>
      </c>
      <c r="AJ74" s="275">
        <f>AJ73*'01 - Dados de Entrada'!$C$282</f>
        <v>4501.859657142857</v>
      </c>
      <c r="AK74" s="275">
        <f>AK73*'01 - Dados de Entrada'!$C$282</f>
        <v>4501.859657142857</v>
      </c>
    </row>
    <row r="75" spans="1:37" customFormat="1" ht="13.15" customHeight="1" x14ac:dyDescent="0.2">
      <c r="A75" s="271" t="s">
        <v>958</v>
      </c>
    </row>
    <row r="76" spans="1:37" customFormat="1" ht="13.15" customHeight="1" x14ac:dyDescent="0.2">
      <c r="A76" s="147" t="s">
        <v>956</v>
      </c>
      <c r="B76" s="275">
        <f>SUM(C76:AK76)</f>
        <v>370020</v>
      </c>
      <c r="C76" s="273">
        <f>12*'01 - Dados de Entrada'!$C$218*'04 - Veículos e Equipamentos'!B57</f>
        <v>10572</v>
      </c>
      <c r="D76" s="273">
        <f>12*'01 - Dados de Entrada'!$C$218*'04 - Veículos e Equipamentos'!C57</f>
        <v>10572</v>
      </c>
      <c r="E76" s="273">
        <f>12*'01 - Dados de Entrada'!$C$218*'04 - Veículos e Equipamentos'!D57</f>
        <v>10572</v>
      </c>
      <c r="F76" s="273">
        <f>12*'01 - Dados de Entrada'!$C$218*'04 - Veículos e Equipamentos'!E57</f>
        <v>10572</v>
      </c>
      <c r="G76" s="273">
        <f>12*'01 - Dados de Entrada'!$C$218*'04 - Veículos e Equipamentos'!F57</f>
        <v>10572</v>
      </c>
      <c r="H76" s="273">
        <f>12*'01 - Dados de Entrada'!$C$218*'04 - Veículos e Equipamentos'!G57</f>
        <v>10572</v>
      </c>
      <c r="I76" s="273">
        <f>12*'01 - Dados de Entrada'!$C$218*'04 - Veículos e Equipamentos'!H57</f>
        <v>10572</v>
      </c>
      <c r="J76" s="273">
        <f>12*'01 - Dados de Entrada'!$C$218*'04 - Veículos e Equipamentos'!I57</f>
        <v>10572</v>
      </c>
      <c r="K76" s="273">
        <f>12*'01 - Dados de Entrada'!$C$218*'04 - Veículos e Equipamentos'!J57</f>
        <v>10572</v>
      </c>
      <c r="L76" s="273">
        <f>12*'01 - Dados de Entrada'!$C$218*'04 - Veículos e Equipamentos'!K57</f>
        <v>10572</v>
      </c>
      <c r="M76" s="273">
        <f>12*'01 - Dados de Entrada'!$C$218*'04 - Veículos e Equipamentos'!L57</f>
        <v>10572</v>
      </c>
      <c r="N76" s="273">
        <f>12*'01 - Dados de Entrada'!$C$218*'04 - Veículos e Equipamentos'!M57</f>
        <v>10572</v>
      </c>
      <c r="O76" s="273">
        <f>12*'01 - Dados de Entrada'!$C$218*'04 - Veículos e Equipamentos'!N57</f>
        <v>10572</v>
      </c>
      <c r="P76" s="273">
        <f>12*'01 - Dados de Entrada'!$C$218*'04 - Veículos e Equipamentos'!O57</f>
        <v>10572</v>
      </c>
      <c r="Q76" s="273">
        <f>12*'01 - Dados de Entrada'!$C$218*'04 - Veículos e Equipamentos'!P57</f>
        <v>10572</v>
      </c>
      <c r="R76" s="273">
        <f>12*'01 - Dados de Entrada'!$C$218*'04 - Veículos e Equipamentos'!Q57</f>
        <v>10572</v>
      </c>
      <c r="S76" s="273">
        <f>12*'01 - Dados de Entrada'!$C$218*'04 - Veículos e Equipamentos'!R57</f>
        <v>10572</v>
      </c>
      <c r="T76" s="273">
        <f>12*'01 - Dados de Entrada'!$C$218*'04 - Veículos e Equipamentos'!S57</f>
        <v>10572</v>
      </c>
      <c r="U76" s="273">
        <f>12*'01 - Dados de Entrada'!$C$218*'04 - Veículos e Equipamentos'!T57</f>
        <v>10572</v>
      </c>
      <c r="V76" s="273">
        <f>12*'01 - Dados de Entrada'!$C$218*'04 - Veículos e Equipamentos'!U57</f>
        <v>10572</v>
      </c>
      <c r="W76" s="273">
        <f>12*'01 - Dados de Entrada'!$C$218*'04 - Veículos e Equipamentos'!V57</f>
        <v>10572</v>
      </c>
      <c r="X76" s="273">
        <f>12*'01 - Dados de Entrada'!$C$218*'04 - Veículos e Equipamentos'!W57</f>
        <v>10572</v>
      </c>
      <c r="Y76" s="273">
        <f>12*'01 - Dados de Entrada'!$C$218*'04 - Veículos e Equipamentos'!X57</f>
        <v>10572</v>
      </c>
      <c r="Z76" s="273">
        <f>12*'01 - Dados de Entrada'!$C$218*'04 - Veículos e Equipamentos'!Y57</f>
        <v>10572</v>
      </c>
      <c r="AA76" s="273">
        <f>12*'01 - Dados de Entrada'!$C$218*'04 - Veículos e Equipamentos'!Z57</f>
        <v>10572</v>
      </c>
      <c r="AB76" s="273">
        <f>12*'01 - Dados de Entrada'!$C$218*'04 - Veículos e Equipamentos'!AA57</f>
        <v>10572</v>
      </c>
      <c r="AC76" s="273">
        <f>12*'01 - Dados de Entrada'!$C$218*'04 - Veículos e Equipamentos'!AB57</f>
        <v>10572</v>
      </c>
      <c r="AD76" s="273">
        <f>12*'01 - Dados de Entrada'!$C$218*'04 - Veículos e Equipamentos'!AC57</f>
        <v>10572</v>
      </c>
      <c r="AE76" s="273">
        <f>12*'01 - Dados de Entrada'!$C$218*'04 - Veículos e Equipamentos'!AD57</f>
        <v>10572</v>
      </c>
      <c r="AF76" s="273">
        <f>12*'01 - Dados de Entrada'!$C$218*'04 - Veículos e Equipamentos'!AE57</f>
        <v>10572</v>
      </c>
      <c r="AG76" s="273">
        <f>12*'01 - Dados de Entrada'!$C$218*'04 - Veículos e Equipamentos'!AF57</f>
        <v>10572</v>
      </c>
      <c r="AH76" s="273">
        <f>12*'01 - Dados de Entrada'!$C$218*'04 - Veículos e Equipamentos'!AG57</f>
        <v>10572</v>
      </c>
      <c r="AI76" s="273">
        <f>12*'01 - Dados de Entrada'!$C$218*'04 - Veículos e Equipamentos'!AH57</f>
        <v>10572</v>
      </c>
      <c r="AJ76" s="273">
        <f>12*'01 - Dados de Entrada'!$C$218*'04 - Veículos e Equipamentos'!AI57</f>
        <v>10572</v>
      </c>
      <c r="AK76" s="273">
        <f>12*'01 - Dados de Entrada'!$C$218*'04 - Veículos e Equipamentos'!AJ57</f>
        <v>10572</v>
      </c>
    </row>
    <row r="77" spans="1:37" customFormat="1" ht="13.15" customHeight="1" x14ac:dyDescent="0.2">
      <c r="A77" s="147" t="s">
        <v>984</v>
      </c>
      <c r="B77" s="275">
        <f>SUM(C77:AK77)</f>
        <v>24.667999999999989</v>
      </c>
      <c r="C77" s="278">
        <f>C76/'01 - Dados de Entrada'!$C$261</f>
        <v>0.70479999999999998</v>
      </c>
      <c r="D77" s="278">
        <f>D76/'01 - Dados de Entrada'!$C$261</f>
        <v>0.70479999999999998</v>
      </c>
      <c r="E77" s="278">
        <f>E76/'01 - Dados de Entrada'!$C$261</f>
        <v>0.70479999999999998</v>
      </c>
      <c r="F77" s="278">
        <f>F76/'01 - Dados de Entrada'!$C$261</f>
        <v>0.70479999999999998</v>
      </c>
      <c r="G77" s="278">
        <f>G76/'01 - Dados de Entrada'!$C$261</f>
        <v>0.70479999999999998</v>
      </c>
      <c r="H77" s="278">
        <f>H76/'01 - Dados de Entrada'!$C$261</f>
        <v>0.70479999999999998</v>
      </c>
      <c r="I77" s="278">
        <f>I76/'01 - Dados de Entrada'!$C$261</f>
        <v>0.70479999999999998</v>
      </c>
      <c r="J77" s="278">
        <f>J76/'01 - Dados de Entrada'!$C$261</f>
        <v>0.70479999999999998</v>
      </c>
      <c r="K77" s="278">
        <f>K76/'01 - Dados de Entrada'!$C$261</f>
        <v>0.70479999999999998</v>
      </c>
      <c r="L77" s="278">
        <f>L76/'01 - Dados de Entrada'!$C$261</f>
        <v>0.70479999999999998</v>
      </c>
      <c r="M77" s="278">
        <f>M76/'01 - Dados de Entrada'!$C$261</f>
        <v>0.70479999999999998</v>
      </c>
      <c r="N77" s="278">
        <f>N76/'01 - Dados de Entrada'!$C$261</f>
        <v>0.70479999999999998</v>
      </c>
      <c r="O77" s="278">
        <f>O76/'01 - Dados de Entrada'!$C$261</f>
        <v>0.70479999999999998</v>
      </c>
      <c r="P77" s="278">
        <f>P76/'01 - Dados de Entrada'!$C$261</f>
        <v>0.70479999999999998</v>
      </c>
      <c r="Q77" s="278">
        <f>Q76/'01 - Dados de Entrada'!$C$261</f>
        <v>0.70479999999999998</v>
      </c>
      <c r="R77" s="278">
        <f>R76/'01 - Dados de Entrada'!$C$261</f>
        <v>0.70479999999999998</v>
      </c>
      <c r="S77" s="278">
        <f>S76/'01 - Dados de Entrada'!$C$261</f>
        <v>0.70479999999999998</v>
      </c>
      <c r="T77" s="278">
        <f>T76/'01 - Dados de Entrada'!$C$261</f>
        <v>0.70479999999999998</v>
      </c>
      <c r="U77" s="278">
        <f>U76/'01 - Dados de Entrada'!$C$261</f>
        <v>0.70479999999999998</v>
      </c>
      <c r="V77" s="278">
        <f>V76/'01 - Dados de Entrada'!$C$261</f>
        <v>0.70479999999999998</v>
      </c>
      <c r="W77" s="278">
        <f>W76/'01 - Dados de Entrada'!$C$261</f>
        <v>0.70479999999999998</v>
      </c>
      <c r="X77" s="278">
        <f>X76/'01 - Dados de Entrada'!$C$261</f>
        <v>0.70479999999999998</v>
      </c>
      <c r="Y77" s="278">
        <f>Y76/'01 - Dados de Entrada'!$C$261</f>
        <v>0.70479999999999998</v>
      </c>
      <c r="Z77" s="278">
        <f>Z76/'01 - Dados de Entrada'!$C$261</f>
        <v>0.70479999999999998</v>
      </c>
      <c r="AA77" s="278">
        <f>AA76/'01 - Dados de Entrada'!$C$261</f>
        <v>0.70479999999999998</v>
      </c>
      <c r="AB77" s="278">
        <f>AB76/'01 - Dados de Entrada'!$C$261</f>
        <v>0.70479999999999998</v>
      </c>
      <c r="AC77" s="278">
        <f>AC76/'01 - Dados de Entrada'!$C$261</f>
        <v>0.70479999999999998</v>
      </c>
      <c r="AD77" s="278">
        <f>AD76/'01 - Dados de Entrada'!$C$261</f>
        <v>0.70479999999999998</v>
      </c>
      <c r="AE77" s="278">
        <f>AE76/'01 - Dados de Entrada'!$C$261</f>
        <v>0.70479999999999998</v>
      </c>
      <c r="AF77" s="278">
        <f>AF76/'01 - Dados de Entrada'!$C$261</f>
        <v>0.70479999999999998</v>
      </c>
      <c r="AG77" s="278">
        <f>AG76/'01 - Dados de Entrada'!$C$261</f>
        <v>0.70479999999999998</v>
      </c>
      <c r="AH77" s="278">
        <f>AH76/'01 - Dados de Entrada'!$C$261</f>
        <v>0.70479999999999998</v>
      </c>
      <c r="AI77" s="278">
        <f>AI76/'01 - Dados de Entrada'!$C$261</f>
        <v>0.70479999999999998</v>
      </c>
      <c r="AJ77" s="278">
        <f>AJ76/'01 - Dados de Entrada'!$C$261</f>
        <v>0.70479999999999998</v>
      </c>
      <c r="AK77" s="278">
        <f>AK76/'01 - Dados de Entrada'!$C$261</f>
        <v>0.70479999999999998</v>
      </c>
    </row>
    <row r="78" spans="1:37" customFormat="1" ht="13.15" customHeight="1" x14ac:dyDescent="0.2">
      <c r="A78" s="147" t="s">
        <v>985</v>
      </c>
      <c r="B78" s="275">
        <f>SUM(C78:AK78)</f>
        <v>10634.234488415992</v>
      </c>
      <c r="C78" s="275">
        <f>C77*'01 - Dados de Entrada'!$C$287</f>
        <v>303.83527109760001</v>
      </c>
      <c r="D78" s="275">
        <f>D77*'01 - Dados de Entrada'!$C$287</f>
        <v>303.83527109760001</v>
      </c>
      <c r="E78" s="275">
        <f>E77*'01 - Dados de Entrada'!$C$287</f>
        <v>303.83527109760001</v>
      </c>
      <c r="F78" s="275">
        <f>F77*'01 - Dados de Entrada'!$C$287</f>
        <v>303.83527109760001</v>
      </c>
      <c r="G78" s="275">
        <f>G77*'01 - Dados de Entrada'!$C$287</f>
        <v>303.83527109760001</v>
      </c>
      <c r="H78" s="275">
        <f>H77*'01 - Dados de Entrada'!$C$287</f>
        <v>303.83527109760001</v>
      </c>
      <c r="I78" s="275">
        <f>I77*'01 - Dados de Entrada'!$C$287</f>
        <v>303.83527109760001</v>
      </c>
      <c r="J78" s="275">
        <f>J77*'01 - Dados de Entrada'!$C$287</f>
        <v>303.83527109760001</v>
      </c>
      <c r="K78" s="275">
        <f>K77*'01 - Dados de Entrada'!$C$287</f>
        <v>303.83527109760001</v>
      </c>
      <c r="L78" s="275">
        <f>L77*'01 - Dados de Entrada'!$C$287</f>
        <v>303.83527109760001</v>
      </c>
      <c r="M78" s="275">
        <f>M77*'01 - Dados de Entrada'!$C$287</f>
        <v>303.83527109760001</v>
      </c>
      <c r="N78" s="275">
        <f>N77*'01 - Dados de Entrada'!$C$287</f>
        <v>303.83527109760001</v>
      </c>
      <c r="O78" s="275">
        <f>O77*'01 - Dados de Entrada'!$C$287</f>
        <v>303.83527109760001</v>
      </c>
      <c r="P78" s="275">
        <f>P77*'01 - Dados de Entrada'!$C$287</f>
        <v>303.83527109760001</v>
      </c>
      <c r="Q78" s="275">
        <f>Q77*'01 - Dados de Entrada'!$C$287</f>
        <v>303.83527109760001</v>
      </c>
      <c r="R78" s="275">
        <f>R77*'01 - Dados de Entrada'!$C$287</f>
        <v>303.83527109760001</v>
      </c>
      <c r="S78" s="275">
        <f>S77*'01 - Dados de Entrada'!$C$287</f>
        <v>303.83527109760001</v>
      </c>
      <c r="T78" s="275">
        <f>T77*'01 - Dados de Entrada'!$C$287</f>
        <v>303.83527109760001</v>
      </c>
      <c r="U78" s="275">
        <f>U77*'01 - Dados de Entrada'!$C$287</f>
        <v>303.83527109760001</v>
      </c>
      <c r="V78" s="275">
        <f>V77*'01 - Dados de Entrada'!$C$287</f>
        <v>303.83527109760001</v>
      </c>
      <c r="W78" s="275">
        <f>W77*'01 - Dados de Entrada'!$C$287</f>
        <v>303.83527109760001</v>
      </c>
      <c r="X78" s="275">
        <f>X77*'01 - Dados de Entrada'!$C$287</f>
        <v>303.83527109760001</v>
      </c>
      <c r="Y78" s="275">
        <f>Y77*'01 - Dados de Entrada'!$C$287</f>
        <v>303.83527109760001</v>
      </c>
      <c r="Z78" s="275">
        <f>Z77*'01 - Dados de Entrada'!$C$287</f>
        <v>303.83527109760001</v>
      </c>
      <c r="AA78" s="275">
        <f>AA77*'01 - Dados de Entrada'!$C$287</f>
        <v>303.83527109760001</v>
      </c>
      <c r="AB78" s="275">
        <f>AB77*'01 - Dados de Entrada'!$C$287</f>
        <v>303.83527109760001</v>
      </c>
      <c r="AC78" s="275">
        <f>AC77*'01 - Dados de Entrada'!$C$287</f>
        <v>303.83527109760001</v>
      </c>
      <c r="AD78" s="275">
        <f>AD77*'01 - Dados de Entrada'!$C$287</f>
        <v>303.83527109760001</v>
      </c>
      <c r="AE78" s="275">
        <f>AE77*'01 - Dados de Entrada'!$C$287</f>
        <v>303.83527109760001</v>
      </c>
      <c r="AF78" s="275">
        <f>AF77*'01 - Dados de Entrada'!$C$287</f>
        <v>303.83527109760001</v>
      </c>
      <c r="AG78" s="275">
        <f>AG77*'01 - Dados de Entrada'!$C$287</f>
        <v>303.83527109760001</v>
      </c>
      <c r="AH78" s="275">
        <f>AH77*'01 - Dados de Entrada'!$C$287</f>
        <v>303.83527109760001</v>
      </c>
      <c r="AI78" s="275">
        <f>AI77*'01 - Dados de Entrada'!$C$287</f>
        <v>303.83527109760001</v>
      </c>
      <c r="AJ78" s="275">
        <f>AJ77*'01 - Dados de Entrada'!$C$287</f>
        <v>303.83527109760001</v>
      </c>
      <c r="AK78" s="275">
        <f>AK77*'01 - Dados de Entrada'!$C$287</f>
        <v>303.83527109760001</v>
      </c>
    </row>
    <row r="79" spans="1:37" customFormat="1" ht="13.15" customHeight="1" x14ac:dyDescent="0.2">
      <c r="A79" s="271" t="s">
        <v>959</v>
      </c>
      <c r="B79" s="275"/>
      <c r="C79" s="275"/>
      <c r="D79" s="275"/>
      <c r="E79" s="275"/>
      <c r="F79" s="275"/>
      <c r="G79" s="275"/>
      <c r="H79" s="275"/>
      <c r="I79" s="275"/>
      <c r="J79" s="275"/>
      <c r="K79" s="275"/>
      <c r="L79" s="275"/>
      <c r="M79" s="275"/>
      <c r="N79" s="275"/>
      <c r="O79" s="275"/>
      <c r="P79" s="275"/>
      <c r="Q79" s="275"/>
      <c r="R79" s="275"/>
      <c r="S79" s="275"/>
      <c r="T79" s="275"/>
      <c r="U79" s="275"/>
      <c r="V79" s="275"/>
      <c r="W79" s="275"/>
      <c r="X79" s="275"/>
      <c r="Y79" s="275"/>
      <c r="Z79" s="275"/>
      <c r="AA79" s="275"/>
      <c r="AB79" s="275"/>
      <c r="AC79" s="275"/>
      <c r="AD79" s="275"/>
      <c r="AE79" s="275"/>
      <c r="AF79" s="275"/>
      <c r="AG79" s="275"/>
      <c r="AH79" s="275"/>
      <c r="AI79" s="275"/>
      <c r="AJ79" s="275"/>
      <c r="AK79" s="275"/>
    </row>
    <row r="80" spans="1:37" customFormat="1" ht="13.15" customHeight="1" x14ac:dyDescent="0.2">
      <c r="A80" s="147" t="s">
        <v>956</v>
      </c>
      <c r="B80" s="275">
        <f>SUM(C80:AK80)</f>
        <v>196560</v>
      </c>
      <c r="C80" s="275">
        <f>12*'01 - Dados de Entrada'!$C$204*'04 - Veículos e Equipamentos'!B58</f>
        <v>5616</v>
      </c>
      <c r="D80" s="275">
        <f>12*'01 - Dados de Entrada'!$C$204*'04 - Veículos e Equipamentos'!C58</f>
        <v>5616</v>
      </c>
      <c r="E80" s="275">
        <f>12*'01 - Dados de Entrada'!$C$204*'04 - Veículos e Equipamentos'!D58</f>
        <v>5616</v>
      </c>
      <c r="F80" s="275">
        <f>12*'01 - Dados de Entrada'!$C$204*'04 - Veículos e Equipamentos'!E58</f>
        <v>5616</v>
      </c>
      <c r="G80" s="275">
        <f>12*'01 - Dados de Entrada'!$C$204*'04 - Veículos e Equipamentos'!F58</f>
        <v>5616</v>
      </c>
      <c r="H80" s="275">
        <f>12*'01 - Dados de Entrada'!$C$204*'04 - Veículos e Equipamentos'!G58</f>
        <v>5616</v>
      </c>
      <c r="I80" s="275">
        <f>12*'01 - Dados de Entrada'!$C$204*'04 - Veículos e Equipamentos'!H58</f>
        <v>5616</v>
      </c>
      <c r="J80" s="275">
        <f>12*'01 - Dados de Entrada'!$C$204*'04 - Veículos e Equipamentos'!I58</f>
        <v>5616</v>
      </c>
      <c r="K80" s="275">
        <f>12*'01 - Dados de Entrada'!$C$204*'04 - Veículos e Equipamentos'!J58</f>
        <v>5616</v>
      </c>
      <c r="L80" s="275">
        <f>12*'01 - Dados de Entrada'!$C$204*'04 - Veículos e Equipamentos'!K58</f>
        <v>5616</v>
      </c>
      <c r="M80" s="275">
        <f>12*'01 - Dados de Entrada'!$C$204*'04 - Veículos e Equipamentos'!L58</f>
        <v>5616</v>
      </c>
      <c r="N80" s="275">
        <f>12*'01 - Dados de Entrada'!$C$204*'04 - Veículos e Equipamentos'!M58</f>
        <v>5616</v>
      </c>
      <c r="O80" s="275">
        <f>12*'01 - Dados de Entrada'!$C$204*'04 - Veículos e Equipamentos'!N58</f>
        <v>5616</v>
      </c>
      <c r="P80" s="275">
        <f>12*'01 - Dados de Entrada'!$C$204*'04 - Veículos e Equipamentos'!O58</f>
        <v>5616</v>
      </c>
      <c r="Q80" s="275">
        <f>12*'01 - Dados de Entrada'!$C$204*'04 - Veículos e Equipamentos'!P58</f>
        <v>5616</v>
      </c>
      <c r="R80" s="275">
        <f>12*'01 - Dados de Entrada'!$C$204*'04 - Veículos e Equipamentos'!Q58</f>
        <v>5616</v>
      </c>
      <c r="S80" s="275">
        <f>12*'01 - Dados de Entrada'!$C$204*'04 - Veículos e Equipamentos'!R58</f>
        <v>5616</v>
      </c>
      <c r="T80" s="275">
        <f>12*'01 - Dados de Entrada'!$C$204*'04 - Veículos e Equipamentos'!S58</f>
        <v>5616</v>
      </c>
      <c r="U80" s="275">
        <f>12*'01 - Dados de Entrada'!$C$204*'04 - Veículos e Equipamentos'!T58</f>
        <v>5616</v>
      </c>
      <c r="V80" s="275">
        <f>12*'01 - Dados de Entrada'!$C$204*'04 - Veículos e Equipamentos'!U58</f>
        <v>5616</v>
      </c>
      <c r="W80" s="275">
        <f>12*'01 - Dados de Entrada'!$C$204*'04 - Veículos e Equipamentos'!V58</f>
        <v>5616</v>
      </c>
      <c r="X80" s="275">
        <f>12*'01 - Dados de Entrada'!$C$204*'04 - Veículos e Equipamentos'!W58</f>
        <v>5616</v>
      </c>
      <c r="Y80" s="275">
        <f>12*'01 - Dados de Entrada'!$C$204*'04 - Veículos e Equipamentos'!X58</f>
        <v>5616</v>
      </c>
      <c r="Z80" s="275">
        <f>12*'01 - Dados de Entrada'!$C$204*'04 - Veículos e Equipamentos'!Y58</f>
        <v>5616</v>
      </c>
      <c r="AA80" s="275">
        <f>12*'01 - Dados de Entrada'!$C$204*'04 - Veículos e Equipamentos'!Z58</f>
        <v>5616</v>
      </c>
      <c r="AB80" s="275">
        <f>12*'01 - Dados de Entrada'!$C$204*'04 - Veículos e Equipamentos'!AA58</f>
        <v>5616</v>
      </c>
      <c r="AC80" s="275">
        <f>12*'01 - Dados de Entrada'!$C$204*'04 - Veículos e Equipamentos'!AB58</f>
        <v>5616</v>
      </c>
      <c r="AD80" s="275">
        <f>12*'01 - Dados de Entrada'!$C$204*'04 - Veículos e Equipamentos'!AC58</f>
        <v>5616</v>
      </c>
      <c r="AE80" s="275">
        <f>12*'01 - Dados de Entrada'!$C$204*'04 - Veículos e Equipamentos'!AD58</f>
        <v>5616</v>
      </c>
      <c r="AF80" s="275">
        <f>12*'01 - Dados de Entrada'!$C$204*'04 - Veículos e Equipamentos'!AE58</f>
        <v>5616</v>
      </c>
      <c r="AG80" s="275">
        <f>12*'01 - Dados de Entrada'!$C$204*'04 - Veículos e Equipamentos'!AF58</f>
        <v>5616</v>
      </c>
      <c r="AH80" s="275">
        <f>12*'01 - Dados de Entrada'!$C$204*'04 - Veículos e Equipamentos'!AG58</f>
        <v>5616</v>
      </c>
      <c r="AI80" s="275">
        <f>12*'01 - Dados de Entrada'!$C$204*'04 - Veículos e Equipamentos'!AH58</f>
        <v>5616</v>
      </c>
      <c r="AJ80" s="275">
        <f>12*'01 - Dados de Entrada'!$C$204*'04 - Veículos e Equipamentos'!AI58</f>
        <v>5616</v>
      </c>
      <c r="AK80" s="275">
        <f>12*'01 - Dados de Entrada'!$C$204*'04 - Veículos e Equipamentos'!AJ58</f>
        <v>5616</v>
      </c>
    </row>
    <row r="81" spans="1:37" customFormat="1" ht="13.15" customHeight="1" x14ac:dyDescent="0.2">
      <c r="A81" s="147" t="s">
        <v>984</v>
      </c>
      <c r="B81" s="275">
        <f>SUM(C81:AK81)</f>
        <v>24.569999999999979</v>
      </c>
      <c r="C81" s="275">
        <f>C80/'01 - Dados de Entrada'!$C$258</f>
        <v>0.70199999999999996</v>
      </c>
      <c r="D81" s="275">
        <f>D80/'01 - Dados de Entrada'!$C$258</f>
        <v>0.70199999999999996</v>
      </c>
      <c r="E81" s="275">
        <f>E80/'01 - Dados de Entrada'!$C$258</f>
        <v>0.70199999999999996</v>
      </c>
      <c r="F81" s="275">
        <f>F80/'01 - Dados de Entrada'!$C$258</f>
        <v>0.70199999999999996</v>
      </c>
      <c r="G81" s="275">
        <f>G80/'01 - Dados de Entrada'!$C$258</f>
        <v>0.70199999999999996</v>
      </c>
      <c r="H81" s="275">
        <f>H80/'01 - Dados de Entrada'!$C$258</f>
        <v>0.70199999999999996</v>
      </c>
      <c r="I81" s="275">
        <f>I80/'01 - Dados de Entrada'!$C$258</f>
        <v>0.70199999999999996</v>
      </c>
      <c r="J81" s="275">
        <f>J80/'01 - Dados de Entrada'!$C$258</f>
        <v>0.70199999999999996</v>
      </c>
      <c r="K81" s="275">
        <f>K80/'01 - Dados de Entrada'!$C$258</f>
        <v>0.70199999999999996</v>
      </c>
      <c r="L81" s="275">
        <f>L80/'01 - Dados de Entrada'!$C$258</f>
        <v>0.70199999999999996</v>
      </c>
      <c r="M81" s="275">
        <f>M80/'01 - Dados de Entrada'!$C$258</f>
        <v>0.70199999999999996</v>
      </c>
      <c r="N81" s="275">
        <f>N80/'01 - Dados de Entrada'!$C$258</f>
        <v>0.70199999999999996</v>
      </c>
      <c r="O81" s="275">
        <f>O80/'01 - Dados de Entrada'!$C$258</f>
        <v>0.70199999999999996</v>
      </c>
      <c r="P81" s="275">
        <f>P80/'01 - Dados de Entrada'!$C$258</f>
        <v>0.70199999999999996</v>
      </c>
      <c r="Q81" s="275">
        <f>Q80/'01 - Dados de Entrada'!$C$258</f>
        <v>0.70199999999999996</v>
      </c>
      <c r="R81" s="275">
        <f>R80/'01 - Dados de Entrada'!$C$258</f>
        <v>0.70199999999999996</v>
      </c>
      <c r="S81" s="275">
        <f>S80/'01 - Dados de Entrada'!$C$258</f>
        <v>0.70199999999999996</v>
      </c>
      <c r="T81" s="275">
        <f>T80/'01 - Dados de Entrada'!$C$258</f>
        <v>0.70199999999999996</v>
      </c>
      <c r="U81" s="275">
        <f>U80/'01 - Dados de Entrada'!$C$258</f>
        <v>0.70199999999999996</v>
      </c>
      <c r="V81" s="275">
        <f>V80/'01 - Dados de Entrada'!$C$258</f>
        <v>0.70199999999999996</v>
      </c>
      <c r="W81" s="275">
        <f>W80/'01 - Dados de Entrada'!$C$258</f>
        <v>0.70199999999999996</v>
      </c>
      <c r="X81" s="275">
        <f>X80/'01 - Dados de Entrada'!$C$258</f>
        <v>0.70199999999999996</v>
      </c>
      <c r="Y81" s="275">
        <f>Y80/'01 - Dados de Entrada'!$C$258</f>
        <v>0.70199999999999996</v>
      </c>
      <c r="Z81" s="275">
        <f>Z80/'01 - Dados de Entrada'!$C$258</f>
        <v>0.70199999999999996</v>
      </c>
      <c r="AA81" s="275">
        <f>AA80/'01 - Dados de Entrada'!$C$258</f>
        <v>0.70199999999999996</v>
      </c>
      <c r="AB81" s="275">
        <f>AB80/'01 - Dados de Entrada'!$C$258</f>
        <v>0.70199999999999996</v>
      </c>
      <c r="AC81" s="275">
        <f>AC80/'01 - Dados de Entrada'!$C$258</f>
        <v>0.70199999999999996</v>
      </c>
      <c r="AD81" s="275">
        <f>AD80/'01 - Dados de Entrada'!$C$258</f>
        <v>0.70199999999999996</v>
      </c>
      <c r="AE81" s="275">
        <f>AE80/'01 - Dados de Entrada'!$C$258</f>
        <v>0.70199999999999996</v>
      </c>
      <c r="AF81" s="275">
        <f>AF80/'01 - Dados de Entrada'!$C$258</f>
        <v>0.70199999999999996</v>
      </c>
      <c r="AG81" s="275">
        <f>AG80/'01 - Dados de Entrada'!$C$258</f>
        <v>0.70199999999999996</v>
      </c>
      <c r="AH81" s="275">
        <f>AH80/'01 - Dados de Entrada'!$C$258</f>
        <v>0.70199999999999996</v>
      </c>
      <c r="AI81" s="275">
        <f>AI80/'01 - Dados de Entrada'!$C$258</f>
        <v>0.70199999999999996</v>
      </c>
      <c r="AJ81" s="275">
        <f>AJ80/'01 - Dados de Entrada'!$C$258</f>
        <v>0.70199999999999996</v>
      </c>
      <c r="AK81" s="275">
        <f>AK80/'01 - Dados de Entrada'!$C$258</f>
        <v>0.70199999999999996</v>
      </c>
    </row>
    <row r="82" spans="1:37" customFormat="1" ht="13.15" customHeight="1" x14ac:dyDescent="0.2">
      <c r="A82" s="147" t="s">
        <v>985</v>
      </c>
      <c r="B82" s="275">
        <f>SUM(C82:AK82)</f>
        <v>36280.799100000018</v>
      </c>
      <c r="C82" s="275">
        <f>C81*'01 - Dados de Entrada'!$C$284</f>
        <v>1036.5942600000001</v>
      </c>
      <c r="D82" s="275">
        <f>D81*'01 - Dados de Entrada'!$C$284</f>
        <v>1036.5942600000001</v>
      </c>
      <c r="E82" s="275">
        <f>E81*'01 - Dados de Entrada'!$C$284</f>
        <v>1036.5942600000001</v>
      </c>
      <c r="F82" s="275">
        <f>F81*'01 - Dados de Entrada'!$C$284</f>
        <v>1036.5942600000001</v>
      </c>
      <c r="G82" s="275">
        <f>G81*'01 - Dados de Entrada'!$C$284</f>
        <v>1036.5942600000001</v>
      </c>
      <c r="H82" s="275">
        <f>H81*'01 - Dados de Entrada'!$C$284</f>
        <v>1036.5942600000001</v>
      </c>
      <c r="I82" s="275">
        <f>I81*'01 - Dados de Entrada'!$C$284</f>
        <v>1036.5942600000001</v>
      </c>
      <c r="J82" s="275">
        <f>J81*'01 - Dados de Entrada'!$C$284</f>
        <v>1036.5942600000001</v>
      </c>
      <c r="K82" s="275">
        <f>K81*'01 - Dados de Entrada'!$C$284</f>
        <v>1036.5942600000001</v>
      </c>
      <c r="L82" s="275">
        <f>L81*'01 - Dados de Entrada'!$C$284</f>
        <v>1036.5942600000001</v>
      </c>
      <c r="M82" s="275">
        <f>M81*'01 - Dados de Entrada'!$C$284</f>
        <v>1036.5942600000001</v>
      </c>
      <c r="N82" s="275">
        <f>N81*'01 - Dados de Entrada'!$C$284</f>
        <v>1036.5942600000001</v>
      </c>
      <c r="O82" s="275">
        <f>O81*'01 - Dados de Entrada'!$C$284</f>
        <v>1036.5942600000001</v>
      </c>
      <c r="P82" s="275">
        <f>P81*'01 - Dados de Entrada'!$C$284</f>
        <v>1036.5942600000001</v>
      </c>
      <c r="Q82" s="275">
        <f>Q81*'01 - Dados de Entrada'!$C$284</f>
        <v>1036.5942600000001</v>
      </c>
      <c r="R82" s="275">
        <f>R81*'01 - Dados de Entrada'!$C$284</f>
        <v>1036.5942600000001</v>
      </c>
      <c r="S82" s="275">
        <f>S81*'01 - Dados de Entrada'!$C$284</f>
        <v>1036.5942600000001</v>
      </c>
      <c r="T82" s="275">
        <f>T81*'01 - Dados de Entrada'!$C$284</f>
        <v>1036.5942600000001</v>
      </c>
      <c r="U82" s="275">
        <f>U81*'01 - Dados de Entrada'!$C$284</f>
        <v>1036.5942600000001</v>
      </c>
      <c r="V82" s="275">
        <f>V81*'01 - Dados de Entrada'!$C$284</f>
        <v>1036.5942600000001</v>
      </c>
      <c r="W82" s="275">
        <f>W81*'01 - Dados de Entrada'!$C$284</f>
        <v>1036.5942600000001</v>
      </c>
      <c r="X82" s="275">
        <f>X81*'01 - Dados de Entrada'!$C$284</f>
        <v>1036.5942600000001</v>
      </c>
      <c r="Y82" s="275">
        <f>Y81*'01 - Dados de Entrada'!$C$284</f>
        <v>1036.5942600000001</v>
      </c>
      <c r="Z82" s="275">
        <f>Z81*'01 - Dados de Entrada'!$C$284</f>
        <v>1036.5942600000001</v>
      </c>
      <c r="AA82" s="275">
        <f>AA81*'01 - Dados de Entrada'!$C$284</f>
        <v>1036.5942600000001</v>
      </c>
      <c r="AB82" s="275">
        <f>AB81*'01 - Dados de Entrada'!$C$284</f>
        <v>1036.5942600000001</v>
      </c>
      <c r="AC82" s="275">
        <f>AC81*'01 - Dados de Entrada'!$C$284</f>
        <v>1036.5942600000001</v>
      </c>
      <c r="AD82" s="275">
        <f>AD81*'01 - Dados de Entrada'!$C$284</f>
        <v>1036.5942600000001</v>
      </c>
      <c r="AE82" s="275">
        <f>AE81*'01 - Dados de Entrada'!$C$284</f>
        <v>1036.5942600000001</v>
      </c>
      <c r="AF82" s="275">
        <f>AF81*'01 - Dados de Entrada'!$C$284</f>
        <v>1036.5942600000001</v>
      </c>
      <c r="AG82" s="275">
        <f>AG81*'01 - Dados de Entrada'!$C$284</f>
        <v>1036.5942600000001</v>
      </c>
      <c r="AH82" s="275">
        <f>AH81*'01 - Dados de Entrada'!$C$284</f>
        <v>1036.5942600000001</v>
      </c>
      <c r="AI82" s="275">
        <f>AI81*'01 - Dados de Entrada'!$C$284</f>
        <v>1036.5942600000001</v>
      </c>
      <c r="AJ82" s="275">
        <f>AJ81*'01 - Dados de Entrada'!$C$284</f>
        <v>1036.5942600000001</v>
      </c>
      <c r="AK82" s="275">
        <f>AK81*'01 - Dados de Entrada'!$C$284</f>
        <v>1036.5942600000001</v>
      </c>
    </row>
    <row r="83" spans="1:37" customFormat="1" ht="13.15" customHeight="1" x14ac:dyDescent="0.2">
      <c r="A83" s="271" t="s">
        <v>962</v>
      </c>
      <c r="B83" s="275">
        <f t="shared" ref="B83:B90" si="3">SUM(C83:AK83)</f>
        <v>0</v>
      </c>
      <c r="C83" s="273"/>
      <c r="D83" s="273"/>
      <c r="E83" s="273"/>
      <c r="F83" s="273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73"/>
      <c r="Y83" s="273"/>
      <c r="Z83" s="273"/>
      <c r="AA83" s="273"/>
      <c r="AB83" s="273"/>
      <c r="AC83" s="273"/>
      <c r="AD83" s="273"/>
      <c r="AE83" s="273"/>
      <c r="AF83" s="273"/>
      <c r="AG83" s="273"/>
      <c r="AH83" s="273"/>
      <c r="AI83" s="273"/>
      <c r="AJ83" s="273"/>
      <c r="AK83" s="273"/>
    </row>
    <row r="84" spans="1:37" customFormat="1" ht="13.15" customHeight="1" x14ac:dyDescent="0.2">
      <c r="A84" s="147" t="s">
        <v>956</v>
      </c>
      <c r="B84" s="275">
        <f t="shared" si="3"/>
        <v>735000</v>
      </c>
      <c r="C84" s="273">
        <f>12*'01 - Dados de Entrada'!$C$219*'04 - Veículos e Equipamentos'!B65</f>
        <v>21000</v>
      </c>
      <c r="D84" s="273">
        <f>12*'01 - Dados de Entrada'!$C$219*'04 - Veículos e Equipamentos'!C65</f>
        <v>21000</v>
      </c>
      <c r="E84" s="273">
        <f>12*'01 - Dados de Entrada'!$C$219*'04 - Veículos e Equipamentos'!D65</f>
        <v>21000</v>
      </c>
      <c r="F84" s="273">
        <f>12*'01 - Dados de Entrada'!$C$219*'04 - Veículos e Equipamentos'!E65</f>
        <v>21000</v>
      </c>
      <c r="G84" s="273">
        <f>12*'01 - Dados de Entrada'!$C$219*'04 - Veículos e Equipamentos'!F65</f>
        <v>21000</v>
      </c>
      <c r="H84" s="273">
        <f>12*'01 - Dados de Entrada'!$C$219*'04 - Veículos e Equipamentos'!G65</f>
        <v>21000</v>
      </c>
      <c r="I84" s="273">
        <f>12*'01 - Dados de Entrada'!$C$219*'04 - Veículos e Equipamentos'!H65</f>
        <v>21000</v>
      </c>
      <c r="J84" s="273">
        <f>12*'01 - Dados de Entrada'!$C$219*'04 - Veículos e Equipamentos'!I65</f>
        <v>21000</v>
      </c>
      <c r="K84" s="273">
        <f>12*'01 - Dados de Entrada'!$C$219*'04 - Veículos e Equipamentos'!J65</f>
        <v>21000</v>
      </c>
      <c r="L84" s="273">
        <f>12*'01 - Dados de Entrada'!$C$219*'04 - Veículos e Equipamentos'!K65</f>
        <v>21000</v>
      </c>
      <c r="M84" s="273">
        <f>12*'01 - Dados de Entrada'!$C$219*'04 - Veículos e Equipamentos'!L65</f>
        <v>21000</v>
      </c>
      <c r="N84" s="273">
        <f>12*'01 - Dados de Entrada'!$C$219*'04 - Veículos e Equipamentos'!M65</f>
        <v>21000</v>
      </c>
      <c r="O84" s="273">
        <f>12*'01 - Dados de Entrada'!$C$219*'04 - Veículos e Equipamentos'!N65</f>
        <v>21000</v>
      </c>
      <c r="P84" s="273">
        <f>12*'01 - Dados de Entrada'!$C$219*'04 - Veículos e Equipamentos'!O65</f>
        <v>21000</v>
      </c>
      <c r="Q84" s="273">
        <f>12*'01 - Dados de Entrada'!$C$219*'04 - Veículos e Equipamentos'!P65</f>
        <v>21000</v>
      </c>
      <c r="R84" s="273">
        <f>12*'01 - Dados de Entrada'!$C$219*'04 - Veículos e Equipamentos'!Q65</f>
        <v>21000</v>
      </c>
      <c r="S84" s="273">
        <f>12*'01 - Dados de Entrada'!$C$219*'04 - Veículos e Equipamentos'!R65</f>
        <v>21000</v>
      </c>
      <c r="T84" s="273">
        <f>12*'01 - Dados de Entrada'!$C$219*'04 - Veículos e Equipamentos'!S65</f>
        <v>21000</v>
      </c>
      <c r="U84" s="273">
        <f>12*'01 - Dados de Entrada'!$C$219*'04 - Veículos e Equipamentos'!T65</f>
        <v>21000</v>
      </c>
      <c r="V84" s="273">
        <f>12*'01 - Dados de Entrada'!$C$219*'04 - Veículos e Equipamentos'!U65</f>
        <v>21000</v>
      </c>
      <c r="W84" s="273">
        <f>12*'01 - Dados de Entrada'!$C$219*'04 - Veículos e Equipamentos'!V65</f>
        <v>21000</v>
      </c>
      <c r="X84" s="273">
        <f>12*'01 - Dados de Entrada'!$C$219*'04 - Veículos e Equipamentos'!W65</f>
        <v>21000</v>
      </c>
      <c r="Y84" s="273">
        <f>12*'01 - Dados de Entrada'!$C$219*'04 - Veículos e Equipamentos'!X65</f>
        <v>21000</v>
      </c>
      <c r="Z84" s="273">
        <f>12*'01 - Dados de Entrada'!$C$219*'04 - Veículos e Equipamentos'!Y65</f>
        <v>21000</v>
      </c>
      <c r="AA84" s="273">
        <f>12*'01 - Dados de Entrada'!$C$219*'04 - Veículos e Equipamentos'!Z65</f>
        <v>21000</v>
      </c>
      <c r="AB84" s="273">
        <f>12*'01 - Dados de Entrada'!$C$219*'04 - Veículos e Equipamentos'!AA65</f>
        <v>21000</v>
      </c>
      <c r="AC84" s="273">
        <f>12*'01 - Dados de Entrada'!$C$219*'04 - Veículos e Equipamentos'!AB65</f>
        <v>21000</v>
      </c>
      <c r="AD84" s="273">
        <f>12*'01 - Dados de Entrada'!$C$219*'04 - Veículos e Equipamentos'!AC65</f>
        <v>21000</v>
      </c>
      <c r="AE84" s="273">
        <f>12*'01 - Dados de Entrada'!$C$219*'04 - Veículos e Equipamentos'!AD65</f>
        <v>21000</v>
      </c>
      <c r="AF84" s="273">
        <f>12*'01 - Dados de Entrada'!$C$219*'04 - Veículos e Equipamentos'!AE65</f>
        <v>21000</v>
      </c>
      <c r="AG84" s="273">
        <f>12*'01 - Dados de Entrada'!$C$219*'04 - Veículos e Equipamentos'!AF65</f>
        <v>21000</v>
      </c>
      <c r="AH84" s="273">
        <f>12*'01 - Dados de Entrada'!$C$219*'04 - Veículos e Equipamentos'!AG65</f>
        <v>21000</v>
      </c>
      <c r="AI84" s="273">
        <f>12*'01 - Dados de Entrada'!$C$219*'04 - Veículos e Equipamentos'!AH65</f>
        <v>21000</v>
      </c>
      <c r="AJ84" s="273">
        <f>12*'01 - Dados de Entrada'!$C$219*'04 - Veículos e Equipamentos'!AI65</f>
        <v>21000</v>
      </c>
      <c r="AK84" s="273">
        <f>12*'01 - Dados de Entrada'!$C$219*'04 - Veículos e Equipamentos'!AJ65</f>
        <v>21000</v>
      </c>
    </row>
    <row r="85" spans="1:37" customFormat="1" ht="13.15" customHeight="1" x14ac:dyDescent="0.2">
      <c r="A85" s="147" t="s">
        <v>984</v>
      </c>
      <c r="B85" s="275">
        <f t="shared" si="3"/>
        <v>14.7</v>
      </c>
      <c r="C85" s="278">
        <f>C84/'01 - Dados de Entrada'!$C$256</f>
        <v>0.42</v>
      </c>
      <c r="D85" s="278">
        <f>D84/'01 - Dados de Entrada'!$C$256</f>
        <v>0.42</v>
      </c>
      <c r="E85" s="278">
        <f>E84/'01 - Dados de Entrada'!$C$256</f>
        <v>0.42</v>
      </c>
      <c r="F85" s="278">
        <f>F84/'01 - Dados de Entrada'!$C$256</f>
        <v>0.42</v>
      </c>
      <c r="G85" s="278">
        <f>G84/'01 - Dados de Entrada'!$C$256</f>
        <v>0.42</v>
      </c>
      <c r="H85" s="278">
        <f>H84/'01 - Dados de Entrada'!$C$256</f>
        <v>0.42</v>
      </c>
      <c r="I85" s="278">
        <f>I84/'01 - Dados de Entrada'!$C$256</f>
        <v>0.42</v>
      </c>
      <c r="J85" s="278">
        <f>J84/'01 - Dados de Entrada'!$C$256</f>
        <v>0.42</v>
      </c>
      <c r="K85" s="278">
        <f>K84/'01 - Dados de Entrada'!$C$256</f>
        <v>0.42</v>
      </c>
      <c r="L85" s="278">
        <f>L84/'01 - Dados de Entrada'!$C$256</f>
        <v>0.42</v>
      </c>
      <c r="M85" s="278">
        <f>M84/'01 - Dados de Entrada'!$C$256</f>
        <v>0.42</v>
      </c>
      <c r="N85" s="278">
        <f>N84/'01 - Dados de Entrada'!$C$256</f>
        <v>0.42</v>
      </c>
      <c r="O85" s="278">
        <f>O84/'01 - Dados de Entrada'!$C$256</f>
        <v>0.42</v>
      </c>
      <c r="P85" s="278">
        <f>P84/'01 - Dados de Entrada'!$C$256</f>
        <v>0.42</v>
      </c>
      <c r="Q85" s="278">
        <f>Q84/'01 - Dados de Entrada'!$C$256</f>
        <v>0.42</v>
      </c>
      <c r="R85" s="278">
        <f>R84/'01 - Dados de Entrada'!$C$256</f>
        <v>0.42</v>
      </c>
      <c r="S85" s="278">
        <f>S84/'01 - Dados de Entrada'!$C$256</f>
        <v>0.42</v>
      </c>
      <c r="T85" s="278">
        <f>T84/'01 - Dados de Entrada'!$C$256</f>
        <v>0.42</v>
      </c>
      <c r="U85" s="278">
        <f>U84/'01 - Dados de Entrada'!$C$256</f>
        <v>0.42</v>
      </c>
      <c r="V85" s="278">
        <f>V84/'01 - Dados de Entrada'!$C$256</f>
        <v>0.42</v>
      </c>
      <c r="W85" s="278">
        <f>W84/'01 - Dados de Entrada'!$C$256</f>
        <v>0.42</v>
      </c>
      <c r="X85" s="278">
        <f>X84/'01 - Dados de Entrada'!$C$256</f>
        <v>0.42</v>
      </c>
      <c r="Y85" s="278">
        <f>Y84/'01 - Dados de Entrada'!$C$256</f>
        <v>0.42</v>
      </c>
      <c r="Z85" s="278">
        <f>Z84/'01 - Dados de Entrada'!$C$256</f>
        <v>0.42</v>
      </c>
      <c r="AA85" s="278">
        <f>AA84/'01 - Dados de Entrada'!$C$256</f>
        <v>0.42</v>
      </c>
      <c r="AB85" s="278">
        <f>AB84/'01 - Dados de Entrada'!$C$256</f>
        <v>0.42</v>
      </c>
      <c r="AC85" s="278">
        <f>AC84/'01 - Dados de Entrada'!$C$256</f>
        <v>0.42</v>
      </c>
      <c r="AD85" s="278">
        <f>AD84/'01 - Dados de Entrada'!$C$256</f>
        <v>0.42</v>
      </c>
      <c r="AE85" s="278">
        <f>AE84/'01 - Dados de Entrada'!$C$256</f>
        <v>0.42</v>
      </c>
      <c r="AF85" s="278">
        <f>AF84/'01 - Dados de Entrada'!$C$256</f>
        <v>0.42</v>
      </c>
      <c r="AG85" s="278">
        <f>AG84/'01 - Dados de Entrada'!$C$256</f>
        <v>0.42</v>
      </c>
      <c r="AH85" s="278">
        <f>AH84/'01 - Dados de Entrada'!$C$256</f>
        <v>0.42</v>
      </c>
      <c r="AI85" s="278">
        <f>AI84/'01 - Dados de Entrada'!$C$256</f>
        <v>0.42</v>
      </c>
      <c r="AJ85" s="278">
        <f>AJ84/'01 - Dados de Entrada'!$C$256</f>
        <v>0.42</v>
      </c>
      <c r="AK85" s="278">
        <f>AK84/'01 - Dados de Entrada'!$C$256</f>
        <v>0.42</v>
      </c>
    </row>
    <row r="86" spans="1:37" customFormat="1" ht="13.15" customHeight="1" x14ac:dyDescent="0.2">
      <c r="A86" s="147" t="s">
        <v>985</v>
      </c>
      <c r="B86" s="275">
        <f t="shared" si="3"/>
        <v>431478.53813884687</v>
      </c>
      <c r="C86" s="275">
        <f>C85*'01 - Dados de Entrada'!$C$280</f>
        <v>12327.958232538478</v>
      </c>
      <c r="D86" s="275">
        <f>D85*'01 - Dados de Entrada'!$C$280</f>
        <v>12327.958232538478</v>
      </c>
      <c r="E86" s="275">
        <f>E85*'01 - Dados de Entrada'!$C$280</f>
        <v>12327.958232538478</v>
      </c>
      <c r="F86" s="275">
        <f>F85*'01 - Dados de Entrada'!$C$280</f>
        <v>12327.958232538478</v>
      </c>
      <c r="G86" s="275">
        <f>G85*'01 - Dados de Entrada'!$C$280</f>
        <v>12327.958232538478</v>
      </c>
      <c r="H86" s="275">
        <f>H85*'01 - Dados de Entrada'!$C$280</f>
        <v>12327.958232538478</v>
      </c>
      <c r="I86" s="275">
        <f>I85*'01 - Dados de Entrada'!$C$280</f>
        <v>12327.958232538478</v>
      </c>
      <c r="J86" s="275">
        <f>J85*'01 - Dados de Entrada'!$C$280</f>
        <v>12327.958232538478</v>
      </c>
      <c r="K86" s="275">
        <f>K85*'01 - Dados de Entrada'!$C$280</f>
        <v>12327.958232538478</v>
      </c>
      <c r="L86" s="275">
        <f>L85*'01 - Dados de Entrada'!$C$280</f>
        <v>12327.958232538478</v>
      </c>
      <c r="M86" s="275">
        <f>M85*'01 - Dados de Entrada'!$C$280</f>
        <v>12327.958232538478</v>
      </c>
      <c r="N86" s="275">
        <f>N85*'01 - Dados de Entrada'!$C$280</f>
        <v>12327.958232538478</v>
      </c>
      <c r="O86" s="275">
        <f>O85*'01 - Dados de Entrada'!$C$280</f>
        <v>12327.958232538478</v>
      </c>
      <c r="P86" s="275">
        <f>P85*'01 - Dados de Entrada'!$C$280</f>
        <v>12327.958232538478</v>
      </c>
      <c r="Q86" s="275">
        <f>Q85*'01 - Dados de Entrada'!$C$280</f>
        <v>12327.958232538478</v>
      </c>
      <c r="R86" s="275">
        <f>R85*'01 - Dados de Entrada'!$C$280</f>
        <v>12327.958232538478</v>
      </c>
      <c r="S86" s="275">
        <f>S85*'01 - Dados de Entrada'!$C$280</f>
        <v>12327.958232538478</v>
      </c>
      <c r="T86" s="275">
        <f>T85*'01 - Dados de Entrada'!$C$280</f>
        <v>12327.958232538478</v>
      </c>
      <c r="U86" s="275">
        <f>U85*'01 - Dados de Entrada'!$C$280</f>
        <v>12327.958232538478</v>
      </c>
      <c r="V86" s="275">
        <f>V85*'01 - Dados de Entrada'!$C$280</f>
        <v>12327.958232538478</v>
      </c>
      <c r="W86" s="275">
        <f>W85*'01 - Dados de Entrada'!$C$280</f>
        <v>12327.958232538478</v>
      </c>
      <c r="X86" s="275">
        <f>X85*'01 - Dados de Entrada'!$C$280</f>
        <v>12327.958232538478</v>
      </c>
      <c r="Y86" s="275">
        <f>Y85*'01 - Dados de Entrada'!$C$280</f>
        <v>12327.958232538478</v>
      </c>
      <c r="Z86" s="275">
        <f>Z85*'01 - Dados de Entrada'!$C$280</f>
        <v>12327.958232538478</v>
      </c>
      <c r="AA86" s="275">
        <f>AA85*'01 - Dados de Entrada'!$C$280</f>
        <v>12327.958232538478</v>
      </c>
      <c r="AB86" s="275">
        <f>AB85*'01 - Dados de Entrada'!$C$280</f>
        <v>12327.958232538478</v>
      </c>
      <c r="AC86" s="275">
        <f>AC85*'01 - Dados de Entrada'!$C$280</f>
        <v>12327.958232538478</v>
      </c>
      <c r="AD86" s="275">
        <f>AD85*'01 - Dados de Entrada'!$C$280</f>
        <v>12327.958232538478</v>
      </c>
      <c r="AE86" s="275">
        <f>AE85*'01 - Dados de Entrada'!$C$280</f>
        <v>12327.958232538478</v>
      </c>
      <c r="AF86" s="275">
        <f>AF85*'01 - Dados de Entrada'!$C$280</f>
        <v>12327.958232538478</v>
      </c>
      <c r="AG86" s="275">
        <f>AG85*'01 - Dados de Entrada'!$C$280</f>
        <v>12327.958232538478</v>
      </c>
      <c r="AH86" s="275">
        <f>AH85*'01 - Dados de Entrada'!$C$280</f>
        <v>12327.958232538478</v>
      </c>
      <c r="AI86" s="275">
        <f>AI85*'01 - Dados de Entrada'!$C$280</f>
        <v>12327.958232538478</v>
      </c>
      <c r="AJ86" s="275">
        <f>AJ85*'01 - Dados de Entrada'!$C$280</f>
        <v>12327.958232538478</v>
      </c>
      <c r="AK86" s="275">
        <f>AK85*'01 - Dados de Entrada'!$C$280</f>
        <v>12327.958232538478</v>
      </c>
    </row>
    <row r="87" spans="1:37" customFormat="1" ht="13.15" customHeight="1" x14ac:dyDescent="0.2">
      <c r="A87" s="271" t="s">
        <v>963</v>
      </c>
      <c r="B87" s="275">
        <f t="shared" si="3"/>
        <v>0</v>
      </c>
      <c r="C87" s="273"/>
      <c r="D87" s="273"/>
      <c r="E87" s="273"/>
      <c r="F87" s="273"/>
      <c r="G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273"/>
      <c r="AE87" s="273"/>
      <c r="AF87" s="273"/>
      <c r="AG87" s="273"/>
      <c r="AH87" s="273"/>
      <c r="AI87" s="273"/>
      <c r="AJ87" s="273"/>
      <c r="AK87" s="273"/>
    </row>
    <row r="88" spans="1:37" customFormat="1" ht="13.15" customHeight="1" x14ac:dyDescent="0.2">
      <c r="A88" s="147" t="s">
        <v>956</v>
      </c>
      <c r="B88" s="275">
        <f t="shared" si="3"/>
        <v>740040</v>
      </c>
      <c r="C88" s="273">
        <f>12*'01 - Dados de Entrada'!$C$220*'04 - Veículos e Equipamentos'!B66</f>
        <v>21144</v>
      </c>
      <c r="D88" s="273">
        <f>12*'01 - Dados de Entrada'!$C$220*'04 - Veículos e Equipamentos'!C66</f>
        <v>21144</v>
      </c>
      <c r="E88" s="273">
        <f>12*'01 - Dados de Entrada'!$C$220*'04 - Veículos e Equipamentos'!D66</f>
        <v>21144</v>
      </c>
      <c r="F88" s="273">
        <f>12*'01 - Dados de Entrada'!$C$220*'04 - Veículos e Equipamentos'!E66</f>
        <v>21144</v>
      </c>
      <c r="G88" s="273">
        <f>12*'01 - Dados de Entrada'!$C$220*'04 - Veículos e Equipamentos'!F66</f>
        <v>21144</v>
      </c>
      <c r="H88" s="273">
        <f>12*'01 - Dados de Entrada'!$C$220*'04 - Veículos e Equipamentos'!G66</f>
        <v>21144</v>
      </c>
      <c r="I88" s="273">
        <f>12*'01 - Dados de Entrada'!$C$220*'04 - Veículos e Equipamentos'!H66</f>
        <v>21144</v>
      </c>
      <c r="J88" s="273">
        <f>12*'01 - Dados de Entrada'!$C$220*'04 - Veículos e Equipamentos'!I66</f>
        <v>21144</v>
      </c>
      <c r="K88" s="273">
        <f>12*'01 - Dados de Entrada'!$C$220*'04 - Veículos e Equipamentos'!J66</f>
        <v>21144</v>
      </c>
      <c r="L88" s="273">
        <f>12*'01 - Dados de Entrada'!$C$220*'04 - Veículos e Equipamentos'!K66</f>
        <v>21144</v>
      </c>
      <c r="M88" s="273">
        <f>12*'01 - Dados de Entrada'!$C$220*'04 - Veículos e Equipamentos'!L66</f>
        <v>21144</v>
      </c>
      <c r="N88" s="273">
        <f>12*'01 - Dados de Entrada'!$C$220*'04 - Veículos e Equipamentos'!M66</f>
        <v>21144</v>
      </c>
      <c r="O88" s="273">
        <f>12*'01 - Dados de Entrada'!$C$220*'04 - Veículos e Equipamentos'!N66</f>
        <v>21144</v>
      </c>
      <c r="P88" s="273">
        <f>12*'01 - Dados de Entrada'!$C$220*'04 - Veículos e Equipamentos'!O66</f>
        <v>21144</v>
      </c>
      <c r="Q88" s="273">
        <f>12*'01 - Dados de Entrada'!$C$220*'04 - Veículos e Equipamentos'!P66</f>
        <v>21144</v>
      </c>
      <c r="R88" s="273">
        <f>12*'01 - Dados de Entrada'!$C$220*'04 - Veículos e Equipamentos'!Q66</f>
        <v>21144</v>
      </c>
      <c r="S88" s="273">
        <f>12*'01 - Dados de Entrada'!$C$220*'04 - Veículos e Equipamentos'!R66</f>
        <v>21144</v>
      </c>
      <c r="T88" s="273">
        <f>12*'01 - Dados de Entrada'!$C$220*'04 - Veículos e Equipamentos'!S66</f>
        <v>21144</v>
      </c>
      <c r="U88" s="273">
        <f>12*'01 - Dados de Entrada'!$C$220*'04 - Veículos e Equipamentos'!T66</f>
        <v>21144</v>
      </c>
      <c r="V88" s="273">
        <f>12*'01 - Dados de Entrada'!$C$220*'04 - Veículos e Equipamentos'!U66</f>
        <v>21144</v>
      </c>
      <c r="W88" s="273">
        <f>12*'01 - Dados de Entrada'!$C$220*'04 - Veículos e Equipamentos'!V66</f>
        <v>21144</v>
      </c>
      <c r="X88" s="273">
        <f>12*'01 - Dados de Entrada'!$C$220*'04 - Veículos e Equipamentos'!W66</f>
        <v>21144</v>
      </c>
      <c r="Y88" s="273">
        <f>12*'01 - Dados de Entrada'!$C$220*'04 - Veículos e Equipamentos'!X66</f>
        <v>21144</v>
      </c>
      <c r="Z88" s="273">
        <f>12*'01 - Dados de Entrada'!$C$220*'04 - Veículos e Equipamentos'!Y66</f>
        <v>21144</v>
      </c>
      <c r="AA88" s="273">
        <f>12*'01 - Dados de Entrada'!$C$220*'04 - Veículos e Equipamentos'!Z66</f>
        <v>21144</v>
      </c>
      <c r="AB88" s="273">
        <f>12*'01 - Dados de Entrada'!$C$220*'04 - Veículos e Equipamentos'!AA66</f>
        <v>21144</v>
      </c>
      <c r="AC88" s="273">
        <f>12*'01 - Dados de Entrada'!$C$220*'04 - Veículos e Equipamentos'!AB66</f>
        <v>21144</v>
      </c>
      <c r="AD88" s="273">
        <f>12*'01 - Dados de Entrada'!$C$220*'04 - Veículos e Equipamentos'!AC66</f>
        <v>21144</v>
      </c>
      <c r="AE88" s="273">
        <f>12*'01 - Dados de Entrada'!$C$220*'04 - Veículos e Equipamentos'!AD66</f>
        <v>21144</v>
      </c>
      <c r="AF88" s="273">
        <f>12*'01 - Dados de Entrada'!$C$220*'04 - Veículos e Equipamentos'!AE66</f>
        <v>21144</v>
      </c>
      <c r="AG88" s="273">
        <f>12*'01 - Dados de Entrada'!$C$220*'04 - Veículos e Equipamentos'!AF66</f>
        <v>21144</v>
      </c>
      <c r="AH88" s="273">
        <f>12*'01 - Dados de Entrada'!$C$220*'04 - Veículos e Equipamentos'!AG66</f>
        <v>21144</v>
      </c>
      <c r="AI88" s="273">
        <f>12*'01 - Dados de Entrada'!$C$220*'04 - Veículos e Equipamentos'!AH66</f>
        <v>21144</v>
      </c>
      <c r="AJ88" s="273">
        <f>12*'01 - Dados de Entrada'!$C$220*'04 - Veículos e Equipamentos'!AI66</f>
        <v>21144</v>
      </c>
      <c r="AK88" s="273">
        <f>12*'01 - Dados de Entrada'!$C$220*'04 - Veículos e Equipamentos'!AJ66</f>
        <v>21144</v>
      </c>
    </row>
    <row r="89" spans="1:37" customFormat="1" ht="13.15" customHeight="1" x14ac:dyDescent="0.2">
      <c r="A89" s="147" t="s">
        <v>984</v>
      </c>
      <c r="B89" s="275">
        <f t="shared" si="3"/>
        <v>49.335999999999977</v>
      </c>
      <c r="C89" s="278">
        <f>C88/'01 - Dados de Entrada'!$C$261</f>
        <v>1.4096</v>
      </c>
      <c r="D89" s="278">
        <f>D88/'01 - Dados de Entrada'!$C$261</f>
        <v>1.4096</v>
      </c>
      <c r="E89" s="278">
        <f>E88/'01 - Dados de Entrada'!$C$261</f>
        <v>1.4096</v>
      </c>
      <c r="F89" s="278">
        <f>F88/'01 - Dados de Entrada'!$C$261</f>
        <v>1.4096</v>
      </c>
      <c r="G89" s="278">
        <f>G88/'01 - Dados de Entrada'!$C$261</f>
        <v>1.4096</v>
      </c>
      <c r="H89" s="278">
        <f>H88/'01 - Dados de Entrada'!$C$261</f>
        <v>1.4096</v>
      </c>
      <c r="I89" s="278">
        <f>I88/'01 - Dados de Entrada'!$C$261</f>
        <v>1.4096</v>
      </c>
      <c r="J89" s="278">
        <f>J88/'01 - Dados de Entrada'!$C$261</f>
        <v>1.4096</v>
      </c>
      <c r="K89" s="278">
        <f>K88/'01 - Dados de Entrada'!$C$261</f>
        <v>1.4096</v>
      </c>
      <c r="L89" s="278">
        <f>L88/'01 - Dados de Entrada'!$C$261</f>
        <v>1.4096</v>
      </c>
      <c r="M89" s="278">
        <f>M88/'01 - Dados de Entrada'!$C$261</f>
        <v>1.4096</v>
      </c>
      <c r="N89" s="278">
        <f>N88/'01 - Dados de Entrada'!$C$261</f>
        <v>1.4096</v>
      </c>
      <c r="O89" s="278">
        <f>O88/'01 - Dados de Entrada'!$C$261</f>
        <v>1.4096</v>
      </c>
      <c r="P89" s="278">
        <f>P88/'01 - Dados de Entrada'!$C$261</f>
        <v>1.4096</v>
      </c>
      <c r="Q89" s="278">
        <f>Q88/'01 - Dados de Entrada'!$C$261</f>
        <v>1.4096</v>
      </c>
      <c r="R89" s="278">
        <f>R88/'01 - Dados de Entrada'!$C$261</f>
        <v>1.4096</v>
      </c>
      <c r="S89" s="278">
        <f>S88/'01 - Dados de Entrada'!$C$261</f>
        <v>1.4096</v>
      </c>
      <c r="T89" s="278">
        <f>T88/'01 - Dados de Entrada'!$C$261</f>
        <v>1.4096</v>
      </c>
      <c r="U89" s="278">
        <f>U88/'01 - Dados de Entrada'!$C$261</f>
        <v>1.4096</v>
      </c>
      <c r="V89" s="278">
        <f>V88/'01 - Dados de Entrada'!$C$261</f>
        <v>1.4096</v>
      </c>
      <c r="W89" s="278">
        <f>W88/'01 - Dados de Entrada'!$C$261</f>
        <v>1.4096</v>
      </c>
      <c r="X89" s="278">
        <f>X88/'01 - Dados de Entrada'!$C$261</f>
        <v>1.4096</v>
      </c>
      <c r="Y89" s="278">
        <f>Y88/'01 - Dados de Entrada'!$C$261</f>
        <v>1.4096</v>
      </c>
      <c r="Z89" s="278">
        <f>Z88/'01 - Dados de Entrada'!$C$261</f>
        <v>1.4096</v>
      </c>
      <c r="AA89" s="278">
        <f>AA88/'01 - Dados de Entrada'!$C$261</f>
        <v>1.4096</v>
      </c>
      <c r="AB89" s="278">
        <f>AB88/'01 - Dados de Entrada'!$C$261</f>
        <v>1.4096</v>
      </c>
      <c r="AC89" s="278">
        <f>AC88/'01 - Dados de Entrada'!$C$261</f>
        <v>1.4096</v>
      </c>
      <c r="AD89" s="278">
        <f>AD88/'01 - Dados de Entrada'!$C$261</f>
        <v>1.4096</v>
      </c>
      <c r="AE89" s="278">
        <f>AE88/'01 - Dados de Entrada'!$C$261</f>
        <v>1.4096</v>
      </c>
      <c r="AF89" s="278">
        <f>AF88/'01 - Dados de Entrada'!$C$261</f>
        <v>1.4096</v>
      </c>
      <c r="AG89" s="278">
        <f>AG88/'01 - Dados de Entrada'!$C$261</f>
        <v>1.4096</v>
      </c>
      <c r="AH89" s="278">
        <f>AH88/'01 - Dados de Entrada'!$C$261</f>
        <v>1.4096</v>
      </c>
      <c r="AI89" s="278">
        <f>AI88/'01 - Dados de Entrada'!$C$261</f>
        <v>1.4096</v>
      </c>
      <c r="AJ89" s="278">
        <f>AJ88/'01 - Dados de Entrada'!$C$261</f>
        <v>1.4096</v>
      </c>
      <c r="AK89" s="278">
        <f>AK88/'01 - Dados de Entrada'!$C$261</f>
        <v>1.4096</v>
      </c>
    </row>
    <row r="90" spans="1:37" customFormat="1" ht="13.15" customHeight="1" x14ac:dyDescent="0.2">
      <c r="A90" s="147" t="s">
        <v>985</v>
      </c>
      <c r="B90" s="275">
        <f t="shared" si="3"/>
        <v>21268.468976831984</v>
      </c>
      <c r="C90" s="275">
        <f>C89*'01 - Dados de Entrada'!$C$287</f>
        <v>607.67054219520003</v>
      </c>
      <c r="D90" s="275">
        <f>D89*'01 - Dados de Entrada'!$C$287</f>
        <v>607.67054219520003</v>
      </c>
      <c r="E90" s="275">
        <f>E89*'01 - Dados de Entrada'!$C$287</f>
        <v>607.67054219520003</v>
      </c>
      <c r="F90" s="275">
        <f>F89*'01 - Dados de Entrada'!$C$287</f>
        <v>607.67054219520003</v>
      </c>
      <c r="G90" s="275">
        <f>G89*'01 - Dados de Entrada'!$C$287</f>
        <v>607.67054219520003</v>
      </c>
      <c r="H90" s="275">
        <f>H89*'01 - Dados de Entrada'!$C$287</f>
        <v>607.67054219520003</v>
      </c>
      <c r="I90" s="275">
        <f>I89*'01 - Dados de Entrada'!$C$287</f>
        <v>607.67054219520003</v>
      </c>
      <c r="J90" s="275">
        <f>J89*'01 - Dados de Entrada'!$C$287</f>
        <v>607.67054219520003</v>
      </c>
      <c r="K90" s="275">
        <f>K89*'01 - Dados de Entrada'!$C$287</f>
        <v>607.67054219520003</v>
      </c>
      <c r="L90" s="275">
        <f>L89*'01 - Dados de Entrada'!$C$287</f>
        <v>607.67054219520003</v>
      </c>
      <c r="M90" s="275">
        <f>M89*'01 - Dados de Entrada'!$C$287</f>
        <v>607.67054219520003</v>
      </c>
      <c r="N90" s="275">
        <f>N89*'01 - Dados de Entrada'!$C$287</f>
        <v>607.67054219520003</v>
      </c>
      <c r="O90" s="275">
        <f>O89*'01 - Dados de Entrada'!$C$287</f>
        <v>607.67054219520003</v>
      </c>
      <c r="P90" s="275">
        <f>P89*'01 - Dados de Entrada'!$C$287</f>
        <v>607.67054219520003</v>
      </c>
      <c r="Q90" s="275">
        <f>Q89*'01 - Dados de Entrada'!$C$287</f>
        <v>607.67054219520003</v>
      </c>
      <c r="R90" s="275">
        <f>R89*'01 - Dados de Entrada'!$C$287</f>
        <v>607.67054219520003</v>
      </c>
      <c r="S90" s="275">
        <f>S89*'01 - Dados de Entrada'!$C$287</f>
        <v>607.67054219520003</v>
      </c>
      <c r="T90" s="275">
        <f>T89*'01 - Dados de Entrada'!$C$287</f>
        <v>607.67054219520003</v>
      </c>
      <c r="U90" s="275">
        <f>U89*'01 - Dados de Entrada'!$C$287</f>
        <v>607.67054219520003</v>
      </c>
      <c r="V90" s="275">
        <f>V89*'01 - Dados de Entrada'!$C$287</f>
        <v>607.67054219520003</v>
      </c>
      <c r="W90" s="275">
        <f>W89*'01 - Dados de Entrada'!$C$287</f>
        <v>607.67054219520003</v>
      </c>
      <c r="X90" s="275">
        <f>X89*'01 - Dados de Entrada'!$C$287</f>
        <v>607.67054219520003</v>
      </c>
      <c r="Y90" s="275">
        <f>Y89*'01 - Dados de Entrada'!$C$287</f>
        <v>607.67054219520003</v>
      </c>
      <c r="Z90" s="275">
        <f>Z89*'01 - Dados de Entrada'!$C$287</f>
        <v>607.67054219520003</v>
      </c>
      <c r="AA90" s="275">
        <f>AA89*'01 - Dados de Entrada'!$C$287</f>
        <v>607.67054219520003</v>
      </c>
      <c r="AB90" s="275">
        <f>AB89*'01 - Dados de Entrada'!$C$287</f>
        <v>607.67054219520003</v>
      </c>
      <c r="AC90" s="275">
        <f>AC89*'01 - Dados de Entrada'!$C$287</f>
        <v>607.67054219520003</v>
      </c>
      <c r="AD90" s="275">
        <f>AD89*'01 - Dados de Entrada'!$C$287</f>
        <v>607.67054219520003</v>
      </c>
      <c r="AE90" s="275">
        <f>AE89*'01 - Dados de Entrada'!$C$287</f>
        <v>607.67054219520003</v>
      </c>
      <c r="AF90" s="275">
        <f>AF89*'01 - Dados de Entrada'!$C$287</f>
        <v>607.67054219520003</v>
      </c>
      <c r="AG90" s="275">
        <f>AG89*'01 - Dados de Entrada'!$C$287</f>
        <v>607.67054219520003</v>
      </c>
      <c r="AH90" s="275">
        <f>AH89*'01 - Dados de Entrada'!$C$287</f>
        <v>607.67054219520003</v>
      </c>
      <c r="AI90" s="275">
        <f>AI89*'01 - Dados de Entrada'!$C$287</f>
        <v>607.67054219520003</v>
      </c>
      <c r="AJ90" s="275">
        <f>AJ89*'01 - Dados de Entrada'!$C$287</f>
        <v>607.67054219520003</v>
      </c>
      <c r="AK90" s="275">
        <f>AK89*'01 - Dados de Entrada'!$C$287</f>
        <v>607.67054219520003</v>
      </c>
    </row>
    <row r="91" spans="1:37" s="152" customFormat="1" ht="13.15" customHeight="1" x14ac:dyDescent="0.2">
      <c r="A91" s="271" t="s">
        <v>967</v>
      </c>
      <c r="B91" s="275">
        <f>SUM(C91:AK91)</f>
        <v>0</v>
      </c>
      <c r="C91" s="346"/>
      <c r="D91" s="346"/>
      <c r="E91" s="346"/>
      <c r="F91" s="346"/>
      <c r="G91" s="346"/>
      <c r="H91" s="346"/>
      <c r="I91" s="346"/>
      <c r="J91" s="346"/>
      <c r="K91" s="346"/>
      <c r="L91" s="346"/>
      <c r="M91" s="346"/>
      <c r="N91" s="346"/>
      <c r="O91" s="346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  <c r="AG91" s="346"/>
      <c r="AH91" s="346"/>
      <c r="AI91" s="346"/>
      <c r="AJ91" s="346"/>
      <c r="AK91" s="346"/>
    </row>
    <row r="92" spans="1:37" s="152" customFormat="1" ht="13.15" customHeight="1" x14ac:dyDescent="0.2">
      <c r="A92" s="147" t="s">
        <v>956</v>
      </c>
      <c r="B92" s="275">
        <f>SUM(C92:AK92)</f>
        <v>1480080</v>
      </c>
      <c r="C92" s="276">
        <f>12*'04 - Veículos e Equipamentos'!B74*'01 - Dados de Entrada'!$C$215</f>
        <v>42288</v>
      </c>
      <c r="D92" s="276">
        <f>12*'04 - Veículos e Equipamentos'!C74*'01 - Dados de Entrada'!$C$215</f>
        <v>42288</v>
      </c>
      <c r="E92" s="276">
        <f>12*'04 - Veículos e Equipamentos'!D74*'01 - Dados de Entrada'!$C$215</f>
        <v>42288</v>
      </c>
      <c r="F92" s="276">
        <f>12*'04 - Veículos e Equipamentos'!E74*'01 - Dados de Entrada'!$C$215</f>
        <v>42288</v>
      </c>
      <c r="G92" s="276">
        <f>12*'04 - Veículos e Equipamentos'!F74*'01 - Dados de Entrada'!$C$215</f>
        <v>42288</v>
      </c>
      <c r="H92" s="276">
        <f>12*'04 - Veículos e Equipamentos'!G74*'01 - Dados de Entrada'!$C$215</f>
        <v>42288</v>
      </c>
      <c r="I92" s="276">
        <f>12*'04 - Veículos e Equipamentos'!H74*'01 - Dados de Entrada'!$C$215</f>
        <v>42288</v>
      </c>
      <c r="J92" s="276">
        <f>12*'04 - Veículos e Equipamentos'!I74*'01 - Dados de Entrada'!$C$215</f>
        <v>42288</v>
      </c>
      <c r="K92" s="276">
        <f>12*'04 - Veículos e Equipamentos'!J74*'01 - Dados de Entrada'!$C$215</f>
        <v>42288</v>
      </c>
      <c r="L92" s="276">
        <f>12*'04 - Veículos e Equipamentos'!K74*'01 - Dados de Entrada'!$C$215</f>
        <v>42288</v>
      </c>
      <c r="M92" s="276">
        <f>12*'04 - Veículos e Equipamentos'!L74*'01 - Dados de Entrada'!$C$215</f>
        <v>42288</v>
      </c>
      <c r="N92" s="276">
        <f>12*'04 - Veículos e Equipamentos'!M74*'01 - Dados de Entrada'!$C$215</f>
        <v>42288</v>
      </c>
      <c r="O92" s="276">
        <f>12*'04 - Veículos e Equipamentos'!N74*'01 - Dados de Entrada'!$C$215</f>
        <v>42288</v>
      </c>
      <c r="P92" s="276">
        <f>12*'04 - Veículos e Equipamentos'!O74*'01 - Dados de Entrada'!$C$215</f>
        <v>42288</v>
      </c>
      <c r="Q92" s="276">
        <f>12*'04 - Veículos e Equipamentos'!P74*'01 - Dados de Entrada'!$C$215</f>
        <v>42288</v>
      </c>
      <c r="R92" s="276">
        <f>12*'04 - Veículos e Equipamentos'!Q74*'01 - Dados de Entrada'!$C$215</f>
        <v>42288</v>
      </c>
      <c r="S92" s="276">
        <f>12*'04 - Veículos e Equipamentos'!R74*'01 - Dados de Entrada'!$C$215</f>
        <v>42288</v>
      </c>
      <c r="T92" s="276">
        <f>12*'04 - Veículos e Equipamentos'!S74*'01 - Dados de Entrada'!$C$215</f>
        <v>42288</v>
      </c>
      <c r="U92" s="276">
        <f>12*'04 - Veículos e Equipamentos'!T74*'01 - Dados de Entrada'!$C$215</f>
        <v>42288</v>
      </c>
      <c r="V92" s="276">
        <f>12*'04 - Veículos e Equipamentos'!U74*'01 - Dados de Entrada'!$C$215</f>
        <v>42288</v>
      </c>
      <c r="W92" s="276">
        <f>12*'04 - Veículos e Equipamentos'!V74*'01 - Dados de Entrada'!$C$215</f>
        <v>42288</v>
      </c>
      <c r="X92" s="276">
        <f>12*'04 - Veículos e Equipamentos'!W74*'01 - Dados de Entrada'!$C$215</f>
        <v>42288</v>
      </c>
      <c r="Y92" s="276">
        <f>12*'04 - Veículos e Equipamentos'!X74*'01 - Dados de Entrada'!$C$215</f>
        <v>42288</v>
      </c>
      <c r="Z92" s="276">
        <f>12*'04 - Veículos e Equipamentos'!Y74*'01 - Dados de Entrada'!$C$215</f>
        <v>42288</v>
      </c>
      <c r="AA92" s="276">
        <f>12*'04 - Veículos e Equipamentos'!Z74*'01 - Dados de Entrada'!$C$215</f>
        <v>42288</v>
      </c>
      <c r="AB92" s="276">
        <f>12*'04 - Veículos e Equipamentos'!AA74*'01 - Dados de Entrada'!$C$215</f>
        <v>42288</v>
      </c>
      <c r="AC92" s="276">
        <f>12*'04 - Veículos e Equipamentos'!AB74*'01 - Dados de Entrada'!$C$215</f>
        <v>42288</v>
      </c>
      <c r="AD92" s="276">
        <f>12*'04 - Veículos e Equipamentos'!AC74*'01 - Dados de Entrada'!$C$215</f>
        <v>42288</v>
      </c>
      <c r="AE92" s="276">
        <f>12*'04 - Veículos e Equipamentos'!AD74*'01 - Dados de Entrada'!$C$215</f>
        <v>42288</v>
      </c>
      <c r="AF92" s="276">
        <f>12*'04 - Veículos e Equipamentos'!AE74*'01 - Dados de Entrada'!$C$215</f>
        <v>42288</v>
      </c>
      <c r="AG92" s="276">
        <f>12*'04 - Veículos e Equipamentos'!AF74*'01 - Dados de Entrada'!$C$215</f>
        <v>42288</v>
      </c>
      <c r="AH92" s="276">
        <f>12*'04 - Veículos e Equipamentos'!AG74*'01 - Dados de Entrada'!$C$215</f>
        <v>42288</v>
      </c>
      <c r="AI92" s="276">
        <f>12*'04 - Veículos e Equipamentos'!AH74*'01 - Dados de Entrada'!$C$215</f>
        <v>42288</v>
      </c>
      <c r="AJ92" s="276">
        <f>12*'04 - Veículos e Equipamentos'!AI74*'01 - Dados de Entrada'!$C$215</f>
        <v>42288</v>
      </c>
      <c r="AK92" s="276">
        <f>12*'04 - Veículos e Equipamentos'!AJ74*'01 - Dados de Entrada'!$C$215</f>
        <v>42288</v>
      </c>
    </row>
    <row r="93" spans="1:37" s="152" customFormat="1" ht="13.15" customHeight="1" x14ac:dyDescent="0.2">
      <c r="A93" s="147" t="s">
        <v>984</v>
      </c>
      <c r="B93" s="275">
        <f>SUM(C93:AK93)</f>
        <v>98.671999999999954</v>
      </c>
      <c r="C93" s="278">
        <f>C92/'01 - Dados de Entrada'!$C$261</f>
        <v>2.8191999999999999</v>
      </c>
      <c r="D93" s="278">
        <f>D92/'01 - Dados de Entrada'!$C$261</f>
        <v>2.8191999999999999</v>
      </c>
      <c r="E93" s="278">
        <f>E92/'01 - Dados de Entrada'!$C$261</f>
        <v>2.8191999999999999</v>
      </c>
      <c r="F93" s="278">
        <f>F92/'01 - Dados de Entrada'!$C$261</f>
        <v>2.8191999999999999</v>
      </c>
      <c r="G93" s="278">
        <f>G92/'01 - Dados de Entrada'!$C$261</f>
        <v>2.8191999999999999</v>
      </c>
      <c r="H93" s="278">
        <f>H92/'01 - Dados de Entrada'!$C$261</f>
        <v>2.8191999999999999</v>
      </c>
      <c r="I93" s="278">
        <f>I92/'01 - Dados de Entrada'!$C$261</f>
        <v>2.8191999999999999</v>
      </c>
      <c r="J93" s="278">
        <f>J92/'01 - Dados de Entrada'!$C$261</f>
        <v>2.8191999999999999</v>
      </c>
      <c r="K93" s="278">
        <f>K92/'01 - Dados de Entrada'!$C$261</f>
        <v>2.8191999999999999</v>
      </c>
      <c r="L93" s="278">
        <f>L92/'01 - Dados de Entrada'!$C$261</f>
        <v>2.8191999999999999</v>
      </c>
      <c r="M93" s="278">
        <f>M92/'01 - Dados de Entrada'!$C$261</f>
        <v>2.8191999999999999</v>
      </c>
      <c r="N93" s="278">
        <f>N92/'01 - Dados de Entrada'!$C$261</f>
        <v>2.8191999999999999</v>
      </c>
      <c r="O93" s="278">
        <f>O92/'01 - Dados de Entrada'!$C$261</f>
        <v>2.8191999999999999</v>
      </c>
      <c r="P93" s="278">
        <f>P92/'01 - Dados de Entrada'!$C$261</f>
        <v>2.8191999999999999</v>
      </c>
      <c r="Q93" s="278">
        <f>Q92/'01 - Dados de Entrada'!$C$261</f>
        <v>2.8191999999999999</v>
      </c>
      <c r="R93" s="278">
        <f>R92/'01 - Dados de Entrada'!$C$261</f>
        <v>2.8191999999999999</v>
      </c>
      <c r="S93" s="278">
        <f>S92/'01 - Dados de Entrada'!$C$261</f>
        <v>2.8191999999999999</v>
      </c>
      <c r="T93" s="278">
        <f>T92/'01 - Dados de Entrada'!$C$261</f>
        <v>2.8191999999999999</v>
      </c>
      <c r="U93" s="278">
        <f>U92/'01 - Dados de Entrada'!$C$261</f>
        <v>2.8191999999999999</v>
      </c>
      <c r="V93" s="278">
        <f>V92/'01 - Dados de Entrada'!$C$261</f>
        <v>2.8191999999999999</v>
      </c>
      <c r="W93" s="278">
        <f>W92/'01 - Dados de Entrada'!$C$261</f>
        <v>2.8191999999999999</v>
      </c>
      <c r="X93" s="278">
        <f>X92/'01 - Dados de Entrada'!$C$261</f>
        <v>2.8191999999999999</v>
      </c>
      <c r="Y93" s="278">
        <f>Y92/'01 - Dados de Entrada'!$C$261</f>
        <v>2.8191999999999999</v>
      </c>
      <c r="Z93" s="278">
        <f>Z92/'01 - Dados de Entrada'!$C$261</f>
        <v>2.8191999999999999</v>
      </c>
      <c r="AA93" s="278">
        <f>AA92/'01 - Dados de Entrada'!$C$261</f>
        <v>2.8191999999999999</v>
      </c>
      <c r="AB93" s="278">
        <f>AB92/'01 - Dados de Entrada'!$C$261</f>
        <v>2.8191999999999999</v>
      </c>
      <c r="AC93" s="278">
        <f>AC92/'01 - Dados de Entrada'!$C$261</f>
        <v>2.8191999999999999</v>
      </c>
      <c r="AD93" s="278">
        <f>AD92/'01 - Dados de Entrada'!$C$261</f>
        <v>2.8191999999999999</v>
      </c>
      <c r="AE93" s="278">
        <f>AE92/'01 - Dados de Entrada'!$C$261</f>
        <v>2.8191999999999999</v>
      </c>
      <c r="AF93" s="278">
        <f>AF92/'01 - Dados de Entrada'!$C$261</f>
        <v>2.8191999999999999</v>
      </c>
      <c r="AG93" s="278">
        <f>AG92/'01 - Dados de Entrada'!$C$261</f>
        <v>2.8191999999999999</v>
      </c>
      <c r="AH93" s="278">
        <f>AH92/'01 - Dados de Entrada'!$C$261</f>
        <v>2.8191999999999999</v>
      </c>
      <c r="AI93" s="278">
        <f>AI92/'01 - Dados de Entrada'!$C$261</f>
        <v>2.8191999999999999</v>
      </c>
      <c r="AJ93" s="278">
        <f>AJ92/'01 - Dados de Entrada'!$C$261</f>
        <v>2.8191999999999999</v>
      </c>
      <c r="AK93" s="278">
        <f>AK92/'01 - Dados de Entrada'!$C$261</f>
        <v>2.8191999999999999</v>
      </c>
    </row>
    <row r="94" spans="1:37" s="152" customFormat="1" ht="13.15" customHeight="1" x14ac:dyDescent="0.2">
      <c r="A94" s="147" t="s">
        <v>985</v>
      </c>
      <c r="B94" s="275">
        <f>SUM(C94:AK94)</f>
        <v>42536.937953663968</v>
      </c>
      <c r="C94" s="275">
        <f>C93*'01 - Dados de Entrada'!$C$287</f>
        <v>1215.3410843904001</v>
      </c>
      <c r="D94" s="275">
        <f>D93*'01 - Dados de Entrada'!$C$287</f>
        <v>1215.3410843904001</v>
      </c>
      <c r="E94" s="275">
        <f>E93*'01 - Dados de Entrada'!$C$287</f>
        <v>1215.3410843904001</v>
      </c>
      <c r="F94" s="275">
        <f>F93*'01 - Dados de Entrada'!$C$287</f>
        <v>1215.3410843904001</v>
      </c>
      <c r="G94" s="275">
        <f>G93*'01 - Dados de Entrada'!$C$287</f>
        <v>1215.3410843904001</v>
      </c>
      <c r="H94" s="275">
        <f>H93*'01 - Dados de Entrada'!$C$287</f>
        <v>1215.3410843904001</v>
      </c>
      <c r="I94" s="275">
        <f>I93*'01 - Dados de Entrada'!$C$287</f>
        <v>1215.3410843904001</v>
      </c>
      <c r="J94" s="275">
        <f>J93*'01 - Dados de Entrada'!$C$287</f>
        <v>1215.3410843904001</v>
      </c>
      <c r="K94" s="275">
        <f>K93*'01 - Dados de Entrada'!$C$287</f>
        <v>1215.3410843904001</v>
      </c>
      <c r="L94" s="275">
        <f>L93*'01 - Dados de Entrada'!$C$287</f>
        <v>1215.3410843904001</v>
      </c>
      <c r="M94" s="275">
        <f>M93*'01 - Dados de Entrada'!$C$287</f>
        <v>1215.3410843904001</v>
      </c>
      <c r="N94" s="275">
        <f>N93*'01 - Dados de Entrada'!$C$287</f>
        <v>1215.3410843904001</v>
      </c>
      <c r="O94" s="275">
        <f>O93*'01 - Dados de Entrada'!$C$287</f>
        <v>1215.3410843904001</v>
      </c>
      <c r="P94" s="275">
        <f>P93*'01 - Dados de Entrada'!$C$287</f>
        <v>1215.3410843904001</v>
      </c>
      <c r="Q94" s="275">
        <f>Q93*'01 - Dados de Entrada'!$C$287</f>
        <v>1215.3410843904001</v>
      </c>
      <c r="R94" s="275">
        <f>R93*'01 - Dados de Entrada'!$C$287</f>
        <v>1215.3410843904001</v>
      </c>
      <c r="S94" s="275">
        <f>S93*'01 - Dados de Entrada'!$C$287</f>
        <v>1215.3410843904001</v>
      </c>
      <c r="T94" s="275">
        <f>T93*'01 - Dados de Entrada'!$C$287</f>
        <v>1215.3410843904001</v>
      </c>
      <c r="U94" s="275">
        <f>U93*'01 - Dados de Entrada'!$C$287</f>
        <v>1215.3410843904001</v>
      </c>
      <c r="V94" s="275">
        <f>V93*'01 - Dados de Entrada'!$C$287</f>
        <v>1215.3410843904001</v>
      </c>
      <c r="W94" s="275">
        <f>W93*'01 - Dados de Entrada'!$C$287</f>
        <v>1215.3410843904001</v>
      </c>
      <c r="X94" s="275">
        <f>X93*'01 - Dados de Entrada'!$C$287</f>
        <v>1215.3410843904001</v>
      </c>
      <c r="Y94" s="275">
        <f>Y93*'01 - Dados de Entrada'!$C$287</f>
        <v>1215.3410843904001</v>
      </c>
      <c r="Z94" s="275">
        <f>Z93*'01 - Dados de Entrada'!$C$287</f>
        <v>1215.3410843904001</v>
      </c>
      <c r="AA94" s="275">
        <f>AA93*'01 - Dados de Entrada'!$C$287</f>
        <v>1215.3410843904001</v>
      </c>
      <c r="AB94" s="275">
        <f>AB93*'01 - Dados de Entrada'!$C$287</f>
        <v>1215.3410843904001</v>
      </c>
      <c r="AC94" s="275">
        <f>AC93*'01 - Dados de Entrada'!$C$287</f>
        <v>1215.3410843904001</v>
      </c>
      <c r="AD94" s="275">
        <f>AD93*'01 - Dados de Entrada'!$C$287</f>
        <v>1215.3410843904001</v>
      </c>
      <c r="AE94" s="275">
        <f>AE93*'01 - Dados de Entrada'!$C$287</f>
        <v>1215.3410843904001</v>
      </c>
      <c r="AF94" s="275">
        <f>AF93*'01 - Dados de Entrada'!$C$287</f>
        <v>1215.3410843904001</v>
      </c>
      <c r="AG94" s="275">
        <f>AG93*'01 - Dados de Entrada'!$C$287</f>
        <v>1215.3410843904001</v>
      </c>
      <c r="AH94" s="275">
        <f>AH93*'01 - Dados de Entrada'!$C$287</f>
        <v>1215.3410843904001</v>
      </c>
      <c r="AI94" s="275">
        <f>AI93*'01 - Dados de Entrada'!$C$287</f>
        <v>1215.3410843904001</v>
      </c>
      <c r="AJ94" s="275">
        <f>AJ93*'01 - Dados de Entrada'!$C$287</f>
        <v>1215.3410843904001</v>
      </c>
      <c r="AK94" s="275">
        <f>AK93*'01 - Dados de Entrada'!$C$287</f>
        <v>1215.3410843904001</v>
      </c>
    </row>
  </sheetData>
  <pageMargins left="0.511811024" right="0.511811024" top="0.78740157499999996" bottom="0.78740157499999996" header="0.31496062000000002" footer="0.31496062000000002"/>
  <pageSetup paperSize="9" scale="2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1"/>
  <dimension ref="A1:AL62"/>
  <sheetViews>
    <sheetView zoomScale="85" zoomScaleNormal="85" workbookViewId="0">
      <selection activeCell="B4" sqref="B4"/>
    </sheetView>
  </sheetViews>
  <sheetFormatPr defaultColWidth="10.7109375" defaultRowHeight="13.15" customHeight="1" x14ac:dyDescent="0.2"/>
  <cols>
    <col min="1" max="1" width="61.28515625" style="20" customWidth="1"/>
    <col min="2" max="2" width="18" style="20" customWidth="1"/>
    <col min="3" max="37" width="13.28515625" style="20" bestFit="1" customWidth="1"/>
    <col min="38" max="16384" width="10.7109375" style="20"/>
  </cols>
  <sheetData>
    <row r="1" spans="1:37" s="51" customFormat="1" ht="13.15" customHeight="1" x14ac:dyDescent="0.2">
      <c r="A1" s="38" t="s">
        <v>0</v>
      </c>
      <c r="B1" s="38"/>
      <c r="C1" s="38"/>
      <c r="D1" s="74"/>
    </row>
    <row r="2" spans="1:37" s="51" customFormat="1" ht="13.15" customHeight="1" x14ac:dyDescent="0.2">
      <c r="A2" s="38" t="s">
        <v>1</v>
      </c>
      <c r="B2" s="38"/>
      <c r="C2" s="38"/>
      <c r="D2" s="74"/>
    </row>
    <row r="3" spans="1:37" s="51" customFormat="1" ht="13.15" customHeight="1" x14ac:dyDescent="0.2">
      <c r="A3" s="38" t="s">
        <v>993</v>
      </c>
      <c r="B3" s="174"/>
      <c r="C3" s="38"/>
      <c r="D3" s="74"/>
    </row>
    <row r="4" spans="1:37" s="51" customFormat="1" ht="13.15" customHeight="1" x14ac:dyDescent="0.2">
      <c r="A4" s="38"/>
      <c r="B4" s="173"/>
      <c r="C4" s="174"/>
      <c r="D4" s="74"/>
      <c r="F4" s="318"/>
    </row>
    <row r="5" spans="1:37" s="38" customFormat="1" ht="13.15" customHeight="1" x14ac:dyDescent="0.2">
      <c r="A5" s="52"/>
      <c r="B5" s="53" t="s">
        <v>994</v>
      </c>
      <c r="C5" s="53" t="s">
        <v>775</v>
      </c>
      <c r="D5" s="53" t="s">
        <v>776</v>
      </c>
      <c r="E5" s="53" t="s">
        <v>777</v>
      </c>
      <c r="F5" s="53" t="s">
        <v>778</v>
      </c>
      <c r="G5" s="53" t="s">
        <v>779</v>
      </c>
      <c r="H5" s="53" t="s">
        <v>780</v>
      </c>
      <c r="I5" s="53" t="s">
        <v>781</v>
      </c>
      <c r="J5" s="53" t="s">
        <v>782</v>
      </c>
      <c r="K5" s="53" t="s">
        <v>783</v>
      </c>
      <c r="L5" s="53" t="s">
        <v>717</v>
      </c>
      <c r="M5" s="53" t="s">
        <v>718</v>
      </c>
      <c r="N5" s="53" t="s">
        <v>719</v>
      </c>
      <c r="O5" s="53" t="s">
        <v>720</v>
      </c>
      <c r="P5" s="53" t="s">
        <v>721</v>
      </c>
      <c r="Q5" s="53" t="s">
        <v>722</v>
      </c>
      <c r="R5" s="53" t="s">
        <v>723</v>
      </c>
      <c r="S5" s="53" t="s">
        <v>724</v>
      </c>
      <c r="T5" s="53" t="s">
        <v>725</v>
      </c>
      <c r="U5" s="53" t="s">
        <v>726</v>
      </c>
      <c r="V5" s="53" t="s">
        <v>727</v>
      </c>
      <c r="W5" s="53" t="s">
        <v>728</v>
      </c>
      <c r="X5" s="53" t="s">
        <v>729</v>
      </c>
      <c r="Y5" s="53" t="s">
        <v>730</v>
      </c>
      <c r="Z5" s="53" t="s">
        <v>731</v>
      </c>
      <c r="AA5" s="53" t="s">
        <v>732</v>
      </c>
      <c r="AB5" s="53" t="s">
        <v>733</v>
      </c>
      <c r="AC5" s="53" t="s">
        <v>734</v>
      </c>
      <c r="AD5" s="53" t="s">
        <v>735</v>
      </c>
      <c r="AE5" s="53" t="s">
        <v>736</v>
      </c>
      <c r="AF5" s="53" t="s">
        <v>737</v>
      </c>
      <c r="AG5" s="53" t="s">
        <v>738</v>
      </c>
      <c r="AH5" s="53" t="s">
        <v>739</v>
      </c>
      <c r="AI5" s="53" t="s">
        <v>740</v>
      </c>
      <c r="AJ5" s="53" t="s">
        <v>741</v>
      </c>
      <c r="AK5" s="53" t="s">
        <v>742</v>
      </c>
    </row>
    <row r="6" spans="1:37" ht="13.15" customHeight="1" x14ac:dyDescent="0.2">
      <c r="A6" s="86" t="s">
        <v>995</v>
      </c>
      <c r="B6" s="87">
        <f t="shared" ref="B6:B13" si="0">SUM(C6:AK6)</f>
        <v>111054004.39899996</v>
      </c>
      <c r="C6" s="87">
        <f t="shared" ref="C6:AK6" si="1">SUM(C8:C62)</f>
        <v>2863622.021666666</v>
      </c>
      <c r="D6" s="87">
        <f t="shared" si="1"/>
        <v>2884049.8179999995</v>
      </c>
      <c r="E6" s="87">
        <f t="shared" si="1"/>
        <v>2968555.1476666657</v>
      </c>
      <c r="F6" s="87">
        <f t="shared" si="1"/>
        <v>2968584.447666666</v>
      </c>
      <c r="G6" s="87">
        <f t="shared" si="1"/>
        <v>3032304.3439999991</v>
      </c>
      <c r="H6" s="87">
        <f t="shared" si="1"/>
        <v>3133676.243999999</v>
      </c>
      <c r="I6" s="87">
        <f t="shared" si="1"/>
        <v>3133705.5439999988</v>
      </c>
      <c r="J6" s="87">
        <f t="shared" si="1"/>
        <v>3216755.5439999993</v>
      </c>
      <c r="K6" s="87">
        <f t="shared" si="1"/>
        <v>3216755.5439999993</v>
      </c>
      <c r="L6" s="87">
        <f t="shared" si="1"/>
        <v>3216755.5439999993</v>
      </c>
      <c r="M6" s="87">
        <f t="shared" si="1"/>
        <v>3216755.5439999993</v>
      </c>
      <c r="N6" s="87">
        <f t="shared" si="1"/>
        <v>3216784.8439999991</v>
      </c>
      <c r="O6" s="87">
        <f t="shared" si="1"/>
        <v>3216784.8439999991</v>
      </c>
      <c r="P6" s="87">
        <f t="shared" si="1"/>
        <v>3216784.8439999991</v>
      </c>
      <c r="Q6" s="87">
        <f t="shared" si="1"/>
        <v>3216784.8439999991</v>
      </c>
      <c r="R6" s="87">
        <f t="shared" si="1"/>
        <v>3216784.8439999991</v>
      </c>
      <c r="S6" s="87">
        <f t="shared" si="1"/>
        <v>3216784.8439999991</v>
      </c>
      <c r="T6" s="87">
        <f t="shared" si="1"/>
        <v>3216784.8439999991</v>
      </c>
      <c r="U6" s="87">
        <f t="shared" si="1"/>
        <v>3216784.8439999991</v>
      </c>
      <c r="V6" s="87">
        <f t="shared" si="1"/>
        <v>3216784.8439999991</v>
      </c>
      <c r="W6" s="87">
        <f t="shared" si="1"/>
        <v>3216784.8439999991</v>
      </c>
      <c r="X6" s="87">
        <f t="shared" si="1"/>
        <v>3216784.8439999991</v>
      </c>
      <c r="Y6" s="87">
        <f t="shared" si="1"/>
        <v>3216784.8439999991</v>
      </c>
      <c r="Z6" s="87">
        <f t="shared" si="1"/>
        <v>3216784.8439999991</v>
      </c>
      <c r="AA6" s="87">
        <f t="shared" si="1"/>
        <v>3216784.8439999991</v>
      </c>
      <c r="AB6" s="87">
        <f t="shared" si="1"/>
        <v>3216784.8439999991</v>
      </c>
      <c r="AC6" s="87">
        <f t="shared" si="1"/>
        <v>3216755.5439999993</v>
      </c>
      <c r="AD6" s="87">
        <f t="shared" si="1"/>
        <v>3216755.5439999993</v>
      </c>
      <c r="AE6" s="87">
        <f t="shared" si="1"/>
        <v>3216755.5439999993</v>
      </c>
      <c r="AF6" s="87">
        <f t="shared" si="1"/>
        <v>3216755.5439999993</v>
      </c>
      <c r="AG6" s="87">
        <f t="shared" si="1"/>
        <v>3216755.5439999993</v>
      </c>
      <c r="AH6" s="87">
        <f t="shared" si="1"/>
        <v>3216755.5439999993</v>
      </c>
      <c r="AI6" s="87">
        <f t="shared" si="1"/>
        <v>3216726.2439999995</v>
      </c>
      <c r="AJ6" s="87">
        <f t="shared" si="1"/>
        <v>3216726.2439999995</v>
      </c>
      <c r="AK6" s="87">
        <f t="shared" si="1"/>
        <v>3216726.2439999995</v>
      </c>
    </row>
    <row r="7" spans="1:37" s="35" customFormat="1" ht="13.15" customHeight="1" x14ac:dyDescent="0.2">
      <c r="A7" s="263" t="s">
        <v>864</v>
      </c>
      <c r="B7" s="149">
        <f>SUM(C7:AK7)</f>
        <v>0</v>
      </c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/>
      <c r="Z7" s="316"/>
      <c r="AA7" s="316"/>
      <c r="AB7" s="316"/>
      <c r="AC7" s="316"/>
      <c r="AD7" s="316"/>
      <c r="AE7" s="316"/>
      <c r="AF7" s="316"/>
      <c r="AG7" s="316"/>
      <c r="AH7" s="316"/>
      <c r="AI7" s="316"/>
      <c r="AJ7" s="316"/>
      <c r="AK7" s="316"/>
    </row>
    <row r="8" spans="1:37" s="35" customFormat="1" ht="13.15" customHeight="1" x14ac:dyDescent="0.2">
      <c r="A8" s="34" t="s">
        <v>996</v>
      </c>
      <c r="B8" s="149">
        <f t="shared" si="0"/>
        <v>19987500</v>
      </c>
      <c r="C8" s="278">
        <f>('04 - Veículos e Equipamentos'!B12+'04 - Veículos e Equipamentos'!B8)*('01 - Dados de Entrada'!$C$44+'01 - Dados de Entrada'!$C$49)*'01 - Dados de Entrada'!$C$289</f>
        <v>487500</v>
      </c>
      <c r="D8" s="278">
        <f>('04 - Veículos e Equipamentos'!C12+'04 - Veículos e Equipamentos'!C8)*('01 - Dados de Entrada'!$C$44+'01 - Dados de Entrada'!$C$49)*'01 - Dados de Entrada'!$C$289</f>
        <v>487500</v>
      </c>
      <c r="E8" s="278">
        <f>('04 - Veículos e Equipamentos'!D12+'04 - Veículos e Equipamentos'!D8)*('01 - Dados de Entrada'!$C$44+'01 - Dados de Entrada'!$C$49)*'01 - Dados de Entrada'!$C$289</f>
        <v>487500</v>
      </c>
      <c r="F8" s="278">
        <f>('04 - Veículos e Equipamentos'!E12+'04 - Veículos e Equipamentos'!E8)*('01 - Dados de Entrada'!$C$44+'01 - Dados de Entrada'!$C$49)*'01 - Dados de Entrada'!$C$289</f>
        <v>487500</v>
      </c>
      <c r="G8" s="278">
        <f>('04 - Veículos e Equipamentos'!F12+'04 - Veículos e Equipamentos'!F8)*('01 - Dados de Entrada'!$C$44+'01 - Dados de Entrada'!$C$49)*'01 - Dados de Entrada'!$C$289</f>
        <v>487500</v>
      </c>
      <c r="H8" s="278">
        <f>('04 - Veículos e Equipamentos'!G12+'04 - Veículos e Equipamentos'!G8)*('01 - Dados de Entrada'!$C$44+'01 - Dados de Entrada'!$C$49)*'01 - Dados de Entrada'!$C$289</f>
        <v>585000</v>
      </c>
      <c r="I8" s="278">
        <f>('04 - Veículos e Equipamentos'!H12+'04 - Veículos e Equipamentos'!H8)*('01 - Dados de Entrada'!$C$44+'01 - Dados de Entrada'!$C$49)*'01 - Dados de Entrada'!$C$289</f>
        <v>585000</v>
      </c>
      <c r="J8" s="278">
        <f>('04 - Veículos e Equipamentos'!I12+'04 - Veículos e Equipamentos'!I8)*('01 - Dados de Entrada'!$C$44+'01 - Dados de Entrada'!$C$49)*'01 - Dados de Entrada'!$C$289</f>
        <v>585000</v>
      </c>
      <c r="K8" s="278">
        <f>('04 - Veículos e Equipamentos'!J12+'04 - Veículos e Equipamentos'!J8)*('01 - Dados de Entrada'!$C$44+'01 - Dados de Entrada'!$C$49)*'01 - Dados de Entrada'!$C$289</f>
        <v>585000</v>
      </c>
      <c r="L8" s="278">
        <f>('04 - Veículos e Equipamentos'!K12+'04 - Veículos e Equipamentos'!K8)*('01 - Dados de Entrada'!$C$44+'01 - Dados de Entrada'!$C$49)*'01 - Dados de Entrada'!$C$289</f>
        <v>585000</v>
      </c>
      <c r="M8" s="278">
        <f>('04 - Veículos e Equipamentos'!L12+'04 - Veículos e Equipamentos'!L8)*('01 - Dados de Entrada'!$C$44+'01 - Dados de Entrada'!$C$49)*'01 - Dados de Entrada'!$C$289</f>
        <v>585000</v>
      </c>
      <c r="N8" s="278">
        <f>('04 - Veículos e Equipamentos'!M12+'04 - Veículos e Equipamentos'!M8)*('01 - Dados de Entrada'!$C$44+'01 - Dados de Entrada'!$C$49)*'01 - Dados de Entrada'!$C$289</f>
        <v>585000</v>
      </c>
      <c r="O8" s="278">
        <f>('04 - Veículos e Equipamentos'!N12+'04 - Veículos e Equipamentos'!N8)*('01 - Dados de Entrada'!$C$44+'01 - Dados de Entrada'!$C$49)*'01 - Dados de Entrada'!$C$289</f>
        <v>585000</v>
      </c>
      <c r="P8" s="278">
        <f>('04 - Veículos e Equipamentos'!O12+'04 - Veículos e Equipamentos'!O8)*('01 - Dados de Entrada'!$C$44+'01 - Dados de Entrada'!$C$49)*'01 - Dados de Entrada'!$C$289</f>
        <v>585000</v>
      </c>
      <c r="Q8" s="278">
        <f>('04 - Veículos e Equipamentos'!P12+'04 - Veículos e Equipamentos'!P8)*('01 - Dados de Entrada'!$C$44+'01 - Dados de Entrada'!$C$49)*'01 - Dados de Entrada'!$C$289</f>
        <v>585000</v>
      </c>
      <c r="R8" s="278">
        <f>('04 - Veículos e Equipamentos'!Q12+'04 - Veículos e Equipamentos'!Q8)*('01 - Dados de Entrada'!$C$44+'01 - Dados de Entrada'!$C$49)*'01 - Dados de Entrada'!$C$289</f>
        <v>585000</v>
      </c>
      <c r="S8" s="278">
        <f>('04 - Veículos e Equipamentos'!R12+'04 - Veículos e Equipamentos'!R8)*('01 - Dados de Entrada'!$C$44+'01 - Dados de Entrada'!$C$49)*'01 - Dados de Entrada'!$C$289</f>
        <v>585000</v>
      </c>
      <c r="T8" s="278">
        <f>('04 - Veículos e Equipamentos'!S12+'04 - Veículos e Equipamentos'!S8)*('01 - Dados de Entrada'!$C$44+'01 - Dados de Entrada'!$C$49)*'01 - Dados de Entrada'!$C$289</f>
        <v>585000</v>
      </c>
      <c r="U8" s="278">
        <f>('04 - Veículos e Equipamentos'!T12+'04 - Veículos e Equipamentos'!T8)*('01 - Dados de Entrada'!$C$44+'01 - Dados de Entrada'!$C$49)*'01 - Dados de Entrada'!$C$289</f>
        <v>585000</v>
      </c>
      <c r="V8" s="278">
        <f>('04 - Veículos e Equipamentos'!U12+'04 - Veículos e Equipamentos'!U8)*('01 - Dados de Entrada'!$C$44+'01 - Dados de Entrada'!$C$49)*'01 - Dados de Entrada'!$C$289</f>
        <v>585000</v>
      </c>
      <c r="W8" s="278">
        <f>('04 - Veículos e Equipamentos'!V12+'04 - Veículos e Equipamentos'!V8)*('01 - Dados de Entrada'!$C$44+'01 - Dados de Entrada'!$C$49)*'01 - Dados de Entrada'!$C$289</f>
        <v>585000</v>
      </c>
      <c r="X8" s="278">
        <f>('04 - Veículos e Equipamentos'!W12+'04 - Veículos e Equipamentos'!W8)*('01 - Dados de Entrada'!$C$44+'01 - Dados de Entrada'!$C$49)*'01 - Dados de Entrada'!$C$289</f>
        <v>585000</v>
      </c>
      <c r="Y8" s="278">
        <f>('04 - Veículos e Equipamentos'!X12+'04 - Veículos e Equipamentos'!X8)*('01 - Dados de Entrada'!$C$44+'01 - Dados de Entrada'!$C$49)*'01 - Dados de Entrada'!$C$289</f>
        <v>585000</v>
      </c>
      <c r="Z8" s="278">
        <f>('04 - Veículos e Equipamentos'!Y12+'04 - Veículos e Equipamentos'!Y8)*('01 - Dados de Entrada'!$C$44+'01 - Dados de Entrada'!$C$49)*'01 - Dados de Entrada'!$C$289</f>
        <v>585000</v>
      </c>
      <c r="AA8" s="278">
        <f>('04 - Veículos e Equipamentos'!Z12+'04 - Veículos e Equipamentos'!Z8)*('01 - Dados de Entrada'!$C$44+'01 - Dados de Entrada'!$C$49)*'01 - Dados de Entrada'!$C$289</f>
        <v>585000</v>
      </c>
      <c r="AB8" s="278">
        <f>('04 - Veículos e Equipamentos'!AA12+'04 - Veículos e Equipamentos'!AA8)*('01 - Dados de Entrada'!$C$44+'01 - Dados de Entrada'!$C$49)*'01 - Dados de Entrada'!$C$289</f>
        <v>585000</v>
      </c>
      <c r="AC8" s="278">
        <f>('04 - Veículos e Equipamentos'!AB12+'04 - Veículos e Equipamentos'!AB8)*('01 - Dados de Entrada'!$C$44+'01 - Dados de Entrada'!$C$49)*'01 - Dados de Entrada'!$C$289</f>
        <v>585000</v>
      </c>
      <c r="AD8" s="278">
        <f>('04 - Veículos e Equipamentos'!AC12+'04 - Veículos e Equipamentos'!AC8)*('01 - Dados de Entrada'!$C$44+'01 - Dados de Entrada'!$C$49)*'01 - Dados de Entrada'!$C$289</f>
        <v>585000</v>
      </c>
      <c r="AE8" s="278">
        <f>('04 - Veículos e Equipamentos'!AD12+'04 - Veículos e Equipamentos'!AD8)*('01 - Dados de Entrada'!$C$44+'01 - Dados de Entrada'!$C$49)*'01 - Dados de Entrada'!$C$289</f>
        <v>585000</v>
      </c>
      <c r="AF8" s="278">
        <f>('04 - Veículos e Equipamentos'!AE12+'04 - Veículos e Equipamentos'!AE8)*('01 - Dados de Entrada'!$C$44+'01 - Dados de Entrada'!$C$49)*'01 - Dados de Entrada'!$C$289</f>
        <v>585000</v>
      </c>
      <c r="AG8" s="278">
        <f>('04 - Veículos e Equipamentos'!AF12+'04 - Veículos e Equipamentos'!AF8)*('01 - Dados de Entrada'!$C$44+'01 - Dados de Entrada'!$C$49)*'01 - Dados de Entrada'!$C$289</f>
        <v>585000</v>
      </c>
      <c r="AH8" s="278">
        <f>('04 - Veículos e Equipamentos'!AG12+'04 - Veículos e Equipamentos'!AG8)*('01 - Dados de Entrada'!$C$44+'01 - Dados de Entrada'!$C$49)*'01 - Dados de Entrada'!$C$289</f>
        <v>585000</v>
      </c>
      <c r="AI8" s="278">
        <f>('04 - Veículos e Equipamentos'!AH12+'04 - Veículos e Equipamentos'!AH8)*('01 - Dados de Entrada'!$C$44+'01 - Dados de Entrada'!$C$49)*'01 - Dados de Entrada'!$C$289</f>
        <v>585000</v>
      </c>
      <c r="AJ8" s="278">
        <f>('04 - Veículos e Equipamentos'!AI12+'04 - Veículos e Equipamentos'!AI8)*('01 - Dados de Entrada'!$C$44+'01 - Dados de Entrada'!$C$49)*'01 - Dados de Entrada'!$C$289</f>
        <v>585000</v>
      </c>
      <c r="AK8" s="278">
        <f>('04 - Veículos e Equipamentos'!AJ12+'04 - Veículos e Equipamentos'!AJ8)*('01 - Dados de Entrada'!$C$44+'01 - Dados de Entrada'!$C$49)*'01 - Dados de Entrada'!$C$289</f>
        <v>585000</v>
      </c>
    </row>
    <row r="9" spans="1:37" s="35" customFormat="1" ht="13.15" customHeight="1" x14ac:dyDescent="0.2">
      <c r="A9" s="34" t="s">
        <v>788</v>
      </c>
      <c r="B9" s="149">
        <f t="shared" si="0"/>
        <v>9715015.8000000007</v>
      </c>
      <c r="C9" s="278">
        <f>('04 - Veículos e Equipamentos'!B10+'04 - Veículos e Equipamentos'!B11)*('01 - Dados de Entrada'!$C$47+'01 - Dados de Entrada'!$C$53)*'01 - Dados de Entrada'!$C$289</f>
        <v>277571.88</v>
      </c>
      <c r="D9" s="278">
        <f>('04 - Veículos e Equipamentos'!C10+'04 - Veículos e Equipamentos'!C11)*('01 - Dados de Entrada'!$C$47+'01 - Dados de Entrada'!$C$53)*'01 - Dados de Entrada'!$C$289</f>
        <v>277571.88</v>
      </c>
      <c r="E9" s="278">
        <f>('04 - Veículos e Equipamentos'!D10+'04 - Veículos e Equipamentos'!D11)*('01 - Dados de Entrada'!$C$47+'01 - Dados de Entrada'!$C$53)*'01 - Dados de Entrada'!$C$289</f>
        <v>277571.88</v>
      </c>
      <c r="F9" s="278">
        <f>('04 - Veículos e Equipamentos'!E10+'04 - Veículos e Equipamentos'!E11)*('01 - Dados de Entrada'!$C$47+'01 - Dados de Entrada'!$C$53)*'01 - Dados de Entrada'!$C$289</f>
        <v>277571.88</v>
      </c>
      <c r="G9" s="278">
        <f>('04 - Veículos e Equipamentos'!F10+'04 - Veículos e Equipamentos'!F11)*('01 - Dados de Entrada'!$C$47+'01 - Dados de Entrada'!$C$53)*'01 - Dados de Entrada'!$C$289</f>
        <v>277571.88</v>
      </c>
      <c r="H9" s="278">
        <f>('04 - Veículos e Equipamentos'!G10+'04 - Veículos e Equipamentos'!G11)*('01 - Dados de Entrada'!$C$47+'01 - Dados de Entrada'!$C$53)*'01 - Dados de Entrada'!$C$289</f>
        <v>277571.88</v>
      </c>
      <c r="I9" s="278">
        <f>('04 - Veículos e Equipamentos'!H10+'04 - Veículos e Equipamentos'!H11)*('01 - Dados de Entrada'!$C$47+'01 - Dados de Entrada'!$C$53)*'01 - Dados de Entrada'!$C$289</f>
        <v>277571.88</v>
      </c>
      <c r="J9" s="278">
        <f>('04 - Veículos e Equipamentos'!I10+'04 - Veículos e Equipamentos'!I11)*('01 - Dados de Entrada'!$C$47+'01 - Dados de Entrada'!$C$53)*'01 - Dados de Entrada'!$C$289</f>
        <v>277571.88</v>
      </c>
      <c r="K9" s="278">
        <f>('04 - Veículos e Equipamentos'!J10+'04 - Veículos e Equipamentos'!J11)*('01 - Dados de Entrada'!$C$47+'01 - Dados de Entrada'!$C$53)*'01 - Dados de Entrada'!$C$289</f>
        <v>277571.88</v>
      </c>
      <c r="L9" s="278">
        <f>('04 - Veículos e Equipamentos'!K10+'04 - Veículos e Equipamentos'!K11)*('01 - Dados de Entrada'!$C$47+'01 - Dados de Entrada'!$C$53)*'01 - Dados de Entrada'!$C$289</f>
        <v>277571.88</v>
      </c>
      <c r="M9" s="278">
        <f>('04 - Veículos e Equipamentos'!L10+'04 - Veículos e Equipamentos'!L11)*('01 - Dados de Entrada'!$C$47+'01 - Dados de Entrada'!$C$53)*'01 - Dados de Entrada'!$C$289</f>
        <v>277571.88</v>
      </c>
      <c r="N9" s="278">
        <f>('04 - Veículos e Equipamentos'!M10+'04 - Veículos e Equipamentos'!M11)*('01 - Dados de Entrada'!$C$47+'01 - Dados de Entrada'!$C$53)*'01 - Dados de Entrada'!$C$289</f>
        <v>277571.88</v>
      </c>
      <c r="O9" s="278">
        <f>('04 - Veículos e Equipamentos'!N10+'04 - Veículos e Equipamentos'!N11)*('01 - Dados de Entrada'!$C$47+'01 - Dados de Entrada'!$C$53)*'01 - Dados de Entrada'!$C$289</f>
        <v>277571.88</v>
      </c>
      <c r="P9" s="278">
        <f>('04 - Veículos e Equipamentos'!O10+'04 - Veículos e Equipamentos'!O11)*('01 - Dados de Entrada'!$C$47+'01 - Dados de Entrada'!$C$53)*'01 - Dados de Entrada'!$C$289</f>
        <v>277571.88</v>
      </c>
      <c r="Q9" s="278">
        <f>('04 - Veículos e Equipamentos'!P10+'04 - Veículos e Equipamentos'!P11)*('01 - Dados de Entrada'!$C$47+'01 - Dados de Entrada'!$C$53)*'01 - Dados de Entrada'!$C$289</f>
        <v>277571.88</v>
      </c>
      <c r="R9" s="278">
        <f>('04 - Veículos e Equipamentos'!Q10+'04 - Veículos e Equipamentos'!Q11)*('01 - Dados de Entrada'!$C$47+'01 - Dados de Entrada'!$C$53)*'01 - Dados de Entrada'!$C$289</f>
        <v>277571.88</v>
      </c>
      <c r="S9" s="278">
        <f>('04 - Veículos e Equipamentos'!R10+'04 - Veículos e Equipamentos'!R11)*('01 - Dados de Entrada'!$C$47+'01 - Dados de Entrada'!$C$53)*'01 - Dados de Entrada'!$C$289</f>
        <v>277571.88</v>
      </c>
      <c r="T9" s="278">
        <f>('04 - Veículos e Equipamentos'!S10+'04 - Veículos e Equipamentos'!S11)*('01 - Dados de Entrada'!$C$47+'01 - Dados de Entrada'!$C$53)*'01 - Dados de Entrada'!$C$289</f>
        <v>277571.88</v>
      </c>
      <c r="U9" s="278">
        <f>('04 - Veículos e Equipamentos'!T10+'04 - Veículos e Equipamentos'!T11)*('01 - Dados de Entrada'!$C$47+'01 - Dados de Entrada'!$C$53)*'01 - Dados de Entrada'!$C$289</f>
        <v>277571.88</v>
      </c>
      <c r="V9" s="278">
        <f>('04 - Veículos e Equipamentos'!U10+'04 - Veículos e Equipamentos'!U11)*('01 - Dados de Entrada'!$C$47+'01 - Dados de Entrada'!$C$53)*'01 - Dados de Entrada'!$C$289</f>
        <v>277571.88</v>
      </c>
      <c r="W9" s="278">
        <f>('04 - Veículos e Equipamentos'!V10+'04 - Veículos e Equipamentos'!V11)*('01 - Dados de Entrada'!$C$47+'01 - Dados de Entrada'!$C$53)*'01 - Dados de Entrada'!$C$289</f>
        <v>277571.88</v>
      </c>
      <c r="X9" s="278">
        <f>('04 - Veículos e Equipamentos'!W10+'04 - Veículos e Equipamentos'!W11)*('01 - Dados de Entrada'!$C$47+'01 - Dados de Entrada'!$C$53)*'01 - Dados de Entrada'!$C$289</f>
        <v>277571.88</v>
      </c>
      <c r="Y9" s="278">
        <f>('04 - Veículos e Equipamentos'!X10+'04 - Veículos e Equipamentos'!X11)*('01 - Dados de Entrada'!$C$47+'01 - Dados de Entrada'!$C$53)*'01 - Dados de Entrada'!$C$289</f>
        <v>277571.88</v>
      </c>
      <c r="Z9" s="278">
        <f>('04 - Veículos e Equipamentos'!Y10+'04 - Veículos e Equipamentos'!Y11)*('01 - Dados de Entrada'!$C$47+'01 - Dados de Entrada'!$C$53)*'01 - Dados de Entrada'!$C$289</f>
        <v>277571.88</v>
      </c>
      <c r="AA9" s="278">
        <f>('04 - Veículos e Equipamentos'!Z10+'04 - Veículos e Equipamentos'!Z11)*('01 - Dados de Entrada'!$C$47+'01 - Dados de Entrada'!$C$53)*'01 - Dados de Entrada'!$C$289</f>
        <v>277571.88</v>
      </c>
      <c r="AB9" s="278">
        <f>('04 - Veículos e Equipamentos'!AA10+'04 - Veículos e Equipamentos'!AA11)*('01 - Dados de Entrada'!$C$47+'01 - Dados de Entrada'!$C$53)*'01 - Dados de Entrada'!$C$289</f>
        <v>277571.88</v>
      </c>
      <c r="AC9" s="278">
        <f>('04 - Veículos e Equipamentos'!AB10+'04 - Veículos e Equipamentos'!AB11)*('01 - Dados de Entrada'!$C$47+'01 - Dados de Entrada'!$C$53)*'01 - Dados de Entrada'!$C$289</f>
        <v>277571.88</v>
      </c>
      <c r="AD9" s="278">
        <f>('04 - Veículos e Equipamentos'!AC10+'04 - Veículos e Equipamentos'!AC11)*('01 - Dados de Entrada'!$C$47+'01 - Dados de Entrada'!$C$53)*'01 - Dados de Entrada'!$C$289</f>
        <v>277571.88</v>
      </c>
      <c r="AE9" s="278">
        <f>('04 - Veículos e Equipamentos'!AD10+'04 - Veículos e Equipamentos'!AD11)*('01 - Dados de Entrada'!$C$47+'01 - Dados de Entrada'!$C$53)*'01 - Dados de Entrada'!$C$289</f>
        <v>277571.88</v>
      </c>
      <c r="AF9" s="278">
        <f>('04 - Veículos e Equipamentos'!AE10+'04 - Veículos e Equipamentos'!AE11)*('01 - Dados de Entrada'!$C$47+'01 - Dados de Entrada'!$C$53)*'01 - Dados de Entrada'!$C$289</f>
        <v>277571.88</v>
      </c>
      <c r="AG9" s="278">
        <f>('04 - Veículos e Equipamentos'!AF10+'04 - Veículos e Equipamentos'!AF11)*('01 - Dados de Entrada'!$C$47+'01 - Dados de Entrada'!$C$53)*'01 - Dados de Entrada'!$C$289</f>
        <v>277571.88</v>
      </c>
      <c r="AH9" s="278">
        <f>('04 - Veículos e Equipamentos'!AG10+'04 - Veículos e Equipamentos'!AG11)*('01 - Dados de Entrada'!$C$47+'01 - Dados de Entrada'!$C$53)*'01 - Dados de Entrada'!$C$289</f>
        <v>277571.88</v>
      </c>
      <c r="AI9" s="278">
        <f>('04 - Veículos e Equipamentos'!AH10+'04 - Veículos e Equipamentos'!AH11)*('01 - Dados de Entrada'!$C$47+'01 - Dados de Entrada'!$C$53)*'01 - Dados de Entrada'!$C$289</f>
        <v>277571.88</v>
      </c>
      <c r="AJ9" s="278">
        <f>('04 - Veículos e Equipamentos'!AI10+'04 - Veículos e Equipamentos'!AI11)*('01 - Dados de Entrada'!$C$47+'01 - Dados de Entrada'!$C$53)*'01 - Dados de Entrada'!$C$289</f>
        <v>277571.88</v>
      </c>
      <c r="AK9" s="278">
        <f>('04 - Veículos e Equipamentos'!AJ10+'04 - Veículos e Equipamentos'!AJ11)*('01 - Dados de Entrada'!$C$47+'01 - Dados de Entrada'!$C$53)*'01 - Dados de Entrada'!$C$289</f>
        <v>277571.88</v>
      </c>
    </row>
    <row r="10" spans="1:37" s="35" customFormat="1" ht="13.15" customHeight="1" x14ac:dyDescent="0.2">
      <c r="A10" s="34" t="s">
        <v>997</v>
      </c>
      <c r="B10" s="149">
        <f t="shared" si="0"/>
        <v>442800</v>
      </c>
      <c r="C10" s="278">
        <f>('04 - Veículos e Equipamentos'!B9+'04 - Veículos e Equipamentos'!B8)*'01 - Dados de Entrada'!$C$51*'01 - Dados de Entrada'!$C$289</f>
        <v>10800</v>
      </c>
      <c r="D10" s="278">
        <f>('04 - Veículos e Equipamentos'!C9+'04 - Veículos e Equipamentos'!C8)*'01 - Dados de Entrada'!$C$51*'01 - Dados de Entrada'!$C$289</f>
        <v>10800</v>
      </c>
      <c r="E10" s="278">
        <f>('04 - Veículos e Equipamentos'!D9+'04 - Veículos e Equipamentos'!D8)*'01 - Dados de Entrada'!$C$51*'01 - Dados de Entrada'!$C$289</f>
        <v>10800</v>
      </c>
      <c r="F10" s="278">
        <f>('04 - Veículos e Equipamentos'!E9+'04 - Veículos e Equipamentos'!E8)*'01 - Dados de Entrada'!$C$51*'01 - Dados de Entrada'!$C$289</f>
        <v>10800</v>
      </c>
      <c r="G10" s="278">
        <f>('04 - Veículos e Equipamentos'!F9+'04 - Veículos e Equipamentos'!F8)*'01 - Dados de Entrada'!$C$51*'01 - Dados de Entrada'!$C$289</f>
        <v>10800</v>
      </c>
      <c r="H10" s="278">
        <f>('04 - Veículos e Equipamentos'!G9+'04 - Veículos e Equipamentos'!G8)*'01 - Dados de Entrada'!$C$51*'01 - Dados de Entrada'!$C$289</f>
        <v>12960</v>
      </c>
      <c r="I10" s="278">
        <f>('04 - Veículos e Equipamentos'!H9+'04 - Veículos e Equipamentos'!H8)*'01 - Dados de Entrada'!$C$51*'01 - Dados de Entrada'!$C$289</f>
        <v>12960</v>
      </c>
      <c r="J10" s="278">
        <f>('04 - Veículos e Equipamentos'!I9+'04 - Veículos e Equipamentos'!I8)*'01 - Dados de Entrada'!$C$51*'01 - Dados de Entrada'!$C$289</f>
        <v>12960</v>
      </c>
      <c r="K10" s="278">
        <f>('04 - Veículos e Equipamentos'!J9+'04 - Veículos e Equipamentos'!J8)*'01 - Dados de Entrada'!$C$51*'01 - Dados de Entrada'!$C$289</f>
        <v>12960</v>
      </c>
      <c r="L10" s="278">
        <f>('04 - Veículos e Equipamentos'!K9+'04 - Veículos e Equipamentos'!K8)*'01 - Dados de Entrada'!$C$51*'01 - Dados de Entrada'!$C$289</f>
        <v>12960</v>
      </c>
      <c r="M10" s="278">
        <f>('04 - Veículos e Equipamentos'!L9+'04 - Veículos e Equipamentos'!L8)*'01 - Dados de Entrada'!$C$51*'01 - Dados de Entrada'!$C$289</f>
        <v>12960</v>
      </c>
      <c r="N10" s="278">
        <f>('04 - Veículos e Equipamentos'!M9+'04 - Veículos e Equipamentos'!M8)*'01 - Dados de Entrada'!$C$51*'01 - Dados de Entrada'!$C$289</f>
        <v>12960</v>
      </c>
      <c r="O10" s="278">
        <f>('04 - Veículos e Equipamentos'!N9+'04 - Veículos e Equipamentos'!N8)*'01 - Dados de Entrada'!$C$51*'01 - Dados de Entrada'!$C$289</f>
        <v>12960</v>
      </c>
      <c r="P10" s="278">
        <f>('04 - Veículos e Equipamentos'!O9+'04 - Veículos e Equipamentos'!O8)*'01 - Dados de Entrada'!$C$51*'01 - Dados de Entrada'!$C$289</f>
        <v>12960</v>
      </c>
      <c r="Q10" s="278">
        <f>('04 - Veículos e Equipamentos'!P9+'04 - Veículos e Equipamentos'!P8)*'01 - Dados de Entrada'!$C$51*'01 - Dados de Entrada'!$C$289</f>
        <v>12960</v>
      </c>
      <c r="R10" s="278">
        <f>('04 - Veículos e Equipamentos'!Q9+'04 - Veículos e Equipamentos'!Q8)*'01 - Dados de Entrada'!$C$51*'01 - Dados de Entrada'!$C$289</f>
        <v>12960</v>
      </c>
      <c r="S10" s="278">
        <f>('04 - Veículos e Equipamentos'!R9+'04 - Veículos e Equipamentos'!R8)*'01 - Dados de Entrada'!$C$51*'01 - Dados de Entrada'!$C$289</f>
        <v>12960</v>
      </c>
      <c r="T10" s="278">
        <f>('04 - Veículos e Equipamentos'!S9+'04 - Veículos e Equipamentos'!S8)*'01 - Dados de Entrada'!$C$51*'01 - Dados de Entrada'!$C$289</f>
        <v>12960</v>
      </c>
      <c r="U10" s="278">
        <f>('04 - Veículos e Equipamentos'!T9+'04 - Veículos e Equipamentos'!T8)*'01 - Dados de Entrada'!$C$51*'01 - Dados de Entrada'!$C$289</f>
        <v>12960</v>
      </c>
      <c r="V10" s="278">
        <f>('04 - Veículos e Equipamentos'!U9+'04 - Veículos e Equipamentos'!U8)*'01 - Dados de Entrada'!$C$51*'01 - Dados de Entrada'!$C$289</f>
        <v>12960</v>
      </c>
      <c r="W10" s="278">
        <f>('04 - Veículos e Equipamentos'!V9+'04 - Veículos e Equipamentos'!V8)*'01 - Dados de Entrada'!$C$51*'01 - Dados de Entrada'!$C$289</f>
        <v>12960</v>
      </c>
      <c r="X10" s="278">
        <f>('04 - Veículos e Equipamentos'!W9+'04 - Veículos e Equipamentos'!W8)*'01 - Dados de Entrada'!$C$51*'01 - Dados de Entrada'!$C$289</f>
        <v>12960</v>
      </c>
      <c r="Y10" s="278">
        <f>('04 - Veículos e Equipamentos'!X9+'04 - Veículos e Equipamentos'!X8)*'01 - Dados de Entrada'!$C$51*'01 - Dados de Entrada'!$C$289</f>
        <v>12960</v>
      </c>
      <c r="Z10" s="278">
        <f>('04 - Veículos e Equipamentos'!Y9+'04 - Veículos e Equipamentos'!Y8)*'01 - Dados de Entrada'!$C$51*'01 - Dados de Entrada'!$C$289</f>
        <v>12960</v>
      </c>
      <c r="AA10" s="278">
        <f>('04 - Veículos e Equipamentos'!Z9+'04 - Veículos e Equipamentos'!Z8)*'01 - Dados de Entrada'!$C$51*'01 - Dados de Entrada'!$C$289</f>
        <v>12960</v>
      </c>
      <c r="AB10" s="278">
        <f>('04 - Veículos e Equipamentos'!AA9+'04 - Veículos e Equipamentos'!AA8)*'01 - Dados de Entrada'!$C$51*'01 - Dados de Entrada'!$C$289</f>
        <v>12960</v>
      </c>
      <c r="AC10" s="278">
        <f>('04 - Veículos e Equipamentos'!AB9+'04 - Veículos e Equipamentos'!AB8)*'01 - Dados de Entrada'!$C$51*'01 - Dados de Entrada'!$C$289</f>
        <v>12960</v>
      </c>
      <c r="AD10" s="278">
        <f>('04 - Veículos e Equipamentos'!AC9+'04 - Veículos e Equipamentos'!AC8)*'01 - Dados de Entrada'!$C$51*'01 - Dados de Entrada'!$C$289</f>
        <v>12960</v>
      </c>
      <c r="AE10" s="278">
        <f>('04 - Veículos e Equipamentos'!AD9+'04 - Veículos e Equipamentos'!AD8)*'01 - Dados de Entrada'!$C$51*'01 - Dados de Entrada'!$C$289</f>
        <v>12960</v>
      </c>
      <c r="AF10" s="278">
        <f>('04 - Veículos e Equipamentos'!AE9+'04 - Veículos e Equipamentos'!AE8)*'01 - Dados de Entrada'!$C$51*'01 - Dados de Entrada'!$C$289</f>
        <v>12960</v>
      </c>
      <c r="AG10" s="278">
        <f>('04 - Veículos e Equipamentos'!AF9+'04 - Veículos e Equipamentos'!AF8)*'01 - Dados de Entrada'!$C$51*'01 - Dados de Entrada'!$C$289</f>
        <v>12960</v>
      </c>
      <c r="AH10" s="278">
        <f>('04 - Veículos e Equipamentos'!AG9+'04 - Veículos e Equipamentos'!AG8)*'01 - Dados de Entrada'!$C$51*'01 - Dados de Entrada'!$C$289</f>
        <v>12960</v>
      </c>
      <c r="AI10" s="278">
        <f>('04 - Veículos e Equipamentos'!AH9+'04 - Veículos e Equipamentos'!AH8)*'01 - Dados de Entrada'!$C$51*'01 - Dados de Entrada'!$C$289</f>
        <v>12960</v>
      </c>
      <c r="AJ10" s="278">
        <f>('04 - Veículos e Equipamentos'!AI9+'04 - Veículos e Equipamentos'!AI8)*'01 - Dados de Entrada'!$C$51*'01 - Dados de Entrada'!$C$289</f>
        <v>12960</v>
      </c>
      <c r="AK10" s="278">
        <f>('04 - Veículos e Equipamentos'!AJ9+'04 - Veículos e Equipamentos'!AJ8)*'01 - Dados de Entrada'!$C$51*'01 - Dados de Entrada'!$C$289</f>
        <v>12960</v>
      </c>
    </row>
    <row r="11" spans="1:37" s="35" customFormat="1" ht="13.15" customHeight="1" x14ac:dyDescent="0.2">
      <c r="A11" s="34" t="s">
        <v>998</v>
      </c>
      <c r="B11" s="149">
        <f t="shared" si="0"/>
        <v>7782180</v>
      </c>
      <c r="C11" s="278">
        <f>'04 - Veículos e Equipamentos'!B14*('01 - Dados de Entrada'!$C$48+'01 - Dados de Entrada'!$C$52)*'01 - Dados de Entrada'!$C$289</f>
        <v>222348</v>
      </c>
      <c r="D11" s="278">
        <f>'04 - Veículos e Equipamentos'!C14*('01 - Dados de Entrada'!$C$48+'01 - Dados de Entrada'!$C$52)*'01 - Dados de Entrada'!$C$289</f>
        <v>222348</v>
      </c>
      <c r="E11" s="278">
        <f>'04 - Veículos e Equipamentos'!D14*('01 - Dados de Entrada'!$C$48+'01 - Dados de Entrada'!$C$52)*'01 - Dados de Entrada'!$C$289</f>
        <v>222348</v>
      </c>
      <c r="F11" s="278">
        <f>'04 - Veículos e Equipamentos'!E14*('01 - Dados de Entrada'!$C$48+'01 - Dados de Entrada'!$C$52)*'01 - Dados de Entrada'!$C$289</f>
        <v>222348</v>
      </c>
      <c r="G11" s="278">
        <f>'04 - Veículos e Equipamentos'!F14*('01 - Dados de Entrada'!$C$48+'01 - Dados de Entrada'!$C$52)*'01 - Dados de Entrada'!$C$289</f>
        <v>222348</v>
      </c>
      <c r="H11" s="278">
        <f>'04 - Veículos e Equipamentos'!G14*('01 - Dados de Entrada'!$C$48+'01 - Dados de Entrada'!$C$52)*'01 - Dados de Entrada'!$C$289</f>
        <v>222348</v>
      </c>
      <c r="I11" s="278">
        <f>'04 - Veículos e Equipamentos'!H14*('01 - Dados de Entrada'!$C$48+'01 - Dados de Entrada'!$C$52)*'01 - Dados de Entrada'!$C$289</f>
        <v>222348</v>
      </c>
      <c r="J11" s="278">
        <f>'04 - Veículos e Equipamentos'!I14*('01 - Dados de Entrada'!$C$48+'01 - Dados de Entrada'!$C$52)*'01 - Dados de Entrada'!$C$289</f>
        <v>222348</v>
      </c>
      <c r="K11" s="278">
        <f>'04 - Veículos e Equipamentos'!J14*('01 - Dados de Entrada'!$C$48+'01 - Dados de Entrada'!$C$52)*'01 - Dados de Entrada'!$C$289</f>
        <v>222348</v>
      </c>
      <c r="L11" s="278">
        <f>'04 - Veículos e Equipamentos'!K14*('01 - Dados de Entrada'!$C$48+'01 - Dados de Entrada'!$C$52)*'01 - Dados de Entrada'!$C$289</f>
        <v>222348</v>
      </c>
      <c r="M11" s="278">
        <f>'04 - Veículos e Equipamentos'!L14*('01 - Dados de Entrada'!$C$48+'01 - Dados de Entrada'!$C$52)*'01 - Dados de Entrada'!$C$289</f>
        <v>222348</v>
      </c>
      <c r="N11" s="278">
        <f>'04 - Veículos e Equipamentos'!M14*('01 - Dados de Entrada'!$C$48+'01 - Dados de Entrada'!$C$52)*'01 - Dados de Entrada'!$C$289</f>
        <v>222348</v>
      </c>
      <c r="O11" s="278">
        <f>'04 - Veículos e Equipamentos'!N14*('01 - Dados de Entrada'!$C$48+'01 - Dados de Entrada'!$C$52)*'01 - Dados de Entrada'!$C$289</f>
        <v>222348</v>
      </c>
      <c r="P11" s="278">
        <f>'04 - Veículos e Equipamentos'!O14*('01 - Dados de Entrada'!$C$48+'01 - Dados de Entrada'!$C$52)*'01 - Dados de Entrada'!$C$289</f>
        <v>222348</v>
      </c>
      <c r="Q11" s="278">
        <f>'04 - Veículos e Equipamentos'!P14*('01 - Dados de Entrada'!$C$48+'01 - Dados de Entrada'!$C$52)*'01 - Dados de Entrada'!$C$289</f>
        <v>222348</v>
      </c>
      <c r="R11" s="278">
        <f>'04 - Veículos e Equipamentos'!Q14*('01 - Dados de Entrada'!$C$48+'01 - Dados de Entrada'!$C$52)*'01 - Dados de Entrada'!$C$289</f>
        <v>222348</v>
      </c>
      <c r="S11" s="278">
        <f>'04 - Veículos e Equipamentos'!R14*('01 - Dados de Entrada'!$C$48+'01 - Dados de Entrada'!$C$52)*'01 - Dados de Entrada'!$C$289</f>
        <v>222348</v>
      </c>
      <c r="T11" s="278">
        <f>'04 - Veículos e Equipamentos'!S14*('01 - Dados de Entrada'!$C$48+'01 - Dados de Entrada'!$C$52)*'01 - Dados de Entrada'!$C$289</f>
        <v>222348</v>
      </c>
      <c r="U11" s="278">
        <f>'04 - Veículos e Equipamentos'!T14*('01 - Dados de Entrada'!$C$48+'01 - Dados de Entrada'!$C$52)*'01 - Dados de Entrada'!$C$289</f>
        <v>222348</v>
      </c>
      <c r="V11" s="278">
        <f>'04 - Veículos e Equipamentos'!U14*('01 - Dados de Entrada'!$C$48+'01 - Dados de Entrada'!$C$52)*'01 - Dados de Entrada'!$C$289</f>
        <v>222348</v>
      </c>
      <c r="W11" s="278">
        <f>'04 - Veículos e Equipamentos'!V14*('01 - Dados de Entrada'!$C$48+'01 - Dados de Entrada'!$C$52)*'01 - Dados de Entrada'!$C$289</f>
        <v>222348</v>
      </c>
      <c r="X11" s="278">
        <f>'04 - Veículos e Equipamentos'!W14*('01 - Dados de Entrada'!$C$48+'01 - Dados de Entrada'!$C$52)*'01 - Dados de Entrada'!$C$289</f>
        <v>222348</v>
      </c>
      <c r="Y11" s="278">
        <f>'04 - Veículos e Equipamentos'!X14*('01 - Dados de Entrada'!$C$48+'01 - Dados de Entrada'!$C$52)*'01 - Dados de Entrada'!$C$289</f>
        <v>222348</v>
      </c>
      <c r="Z11" s="278">
        <f>'04 - Veículos e Equipamentos'!Y14*('01 - Dados de Entrada'!$C$48+'01 - Dados de Entrada'!$C$52)*'01 - Dados de Entrada'!$C$289</f>
        <v>222348</v>
      </c>
      <c r="AA11" s="278">
        <f>'04 - Veículos e Equipamentos'!Z14*('01 - Dados de Entrada'!$C$48+'01 - Dados de Entrada'!$C$52)*'01 - Dados de Entrada'!$C$289</f>
        <v>222348</v>
      </c>
      <c r="AB11" s="278">
        <f>'04 - Veículos e Equipamentos'!AA14*('01 - Dados de Entrada'!$C$48+'01 - Dados de Entrada'!$C$52)*'01 - Dados de Entrada'!$C$289</f>
        <v>222348</v>
      </c>
      <c r="AC11" s="278">
        <f>'04 - Veículos e Equipamentos'!AB14*('01 - Dados de Entrada'!$C$48+'01 - Dados de Entrada'!$C$52)*'01 - Dados de Entrada'!$C$289</f>
        <v>222348</v>
      </c>
      <c r="AD11" s="278">
        <f>'04 - Veículos e Equipamentos'!AC14*('01 - Dados de Entrada'!$C$48+'01 - Dados de Entrada'!$C$52)*'01 - Dados de Entrada'!$C$289</f>
        <v>222348</v>
      </c>
      <c r="AE11" s="278">
        <f>'04 - Veículos e Equipamentos'!AD14*('01 - Dados de Entrada'!$C$48+'01 - Dados de Entrada'!$C$52)*'01 - Dados de Entrada'!$C$289</f>
        <v>222348</v>
      </c>
      <c r="AF11" s="278">
        <f>'04 - Veículos e Equipamentos'!AE14*('01 - Dados de Entrada'!$C$48+'01 - Dados de Entrada'!$C$52)*'01 - Dados de Entrada'!$C$289</f>
        <v>222348</v>
      </c>
      <c r="AG11" s="278">
        <f>'04 - Veículos e Equipamentos'!AF14*('01 - Dados de Entrada'!$C$48+'01 - Dados de Entrada'!$C$52)*'01 - Dados de Entrada'!$C$289</f>
        <v>222348</v>
      </c>
      <c r="AH11" s="278">
        <f>'04 - Veículos e Equipamentos'!AG14*('01 - Dados de Entrada'!$C$48+'01 - Dados de Entrada'!$C$52)*'01 - Dados de Entrada'!$C$289</f>
        <v>222348</v>
      </c>
      <c r="AI11" s="278">
        <f>'04 - Veículos e Equipamentos'!AH14*('01 - Dados de Entrada'!$C$48+'01 - Dados de Entrada'!$C$52)*'01 - Dados de Entrada'!$C$289</f>
        <v>222348</v>
      </c>
      <c r="AJ11" s="278">
        <f>'04 - Veículos e Equipamentos'!AI14*('01 - Dados de Entrada'!$C$48+'01 - Dados de Entrada'!$C$52)*'01 - Dados de Entrada'!$C$289</f>
        <v>222348</v>
      </c>
      <c r="AK11" s="278">
        <f>'04 - Veículos e Equipamentos'!AJ14*('01 - Dados de Entrada'!$C$48+'01 - Dados de Entrada'!$C$52)*'01 - Dados de Entrada'!$C$289</f>
        <v>222348</v>
      </c>
    </row>
    <row r="12" spans="1:37" s="35" customFormat="1" ht="13.15" customHeight="1" x14ac:dyDescent="0.2">
      <c r="A12" s="34" t="s">
        <v>793</v>
      </c>
      <c r="B12" s="149">
        <f t="shared" si="0"/>
        <v>352852.5</v>
      </c>
      <c r="C12" s="278">
        <f>'04 - Veículos e Equipamentos'!B15*'01 - Dados de Entrada'!$C$55*'01 - Dados de Entrada'!$C$288</f>
        <v>10081.5</v>
      </c>
      <c r="D12" s="278">
        <f>'04 - Veículos e Equipamentos'!C15*'01 - Dados de Entrada'!$C$55*'01 - Dados de Entrada'!$C$288</f>
        <v>10081.5</v>
      </c>
      <c r="E12" s="278">
        <f>'04 - Veículos e Equipamentos'!D15*'01 - Dados de Entrada'!$C$55*'01 - Dados de Entrada'!$C$288</f>
        <v>10081.5</v>
      </c>
      <c r="F12" s="278">
        <f>'04 - Veículos e Equipamentos'!E15*'01 - Dados de Entrada'!$C$55*'01 - Dados de Entrada'!$C$288</f>
        <v>10081.5</v>
      </c>
      <c r="G12" s="278">
        <f>'04 - Veículos e Equipamentos'!F15*'01 - Dados de Entrada'!$C$55*'01 - Dados de Entrada'!$C$288</f>
        <v>10081.5</v>
      </c>
      <c r="H12" s="278">
        <f>'04 - Veículos e Equipamentos'!G15*'01 - Dados de Entrada'!$C$55*'01 - Dados de Entrada'!$C$288</f>
        <v>10081.5</v>
      </c>
      <c r="I12" s="278">
        <f>'04 - Veículos e Equipamentos'!H15*'01 - Dados de Entrada'!$C$55*'01 - Dados de Entrada'!$C$288</f>
        <v>10081.5</v>
      </c>
      <c r="J12" s="278">
        <f>'04 - Veículos e Equipamentos'!I15*'01 - Dados de Entrada'!$C$55*'01 - Dados de Entrada'!$C$288</f>
        <v>10081.5</v>
      </c>
      <c r="K12" s="278">
        <f>'04 - Veículos e Equipamentos'!J15*'01 - Dados de Entrada'!$C$55*'01 - Dados de Entrada'!$C$288</f>
        <v>10081.5</v>
      </c>
      <c r="L12" s="278">
        <f>'04 - Veículos e Equipamentos'!K15*'01 - Dados de Entrada'!$C$55*'01 - Dados de Entrada'!$C$288</f>
        <v>10081.5</v>
      </c>
      <c r="M12" s="278">
        <f>'04 - Veículos e Equipamentos'!L15*'01 - Dados de Entrada'!$C$55*'01 - Dados de Entrada'!$C$288</f>
        <v>10081.5</v>
      </c>
      <c r="N12" s="278">
        <f>'04 - Veículos e Equipamentos'!M15*'01 - Dados de Entrada'!$C$55*'01 - Dados de Entrada'!$C$288</f>
        <v>10081.5</v>
      </c>
      <c r="O12" s="278">
        <f>'04 - Veículos e Equipamentos'!N15*'01 - Dados de Entrada'!$C$55*'01 - Dados de Entrada'!$C$288</f>
        <v>10081.5</v>
      </c>
      <c r="P12" s="278">
        <f>'04 - Veículos e Equipamentos'!O15*'01 - Dados de Entrada'!$C$55*'01 - Dados de Entrada'!$C$288</f>
        <v>10081.5</v>
      </c>
      <c r="Q12" s="278">
        <f>'04 - Veículos e Equipamentos'!P15*'01 - Dados de Entrada'!$C$55*'01 - Dados de Entrada'!$C$288</f>
        <v>10081.5</v>
      </c>
      <c r="R12" s="278">
        <f>'04 - Veículos e Equipamentos'!Q15*'01 - Dados de Entrada'!$C$55*'01 - Dados de Entrada'!$C$288</f>
        <v>10081.5</v>
      </c>
      <c r="S12" s="278">
        <f>'04 - Veículos e Equipamentos'!R15*'01 - Dados de Entrada'!$C$55*'01 - Dados de Entrada'!$C$288</f>
        <v>10081.5</v>
      </c>
      <c r="T12" s="278">
        <f>'04 - Veículos e Equipamentos'!S15*'01 - Dados de Entrada'!$C$55*'01 - Dados de Entrada'!$C$288</f>
        <v>10081.5</v>
      </c>
      <c r="U12" s="278">
        <f>'04 - Veículos e Equipamentos'!T15*'01 - Dados de Entrada'!$C$55*'01 - Dados de Entrada'!$C$288</f>
        <v>10081.5</v>
      </c>
      <c r="V12" s="278">
        <f>'04 - Veículos e Equipamentos'!U15*'01 - Dados de Entrada'!$C$55*'01 - Dados de Entrada'!$C$288</f>
        <v>10081.5</v>
      </c>
      <c r="W12" s="278">
        <f>'04 - Veículos e Equipamentos'!V15*'01 - Dados de Entrada'!$C$55*'01 - Dados de Entrada'!$C$288</f>
        <v>10081.5</v>
      </c>
      <c r="X12" s="278">
        <f>'04 - Veículos e Equipamentos'!W15*'01 - Dados de Entrada'!$C$55*'01 - Dados de Entrada'!$C$288</f>
        <v>10081.5</v>
      </c>
      <c r="Y12" s="278">
        <f>'04 - Veículos e Equipamentos'!X15*'01 - Dados de Entrada'!$C$55*'01 - Dados de Entrada'!$C$288</f>
        <v>10081.5</v>
      </c>
      <c r="Z12" s="278">
        <f>'04 - Veículos e Equipamentos'!Y15*'01 - Dados de Entrada'!$C$55*'01 - Dados de Entrada'!$C$288</f>
        <v>10081.5</v>
      </c>
      <c r="AA12" s="278">
        <f>'04 - Veículos e Equipamentos'!Z15*'01 - Dados de Entrada'!$C$55*'01 - Dados de Entrada'!$C$288</f>
        <v>10081.5</v>
      </c>
      <c r="AB12" s="278">
        <f>'04 - Veículos e Equipamentos'!AA15*'01 - Dados de Entrada'!$C$55*'01 - Dados de Entrada'!$C$288</f>
        <v>10081.5</v>
      </c>
      <c r="AC12" s="278">
        <f>'04 - Veículos e Equipamentos'!AB15*'01 - Dados de Entrada'!$C$55*'01 - Dados de Entrada'!$C$288</f>
        <v>10081.5</v>
      </c>
      <c r="AD12" s="278">
        <f>'04 - Veículos e Equipamentos'!AC15*'01 - Dados de Entrada'!$C$55*'01 - Dados de Entrada'!$C$288</f>
        <v>10081.5</v>
      </c>
      <c r="AE12" s="278">
        <f>'04 - Veículos e Equipamentos'!AD15*'01 - Dados de Entrada'!$C$55*'01 - Dados de Entrada'!$C$288</f>
        <v>10081.5</v>
      </c>
      <c r="AF12" s="278">
        <f>'04 - Veículos e Equipamentos'!AE15*'01 - Dados de Entrada'!$C$55*'01 - Dados de Entrada'!$C$288</f>
        <v>10081.5</v>
      </c>
      <c r="AG12" s="278">
        <f>'04 - Veículos e Equipamentos'!AF15*'01 - Dados de Entrada'!$C$55*'01 - Dados de Entrada'!$C$288</f>
        <v>10081.5</v>
      </c>
      <c r="AH12" s="278">
        <f>'04 - Veículos e Equipamentos'!AG15*'01 - Dados de Entrada'!$C$55*'01 - Dados de Entrada'!$C$288</f>
        <v>10081.5</v>
      </c>
      <c r="AI12" s="278">
        <f>'04 - Veículos e Equipamentos'!AH15*'01 - Dados de Entrada'!$C$55*'01 - Dados de Entrada'!$C$288</f>
        <v>10081.5</v>
      </c>
      <c r="AJ12" s="278">
        <f>'04 - Veículos e Equipamentos'!AI15*'01 - Dados de Entrada'!$C$55*'01 - Dados de Entrada'!$C$288</f>
        <v>10081.5</v>
      </c>
      <c r="AK12" s="278">
        <f>'04 - Veículos e Equipamentos'!AJ15*'01 - Dados de Entrada'!$C$55*'01 - Dados de Entrada'!$C$288</f>
        <v>10081.5</v>
      </c>
    </row>
    <row r="13" spans="1:37" s="35" customFormat="1" ht="13.15" customHeight="1" x14ac:dyDescent="0.2">
      <c r="A13" s="34" t="s">
        <v>794</v>
      </c>
      <c r="B13" s="149">
        <f t="shared" si="0"/>
        <v>111273.50000000006</v>
      </c>
      <c r="C13" s="278">
        <f>'04 - Veículos e Equipamentos'!B16*'01 - Dados de Entrada'!$C$288*'01 - Dados de Entrada'!$C$57</f>
        <v>1711.9</v>
      </c>
      <c r="D13" s="278">
        <f>'04 - Veículos e Equipamentos'!C16*'01 - Dados de Entrada'!$C$288*'01 - Dados de Entrada'!$C$57</f>
        <v>1711.9</v>
      </c>
      <c r="E13" s="278">
        <f>'04 - Veículos e Equipamentos'!D16*'01 - Dados de Entrada'!$C$288*'01 - Dados de Entrada'!$C$57</f>
        <v>1711.9</v>
      </c>
      <c r="F13" s="278">
        <f>'04 - Veículos e Equipamentos'!E16*'01 - Dados de Entrada'!$C$288*'01 - Dados de Entrada'!$C$57</f>
        <v>1711.9</v>
      </c>
      <c r="G13" s="278">
        <f>'04 - Veículos e Equipamentos'!F16*'01 - Dados de Entrada'!$C$288*'01 - Dados de Entrada'!$C$57</f>
        <v>1711.9</v>
      </c>
      <c r="H13" s="278">
        <f>'04 - Veículos e Equipamentos'!G16*'01 - Dados de Entrada'!$C$288*'01 - Dados de Entrada'!$C$57</f>
        <v>3423.8</v>
      </c>
      <c r="I13" s="278">
        <f>'04 - Veículos e Equipamentos'!H16*'01 - Dados de Entrada'!$C$288*'01 - Dados de Entrada'!$C$57</f>
        <v>3423.8</v>
      </c>
      <c r="J13" s="278">
        <f>'04 - Veículos e Equipamentos'!I16*'01 - Dados de Entrada'!$C$288*'01 - Dados de Entrada'!$C$57</f>
        <v>3423.8</v>
      </c>
      <c r="K13" s="278">
        <f>'04 - Veículos e Equipamentos'!J16*'01 - Dados de Entrada'!$C$288*'01 - Dados de Entrada'!$C$57</f>
        <v>3423.8</v>
      </c>
      <c r="L13" s="278">
        <f>'04 - Veículos e Equipamentos'!K16*'01 - Dados de Entrada'!$C$288*'01 - Dados de Entrada'!$C$57</f>
        <v>3423.8</v>
      </c>
      <c r="M13" s="278">
        <f>'04 - Veículos e Equipamentos'!L16*'01 - Dados de Entrada'!$C$288*'01 - Dados de Entrada'!$C$57</f>
        <v>3423.8</v>
      </c>
      <c r="N13" s="278">
        <f>'04 - Veículos e Equipamentos'!M16*'01 - Dados de Entrada'!$C$288*'01 - Dados de Entrada'!$C$57</f>
        <v>3423.8</v>
      </c>
      <c r="O13" s="278">
        <f>'04 - Veículos e Equipamentos'!N16*'01 - Dados de Entrada'!$C$288*'01 - Dados de Entrada'!$C$57</f>
        <v>3423.8</v>
      </c>
      <c r="P13" s="278">
        <f>'04 - Veículos e Equipamentos'!O16*'01 - Dados de Entrada'!$C$288*'01 - Dados de Entrada'!$C$57</f>
        <v>3423.8</v>
      </c>
      <c r="Q13" s="278">
        <f>'04 - Veículos e Equipamentos'!P16*'01 - Dados de Entrada'!$C$288*'01 - Dados de Entrada'!$C$57</f>
        <v>3423.8</v>
      </c>
      <c r="R13" s="278">
        <f>'04 - Veículos e Equipamentos'!Q16*'01 - Dados de Entrada'!$C$288*'01 - Dados de Entrada'!$C$57</f>
        <v>3423.8</v>
      </c>
      <c r="S13" s="278">
        <f>'04 - Veículos e Equipamentos'!R16*'01 - Dados de Entrada'!$C$288*'01 - Dados de Entrada'!$C$57</f>
        <v>3423.8</v>
      </c>
      <c r="T13" s="278">
        <f>'04 - Veículos e Equipamentos'!S16*'01 - Dados de Entrada'!$C$288*'01 - Dados de Entrada'!$C$57</f>
        <v>3423.8</v>
      </c>
      <c r="U13" s="278">
        <f>'04 - Veículos e Equipamentos'!T16*'01 - Dados de Entrada'!$C$288*'01 - Dados de Entrada'!$C$57</f>
        <v>3423.8</v>
      </c>
      <c r="V13" s="278">
        <f>'04 - Veículos e Equipamentos'!U16*'01 - Dados de Entrada'!$C$288*'01 - Dados de Entrada'!$C$57</f>
        <v>3423.8</v>
      </c>
      <c r="W13" s="278">
        <f>'04 - Veículos e Equipamentos'!V16*'01 - Dados de Entrada'!$C$288*'01 - Dados de Entrada'!$C$57</f>
        <v>3423.8</v>
      </c>
      <c r="X13" s="278">
        <f>'04 - Veículos e Equipamentos'!W16*'01 - Dados de Entrada'!$C$288*'01 - Dados de Entrada'!$C$57</f>
        <v>3423.8</v>
      </c>
      <c r="Y13" s="278">
        <f>'04 - Veículos e Equipamentos'!X16*'01 - Dados de Entrada'!$C$288*'01 - Dados de Entrada'!$C$57</f>
        <v>3423.8</v>
      </c>
      <c r="Z13" s="278">
        <f>'04 - Veículos e Equipamentos'!Y16*'01 - Dados de Entrada'!$C$288*'01 - Dados de Entrada'!$C$57</f>
        <v>3423.8</v>
      </c>
      <c r="AA13" s="278">
        <f>'04 - Veículos e Equipamentos'!Z16*'01 - Dados de Entrada'!$C$288*'01 - Dados de Entrada'!$C$57</f>
        <v>3423.8</v>
      </c>
      <c r="AB13" s="278">
        <f>'04 - Veículos e Equipamentos'!AA16*'01 - Dados de Entrada'!$C$288*'01 - Dados de Entrada'!$C$57</f>
        <v>3423.8</v>
      </c>
      <c r="AC13" s="278">
        <f>'04 - Veículos e Equipamentos'!AB16*'01 - Dados de Entrada'!$C$288*'01 - Dados de Entrada'!$C$57</f>
        <v>3423.8</v>
      </c>
      <c r="AD13" s="278">
        <f>'04 - Veículos e Equipamentos'!AC16*'01 - Dados de Entrada'!$C$288*'01 - Dados de Entrada'!$C$57</f>
        <v>3423.8</v>
      </c>
      <c r="AE13" s="278">
        <f>'04 - Veículos e Equipamentos'!AD16*'01 - Dados de Entrada'!$C$288*'01 - Dados de Entrada'!$C$57</f>
        <v>3423.8</v>
      </c>
      <c r="AF13" s="278">
        <f>'04 - Veículos e Equipamentos'!AE16*'01 - Dados de Entrada'!$C$288*'01 - Dados de Entrada'!$C$57</f>
        <v>3423.8</v>
      </c>
      <c r="AG13" s="278">
        <f>'04 - Veículos e Equipamentos'!AF16*'01 - Dados de Entrada'!$C$288*'01 - Dados de Entrada'!$C$57</f>
        <v>3423.8</v>
      </c>
      <c r="AH13" s="278">
        <f>'04 - Veículos e Equipamentos'!AG16*'01 - Dados de Entrada'!$C$288*'01 - Dados de Entrada'!$C$57</f>
        <v>3423.8</v>
      </c>
      <c r="AI13" s="278">
        <f>'04 - Veículos e Equipamentos'!AH16*'01 - Dados de Entrada'!$C$288*'01 - Dados de Entrada'!$C$57</f>
        <v>3423.8</v>
      </c>
      <c r="AJ13" s="278">
        <f>'04 - Veículos e Equipamentos'!AI16*'01 - Dados de Entrada'!$C$288*'01 - Dados de Entrada'!$C$57</f>
        <v>3423.8</v>
      </c>
      <c r="AK13" s="278">
        <f>'04 - Veículos e Equipamentos'!AJ16*'01 - Dados de Entrada'!$C$288*'01 - Dados de Entrada'!$C$57</f>
        <v>3423.8</v>
      </c>
    </row>
    <row r="14" spans="1:37" s="35" customFormat="1" ht="13.15" customHeight="1" x14ac:dyDescent="0.2">
      <c r="A14" s="263" t="s">
        <v>999</v>
      </c>
      <c r="B14" s="263"/>
      <c r="C14" s="278"/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78"/>
      <c r="T14" s="278"/>
      <c r="U14" s="278"/>
      <c r="V14" s="278"/>
      <c r="W14" s="278"/>
      <c r="X14" s="278"/>
      <c r="Y14" s="278"/>
      <c r="Z14" s="278"/>
      <c r="AA14" s="278"/>
      <c r="AB14" s="278"/>
      <c r="AC14" s="278"/>
      <c r="AD14" s="278"/>
      <c r="AE14" s="278"/>
      <c r="AF14" s="278"/>
      <c r="AG14" s="278"/>
      <c r="AH14" s="278"/>
      <c r="AI14" s="278"/>
      <c r="AJ14" s="278"/>
      <c r="AK14" s="278"/>
    </row>
    <row r="15" spans="1:37" s="35" customFormat="1" ht="13.15" customHeight="1" x14ac:dyDescent="0.2">
      <c r="A15" s="34" t="s">
        <v>1000</v>
      </c>
      <c r="B15" s="149">
        <f>SUM(C15:AK15)</f>
        <v>27868750</v>
      </c>
      <c r="C15" s="278">
        <f>('04 - Veículos e Equipamentos'!B18+'04 - Veículos e Equipamentos'!B19+'04 - Veículos e Equipamentos'!B20)*('01 - Dados de Entrada'!$C$46+'01 - Dados de Entrada'!$C$54)*'01 - Dados de Entrada'!$C$288</f>
        <v>731250</v>
      </c>
      <c r="D15" s="278">
        <f>('04 - Veículos e Equipamentos'!C18+'04 - Veículos e Equipamentos'!C19+'04 - Veículos e Equipamentos'!C20)*('01 - Dados de Entrada'!$C$46+'01 - Dados de Entrada'!$C$54)*'01 - Dados de Entrada'!$C$288</f>
        <v>731250</v>
      </c>
      <c r="E15" s="278">
        <f>('04 - Veículos e Equipamentos'!D18+'04 - Veículos e Equipamentos'!D19+'04 - Veículos e Equipamentos'!D20)*('01 - Dados de Entrada'!$C$46+'01 - Dados de Entrada'!$C$54)*'01 - Dados de Entrada'!$C$288</f>
        <v>731250</v>
      </c>
      <c r="F15" s="278">
        <f>('04 - Veículos e Equipamentos'!E18+'04 - Veículos e Equipamentos'!E19+'04 - Veículos e Equipamentos'!E20)*('01 - Dados de Entrada'!$C$46+'01 - Dados de Entrada'!$C$54)*'01 - Dados de Entrada'!$C$288</f>
        <v>731250</v>
      </c>
      <c r="G15" s="278">
        <f>('04 - Veículos e Equipamentos'!F18+'04 - Veículos e Equipamentos'!F19+'04 - Veículos e Equipamentos'!F20)*('01 - Dados de Entrada'!$C$46+'01 - Dados de Entrada'!$C$54)*'01 - Dados de Entrada'!$C$288</f>
        <v>731250</v>
      </c>
      <c r="H15" s="278">
        <f>('04 - Veículos e Equipamentos'!G18+'04 - Veículos e Equipamentos'!G19+'04 - Veículos e Equipamentos'!G20)*('01 - Dados de Entrada'!$C$46+'01 - Dados de Entrada'!$C$54)*'01 - Dados de Entrada'!$C$288</f>
        <v>731250</v>
      </c>
      <c r="I15" s="278">
        <f>('04 - Veículos e Equipamentos'!H18+'04 - Veículos e Equipamentos'!H19+'04 - Veículos e Equipamentos'!H20)*('01 - Dados de Entrada'!$C$46+'01 - Dados de Entrada'!$C$54)*'01 - Dados de Entrada'!$C$288</f>
        <v>731250</v>
      </c>
      <c r="J15" s="278">
        <f>('04 - Veículos e Equipamentos'!I18+'04 - Veículos e Equipamentos'!I19+'04 - Veículos e Equipamentos'!I20)*('01 - Dados de Entrada'!$C$46+'01 - Dados de Entrada'!$C$54)*'01 - Dados de Entrada'!$C$288</f>
        <v>812500</v>
      </c>
      <c r="K15" s="278">
        <f>('04 - Veículos e Equipamentos'!J18+'04 - Veículos e Equipamentos'!J19+'04 - Veículos e Equipamentos'!J20)*('01 - Dados de Entrada'!$C$46+'01 - Dados de Entrada'!$C$54)*'01 - Dados de Entrada'!$C$288</f>
        <v>812500</v>
      </c>
      <c r="L15" s="278">
        <f>('04 - Veículos e Equipamentos'!K18+'04 - Veículos e Equipamentos'!K19+'04 - Veículos e Equipamentos'!K20)*('01 - Dados de Entrada'!$C$46+'01 - Dados de Entrada'!$C$54)*'01 - Dados de Entrada'!$C$288</f>
        <v>812500</v>
      </c>
      <c r="M15" s="278">
        <f>('04 - Veículos e Equipamentos'!L18+'04 - Veículos e Equipamentos'!L19+'04 - Veículos e Equipamentos'!L20)*('01 - Dados de Entrada'!$C$46+'01 - Dados de Entrada'!$C$54)*'01 - Dados de Entrada'!$C$288</f>
        <v>812500</v>
      </c>
      <c r="N15" s="278">
        <f>('04 - Veículos e Equipamentos'!M18+'04 - Veículos e Equipamentos'!M19+'04 - Veículos e Equipamentos'!M20)*('01 - Dados de Entrada'!$C$46+'01 - Dados de Entrada'!$C$54)*'01 - Dados de Entrada'!$C$288</f>
        <v>812500</v>
      </c>
      <c r="O15" s="278">
        <f>('04 - Veículos e Equipamentos'!N18+'04 - Veículos e Equipamentos'!N19+'04 - Veículos e Equipamentos'!N20)*('01 - Dados de Entrada'!$C$46+'01 - Dados de Entrada'!$C$54)*'01 - Dados de Entrada'!$C$288</f>
        <v>812500</v>
      </c>
      <c r="P15" s="278">
        <f>('04 - Veículos e Equipamentos'!O18+'04 - Veículos e Equipamentos'!O19+'04 - Veículos e Equipamentos'!O20)*('01 - Dados de Entrada'!$C$46+'01 - Dados de Entrada'!$C$54)*'01 - Dados de Entrada'!$C$288</f>
        <v>812500</v>
      </c>
      <c r="Q15" s="278">
        <f>('04 - Veículos e Equipamentos'!P18+'04 - Veículos e Equipamentos'!P19+'04 - Veículos e Equipamentos'!P20)*('01 - Dados de Entrada'!$C$46+'01 - Dados de Entrada'!$C$54)*'01 - Dados de Entrada'!$C$288</f>
        <v>812500</v>
      </c>
      <c r="R15" s="278">
        <f>('04 - Veículos e Equipamentos'!Q18+'04 - Veículos e Equipamentos'!Q19+'04 - Veículos e Equipamentos'!Q20)*('01 - Dados de Entrada'!$C$46+'01 - Dados de Entrada'!$C$54)*'01 - Dados de Entrada'!$C$288</f>
        <v>812500</v>
      </c>
      <c r="S15" s="278">
        <f>('04 - Veículos e Equipamentos'!R18+'04 - Veículos e Equipamentos'!R19+'04 - Veículos e Equipamentos'!R20)*('01 - Dados de Entrada'!$C$46+'01 - Dados de Entrada'!$C$54)*'01 - Dados de Entrada'!$C$288</f>
        <v>812500</v>
      </c>
      <c r="T15" s="278">
        <f>('04 - Veículos e Equipamentos'!S18+'04 - Veículos e Equipamentos'!S19+'04 - Veículos e Equipamentos'!S20)*('01 - Dados de Entrada'!$C$46+'01 - Dados de Entrada'!$C$54)*'01 - Dados de Entrada'!$C$288</f>
        <v>812500</v>
      </c>
      <c r="U15" s="278">
        <f>('04 - Veículos e Equipamentos'!T18+'04 - Veículos e Equipamentos'!T19+'04 - Veículos e Equipamentos'!T20)*('01 - Dados de Entrada'!$C$46+'01 - Dados de Entrada'!$C$54)*'01 - Dados de Entrada'!$C$288</f>
        <v>812500</v>
      </c>
      <c r="V15" s="278">
        <f>('04 - Veículos e Equipamentos'!U18+'04 - Veículos e Equipamentos'!U19+'04 - Veículos e Equipamentos'!U20)*('01 - Dados de Entrada'!$C$46+'01 - Dados de Entrada'!$C$54)*'01 - Dados de Entrada'!$C$288</f>
        <v>812500</v>
      </c>
      <c r="W15" s="278">
        <f>('04 - Veículos e Equipamentos'!V18+'04 - Veículos e Equipamentos'!V19+'04 - Veículos e Equipamentos'!V20)*('01 - Dados de Entrada'!$C$46+'01 - Dados de Entrada'!$C$54)*'01 - Dados de Entrada'!$C$288</f>
        <v>812500</v>
      </c>
      <c r="X15" s="278">
        <f>('04 - Veículos e Equipamentos'!W18+'04 - Veículos e Equipamentos'!W19+'04 - Veículos e Equipamentos'!W20)*('01 - Dados de Entrada'!$C$46+'01 - Dados de Entrada'!$C$54)*'01 - Dados de Entrada'!$C$288</f>
        <v>812500</v>
      </c>
      <c r="Y15" s="278">
        <f>('04 - Veículos e Equipamentos'!X18+'04 - Veículos e Equipamentos'!X19+'04 - Veículos e Equipamentos'!X20)*('01 - Dados de Entrada'!$C$46+'01 - Dados de Entrada'!$C$54)*'01 - Dados de Entrada'!$C$288</f>
        <v>812500</v>
      </c>
      <c r="Z15" s="278">
        <f>('04 - Veículos e Equipamentos'!Y18+'04 - Veículos e Equipamentos'!Y19+'04 - Veículos e Equipamentos'!Y20)*('01 - Dados de Entrada'!$C$46+'01 - Dados de Entrada'!$C$54)*'01 - Dados de Entrada'!$C$288</f>
        <v>812500</v>
      </c>
      <c r="AA15" s="278">
        <f>('04 - Veículos e Equipamentos'!Z18+'04 - Veículos e Equipamentos'!Z19+'04 - Veículos e Equipamentos'!Z20)*('01 - Dados de Entrada'!$C$46+'01 - Dados de Entrada'!$C$54)*'01 - Dados de Entrada'!$C$288</f>
        <v>812500</v>
      </c>
      <c r="AB15" s="278">
        <f>('04 - Veículos e Equipamentos'!AA18+'04 - Veículos e Equipamentos'!AA19+'04 - Veículos e Equipamentos'!AA20)*('01 - Dados de Entrada'!$C$46+'01 - Dados de Entrada'!$C$54)*'01 - Dados de Entrada'!$C$288</f>
        <v>812500</v>
      </c>
      <c r="AC15" s="278">
        <f>('04 - Veículos e Equipamentos'!AB18+'04 - Veículos e Equipamentos'!AB19+'04 - Veículos e Equipamentos'!AB20)*('01 - Dados de Entrada'!$C$46+'01 - Dados de Entrada'!$C$54)*'01 - Dados de Entrada'!$C$288</f>
        <v>812500</v>
      </c>
      <c r="AD15" s="278">
        <f>('04 - Veículos e Equipamentos'!AC18+'04 - Veículos e Equipamentos'!AC19+'04 - Veículos e Equipamentos'!AC20)*('01 - Dados de Entrada'!$C$46+'01 - Dados de Entrada'!$C$54)*'01 - Dados de Entrada'!$C$288</f>
        <v>812500</v>
      </c>
      <c r="AE15" s="278">
        <f>('04 - Veículos e Equipamentos'!AD18+'04 - Veículos e Equipamentos'!AD19+'04 - Veículos e Equipamentos'!AD20)*('01 - Dados de Entrada'!$C$46+'01 - Dados de Entrada'!$C$54)*'01 - Dados de Entrada'!$C$288</f>
        <v>812500</v>
      </c>
      <c r="AF15" s="278">
        <f>('04 - Veículos e Equipamentos'!AE18+'04 - Veículos e Equipamentos'!AE19+'04 - Veículos e Equipamentos'!AE20)*('01 - Dados de Entrada'!$C$46+'01 - Dados de Entrada'!$C$54)*'01 - Dados de Entrada'!$C$288</f>
        <v>812500</v>
      </c>
      <c r="AG15" s="278">
        <f>('04 - Veículos e Equipamentos'!AF18+'04 - Veículos e Equipamentos'!AF19+'04 - Veículos e Equipamentos'!AF20)*('01 - Dados de Entrada'!$C$46+'01 - Dados de Entrada'!$C$54)*'01 - Dados de Entrada'!$C$288</f>
        <v>812500</v>
      </c>
      <c r="AH15" s="278">
        <f>('04 - Veículos e Equipamentos'!AG18+'04 - Veículos e Equipamentos'!AG19+'04 - Veículos e Equipamentos'!AG20)*('01 - Dados de Entrada'!$C$46+'01 - Dados de Entrada'!$C$54)*'01 - Dados de Entrada'!$C$288</f>
        <v>812500</v>
      </c>
      <c r="AI15" s="278">
        <f>('04 - Veículos e Equipamentos'!AH18+'04 - Veículos e Equipamentos'!AH19+'04 - Veículos e Equipamentos'!AH20)*('01 - Dados de Entrada'!$C$46+'01 - Dados de Entrada'!$C$54)*'01 - Dados de Entrada'!$C$288</f>
        <v>812500</v>
      </c>
      <c r="AJ15" s="278">
        <f>('04 - Veículos e Equipamentos'!AI18+'04 - Veículos e Equipamentos'!AI19+'04 - Veículos e Equipamentos'!AI20)*('01 - Dados de Entrada'!$C$46+'01 - Dados de Entrada'!$C$54)*'01 - Dados de Entrada'!$C$288</f>
        <v>812500</v>
      </c>
      <c r="AK15" s="278">
        <f>('04 - Veículos e Equipamentos'!AJ18+'04 - Veículos e Equipamentos'!AJ19+'04 - Veículos e Equipamentos'!AJ20)*('01 - Dados de Entrada'!$C$46+'01 - Dados de Entrada'!$C$54)*'01 - Dados de Entrada'!$C$288</f>
        <v>812500</v>
      </c>
    </row>
    <row r="16" spans="1:37" s="35" customFormat="1" ht="13.15" customHeight="1" x14ac:dyDescent="0.2">
      <c r="A16" s="34" t="s">
        <v>997</v>
      </c>
      <c r="B16" s="149">
        <f>SUM(C16:AK16)</f>
        <v>617400</v>
      </c>
      <c r="C16" s="278">
        <f>('04 - Veículos e Equipamentos'!B20+'04 - Veículos e Equipamentos'!B19)*'01 - Dados de Entrada'!$C$51*'01 - Dados de Entrada'!$C$288</f>
        <v>16200</v>
      </c>
      <c r="D16" s="278">
        <f>('04 - Veículos e Equipamentos'!C20+'04 - Veículos e Equipamentos'!C19)*'01 - Dados de Entrada'!$C$51*'01 - Dados de Entrada'!$C$288</f>
        <v>16200</v>
      </c>
      <c r="E16" s="278">
        <f>('04 - Veículos e Equipamentos'!D20+'04 - Veículos e Equipamentos'!D19)*'01 - Dados de Entrada'!$C$51*'01 - Dados de Entrada'!$C$288</f>
        <v>16200</v>
      </c>
      <c r="F16" s="278">
        <f>('04 - Veículos e Equipamentos'!E20+'04 - Veículos e Equipamentos'!E19)*'01 - Dados de Entrada'!$C$51*'01 - Dados de Entrada'!$C$288</f>
        <v>16200</v>
      </c>
      <c r="G16" s="278">
        <f>('04 - Veículos e Equipamentos'!F20+'04 - Veículos e Equipamentos'!F19)*'01 - Dados de Entrada'!$C$51*'01 - Dados de Entrada'!$C$288</f>
        <v>16200</v>
      </c>
      <c r="H16" s="278">
        <f>('04 - Veículos e Equipamentos'!G20+'04 - Veículos e Equipamentos'!G19)*'01 - Dados de Entrada'!$C$51*'01 - Dados de Entrada'!$C$288</f>
        <v>16200</v>
      </c>
      <c r="I16" s="278">
        <f>('04 - Veículos e Equipamentos'!H20+'04 - Veículos e Equipamentos'!H19)*'01 - Dados de Entrada'!$C$51*'01 - Dados de Entrada'!$C$288</f>
        <v>16200</v>
      </c>
      <c r="J16" s="278">
        <f>('04 - Veículos e Equipamentos'!I20+'04 - Veículos e Equipamentos'!I19)*'01 - Dados de Entrada'!$C$51*'01 - Dados de Entrada'!$C$288</f>
        <v>18000</v>
      </c>
      <c r="K16" s="278">
        <f>('04 - Veículos e Equipamentos'!J20+'04 - Veículos e Equipamentos'!J19)*'01 - Dados de Entrada'!$C$51*'01 - Dados de Entrada'!$C$288</f>
        <v>18000</v>
      </c>
      <c r="L16" s="278">
        <f>('04 - Veículos e Equipamentos'!K20+'04 - Veículos e Equipamentos'!K19)*'01 - Dados de Entrada'!$C$51*'01 - Dados de Entrada'!$C$288</f>
        <v>18000</v>
      </c>
      <c r="M16" s="278">
        <f>('04 - Veículos e Equipamentos'!L20+'04 - Veículos e Equipamentos'!L19)*'01 - Dados de Entrada'!$C$51*'01 - Dados de Entrada'!$C$288</f>
        <v>18000</v>
      </c>
      <c r="N16" s="278">
        <f>('04 - Veículos e Equipamentos'!M20+'04 - Veículos e Equipamentos'!M19)*'01 - Dados de Entrada'!$C$51*'01 - Dados de Entrada'!$C$288</f>
        <v>18000</v>
      </c>
      <c r="O16" s="278">
        <f>('04 - Veículos e Equipamentos'!N20+'04 - Veículos e Equipamentos'!N19)*'01 - Dados de Entrada'!$C$51*'01 - Dados de Entrada'!$C$288</f>
        <v>18000</v>
      </c>
      <c r="P16" s="278">
        <f>('04 - Veículos e Equipamentos'!O20+'04 - Veículos e Equipamentos'!O19)*'01 - Dados de Entrada'!$C$51*'01 - Dados de Entrada'!$C$288</f>
        <v>18000</v>
      </c>
      <c r="Q16" s="278">
        <f>('04 - Veículos e Equipamentos'!P20+'04 - Veículos e Equipamentos'!P19)*'01 - Dados de Entrada'!$C$51*'01 - Dados de Entrada'!$C$288</f>
        <v>18000</v>
      </c>
      <c r="R16" s="278">
        <f>('04 - Veículos e Equipamentos'!Q20+'04 - Veículos e Equipamentos'!Q19)*'01 - Dados de Entrada'!$C$51*'01 - Dados de Entrada'!$C$288</f>
        <v>18000</v>
      </c>
      <c r="S16" s="278">
        <f>('04 - Veículos e Equipamentos'!R20+'04 - Veículos e Equipamentos'!R19)*'01 - Dados de Entrada'!$C$51*'01 - Dados de Entrada'!$C$288</f>
        <v>18000</v>
      </c>
      <c r="T16" s="278">
        <f>('04 - Veículos e Equipamentos'!S20+'04 - Veículos e Equipamentos'!S19)*'01 - Dados de Entrada'!$C$51*'01 - Dados de Entrada'!$C$288</f>
        <v>18000</v>
      </c>
      <c r="U16" s="278">
        <f>('04 - Veículos e Equipamentos'!T20+'04 - Veículos e Equipamentos'!T19)*'01 - Dados de Entrada'!$C$51*'01 - Dados de Entrada'!$C$288</f>
        <v>18000</v>
      </c>
      <c r="V16" s="278">
        <f>('04 - Veículos e Equipamentos'!U20+'04 - Veículos e Equipamentos'!U19)*'01 - Dados de Entrada'!$C$51*'01 - Dados de Entrada'!$C$288</f>
        <v>18000</v>
      </c>
      <c r="W16" s="278">
        <f>('04 - Veículos e Equipamentos'!V20+'04 - Veículos e Equipamentos'!V19)*'01 - Dados de Entrada'!$C$51*'01 - Dados de Entrada'!$C$288</f>
        <v>18000</v>
      </c>
      <c r="X16" s="278">
        <f>('04 - Veículos e Equipamentos'!W20+'04 - Veículos e Equipamentos'!W19)*'01 - Dados de Entrada'!$C$51*'01 - Dados de Entrada'!$C$288</f>
        <v>18000</v>
      </c>
      <c r="Y16" s="278">
        <f>('04 - Veículos e Equipamentos'!X20+'04 - Veículos e Equipamentos'!X19)*'01 - Dados de Entrada'!$C$51*'01 - Dados de Entrada'!$C$288</f>
        <v>18000</v>
      </c>
      <c r="Z16" s="278">
        <f>('04 - Veículos e Equipamentos'!Y20+'04 - Veículos e Equipamentos'!Y19)*'01 - Dados de Entrada'!$C$51*'01 - Dados de Entrada'!$C$288</f>
        <v>18000</v>
      </c>
      <c r="AA16" s="278">
        <f>('04 - Veículos e Equipamentos'!Z20+'04 - Veículos e Equipamentos'!Z19)*'01 - Dados de Entrada'!$C$51*'01 - Dados de Entrada'!$C$288</f>
        <v>18000</v>
      </c>
      <c r="AB16" s="278">
        <f>('04 - Veículos e Equipamentos'!AA20+'04 - Veículos e Equipamentos'!AA19)*'01 - Dados de Entrada'!$C$51*'01 - Dados de Entrada'!$C$288</f>
        <v>18000</v>
      </c>
      <c r="AC16" s="278">
        <f>('04 - Veículos e Equipamentos'!AB20+'04 - Veículos e Equipamentos'!AB19)*'01 - Dados de Entrada'!$C$51*'01 - Dados de Entrada'!$C$288</f>
        <v>18000</v>
      </c>
      <c r="AD16" s="278">
        <f>('04 - Veículos e Equipamentos'!AC20+'04 - Veículos e Equipamentos'!AC19)*'01 - Dados de Entrada'!$C$51*'01 - Dados de Entrada'!$C$288</f>
        <v>18000</v>
      </c>
      <c r="AE16" s="278">
        <f>('04 - Veículos e Equipamentos'!AD20+'04 - Veículos e Equipamentos'!AD19)*'01 - Dados de Entrada'!$C$51*'01 - Dados de Entrada'!$C$288</f>
        <v>18000</v>
      </c>
      <c r="AF16" s="278">
        <f>('04 - Veículos e Equipamentos'!AE20+'04 - Veículos e Equipamentos'!AE19)*'01 - Dados de Entrada'!$C$51*'01 - Dados de Entrada'!$C$288</f>
        <v>18000</v>
      </c>
      <c r="AG16" s="278">
        <f>('04 - Veículos e Equipamentos'!AF20+'04 - Veículos e Equipamentos'!AF19)*'01 - Dados de Entrada'!$C$51*'01 - Dados de Entrada'!$C$288</f>
        <v>18000</v>
      </c>
      <c r="AH16" s="278">
        <f>('04 - Veículos e Equipamentos'!AG20+'04 - Veículos e Equipamentos'!AG19)*'01 - Dados de Entrada'!$C$51*'01 - Dados de Entrada'!$C$288</f>
        <v>18000</v>
      </c>
      <c r="AI16" s="278">
        <f>('04 - Veículos e Equipamentos'!AH20+'04 - Veículos e Equipamentos'!AH19)*'01 - Dados de Entrada'!$C$51*'01 - Dados de Entrada'!$C$288</f>
        <v>18000</v>
      </c>
      <c r="AJ16" s="278">
        <f>('04 - Veículos e Equipamentos'!AI20+'04 - Veículos e Equipamentos'!AI19)*'01 - Dados de Entrada'!$C$51*'01 - Dados de Entrada'!$C$288</f>
        <v>18000</v>
      </c>
      <c r="AK16" s="278">
        <f>('04 - Veículos e Equipamentos'!AJ20+'04 - Veículos e Equipamentos'!AJ19)*'01 - Dados de Entrada'!$C$51*'01 - Dados de Entrada'!$C$288</f>
        <v>18000</v>
      </c>
    </row>
    <row r="17" spans="1:37" s="35" customFormat="1" ht="13.15" customHeight="1" x14ac:dyDescent="0.2">
      <c r="A17" s="34" t="s">
        <v>793</v>
      </c>
      <c r="B17" s="149">
        <f>SUM(C17:AK17)</f>
        <v>352852.5</v>
      </c>
      <c r="C17" s="278">
        <f>'04 - Veículos e Equipamentos'!B22*'01 - Dados de Entrada'!$C$288*'01 - Dados de Entrada'!$C$55</f>
        <v>10081.5</v>
      </c>
      <c r="D17" s="278">
        <f>'04 - Veículos e Equipamentos'!C22*'01 - Dados de Entrada'!$C$288*'01 - Dados de Entrada'!$C$55</f>
        <v>10081.5</v>
      </c>
      <c r="E17" s="278">
        <f>'04 - Veículos e Equipamentos'!D22*'01 - Dados de Entrada'!$C$288*'01 - Dados de Entrada'!$C$55</f>
        <v>10081.5</v>
      </c>
      <c r="F17" s="278">
        <f>'04 - Veículos e Equipamentos'!E22*'01 - Dados de Entrada'!$C$288*'01 - Dados de Entrada'!$C$55</f>
        <v>10081.5</v>
      </c>
      <c r="G17" s="278">
        <f>'04 - Veículos e Equipamentos'!F22*'01 - Dados de Entrada'!$C$288*'01 - Dados de Entrada'!$C$55</f>
        <v>10081.5</v>
      </c>
      <c r="H17" s="278">
        <f>'04 - Veículos e Equipamentos'!G22*'01 - Dados de Entrada'!$C$288*'01 - Dados de Entrada'!$C$55</f>
        <v>10081.5</v>
      </c>
      <c r="I17" s="278">
        <f>'04 - Veículos e Equipamentos'!H22*'01 - Dados de Entrada'!$C$288*'01 - Dados de Entrada'!$C$55</f>
        <v>10081.5</v>
      </c>
      <c r="J17" s="278">
        <f>'04 - Veículos e Equipamentos'!I22*'01 - Dados de Entrada'!$C$288*'01 - Dados de Entrada'!$C$55</f>
        <v>10081.5</v>
      </c>
      <c r="K17" s="278">
        <f>'04 - Veículos e Equipamentos'!J22*'01 - Dados de Entrada'!$C$288*'01 - Dados de Entrada'!$C$55</f>
        <v>10081.5</v>
      </c>
      <c r="L17" s="278">
        <f>'04 - Veículos e Equipamentos'!K22*'01 - Dados de Entrada'!$C$288*'01 - Dados de Entrada'!$C$55</f>
        <v>10081.5</v>
      </c>
      <c r="M17" s="278">
        <f>'04 - Veículos e Equipamentos'!L22*'01 - Dados de Entrada'!$C$288*'01 - Dados de Entrada'!$C$55</f>
        <v>10081.5</v>
      </c>
      <c r="N17" s="278">
        <f>'04 - Veículos e Equipamentos'!M22*'01 - Dados de Entrada'!$C$288*'01 - Dados de Entrada'!$C$55</f>
        <v>10081.5</v>
      </c>
      <c r="O17" s="278">
        <f>'04 - Veículos e Equipamentos'!N22*'01 - Dados de Entrada'!$C$288*'01 - Dados de Entrada'!$C$55</f>
        <v>10081.5</v>
      </c>
      <c r="P17" s="278">
        <f>'04 - Veículos e Equipamentos'!O22*'01 - Dados de Entrada'!$C$288*'01 - Dados de Entrada'!$C$55</f>
        <v>10081.5</v>
      </c>
      <c r="Q17" s="278">
        <f>'04 - Veículos e Equipamentos'!P22*'01 - Dados de Entrada'!$C$288*'01 - Dados de Entrada'!$C$55</f>
        <v>10081.5</v>
      </c>
      <c r="R17" s="278">
        <f>'04 - Veículos e Equipamentos'!Q22*'01 - Dados de Entrada'!$C$288*'01 - Dados de Entrada'!$C$55</f>
        <v>10081.5</v>
      </c>
      <c r="S17" s="278">
        <f>'04 - Veículos e Equipamentos'!R22*'01 - Dados de Entrada'!$C$288*'01 - Dados de Entrada'!$C$55</f>
        <v>10081.5</v>
      </c>
      <c r="T17" s="278">
        <f>'04 - Veículos e Equipamentos'!S22*'01 - Dados de Entrada'!$C$288*'01 - Dados de Entrada'!$C$55</f>
        <v>10081.5</v>
      </c>
      <c r="U17" s="278">
        <f>'04 - Veículos e Equipamentos'!T22*'01 - Dados de Entrada'!$C$288*'01 - Dados de Entrada'!$C$55</f>
        <v>10081.5</v>
      </c>
      <c r="V17" s="278">
        <f>'04 - Veículos e Equipamentos'!U22*'01 - Dados de Entrada'!$C$288*'01 - Dados de Entrada'!$C$55</f>
        <v>10081.5</v>
      </c>
      <c r="W17" s="278">
        <f>'04 - Veículos e Equipamentos'!V22*'01 - Dados de Entrada'!$C$288*'01 - Dados de Entrada'!$C$55</f>
        <v>10081.5</v>
      </c>
      <c r="X17" s="278">
        <f>'04 - Veículos e Equipamentos'!W22*'01 - Dados de Entrada'!$C$288*'01 - Dados de Entrada'!$C$55</f>
        <v>10081.5</v>
      </c>
      <c r="Y17" s="278">
        <f>'04 - Veículos e Equipamentos'!X22*'01 - Dados de Entrada'!$C$288*'01 - Dados de Entrada'!$C$55</f>
        <v>10081.5</v>
      </c>
      <c r="Z17" s="278">
        <f>'04 - Veículos e Equipamentos'!Y22*'01 - Dados de Entrada'!$C$288*'01 - Dados de Entrada'!$C$55</f>
        <v>10081.5</v>
      </c>
      <c r="AA17" s="278">
        <f>'04 - Veículos e Equipamentos'!Z22*'01 - Dados de Entrada'!$C$288*'01 - Dados de Entrada'!$C$55</f>
        <v>10081.5</v>
      </c>
      <c r="AB17" s="278">
        <f>'04 - Veículos e Equipamentos'!AA22*'01 - Dados de Entrada'!$C$288*'01 - Dados de Entrada'!$C$55</f>
        <v>10081.5</v>
      </c>
      <c r="AC17" s="278">
        <f>'04 - Veículos e Equipamentos'!AB22*'01 - Dados de Entrada'!$C$288*'01 - Dados de Entrada'!$C$55</f>
        <v>10081.5</v>
      </c>
      <c r="AD17" s="278">
        <f>'04 - Veículos e Equipamentos'!AC22*'01 - Dados de Entrada'!$C$288*'01 - Dados de Entrada'!$C$55</f>
        <v>10081.5</v>
      </c>
      <c r="AE17" s="278">
        <f>'04 - Veículos e Equipamentos'!AD22*'01 - Dados de Entrada'!$C$288*'01 - Dados de Entrada'!$C$55</f>
        <v>10081.5</v>
      </c>
      <c r="AF17" s="278">
        <f>'04 - Veículos e Equipamentos'!AE22*'01 - Dados de Entrada'!$C$288*'01 - Dados de Entrada'!$C$55</f>
        <v>10081.5</v>
      </c>
      <c r="AG17" s="278">
        <f>'04 - Veículos e Equipamentos'!AF22*'01 - Dados de Entrada'!$C$288*'01 - Dados de Entrada'!$C$55</f>
        <v>10081.5</v>
      </c>
      <c r="AH17" s="278">
        <f>'04 - Veículos e Equipamentos'!AG22*'01 - Dados de Entrada'!$C$288*'01 - Dados de Entrada'!$C$55</f>
        <v>10081.5</v>
      </c>
      <c r="AI17" s="278">
        <f>'04 - Veículos e Equipamentos'!AH22*'01 - Dados de Entrada'!$C$288*'01 - Dados de Entrada'!$C$55</f>
        <v>10081.5</v>
      </c>
      <c r="AJ17" s="278">
        <f>'04 - Veículos e Equipamentos'!AI22*'01 - Dados de Entrada'!$C$288*'01 - Dados de Entrada'!$C$55</f>
        <v>10081.5</v>
      </c>
      <c r="AK17" s="278">
        <f>'04 - Veículos e Equipamentos'!AJ22*'01 - Dados de Entrada'!$C$288*'01 - Dados de Entrada'!$C$55</f>
        <v>10081.5</v>
      </c>
    </row>
    <row r="18" spans="1:37" s="35" customFormat="1" ht="13.15" customHeight="1" x14ac:dyDescent="0.2">
      <c r="A18" s="34" t="s">
        <v>794</v>
      </c>
      <c r="B18" s="149">
        <f>SUM(C18:AK18)</f>
        <v>59916.500000000036</v>
      </c>
      <c r="C18" s="278">
        <f>'04 - Veículos e Equipamentos'!B23*'01 - Dados de Entrada'!$C$57*'01 - Dados de Entrada'!$C$288</f>
        <v>1711.9</v>
      </c>
      <c r="D18" s="278">
        <f>'04 - Veículos e Equipamentos'!C23*'01 - Dados de Entrada'!$C$57*'01 - Dados de Entrada'!$C$288</f>
        <v>1711.9</v>
      </c>
      <c r="E18" s="278">
        <f>'04 - Veículos e Equipamentos'!D23*'01 - Dados de Entrada'!$C$57*'01 - Dados de Entrada'!$C$288</f>
        <v>1711.9</v>
      </c>
      <c r="F18" s="278">
        <f>'04 - Veículos e Equipamentos'!E23*'01 - Dados de Entrada'!$C$57*'01 - Dados de Entrada'!$C$288</f>
        <v>1711.9</v>
      </c>
      <c r="G18" s="278">
        <f>'04 - Veículos e Equipamentos'!F23*'01 - Dados de Entrada'!$C$57*'01 - Dados de Entrada'!$C$288</f>
        <v>1711.9</v>
      </c>
      <c r="H18" s="278">
        <f>'04 - Veículos e Equipamentos'!G23*'01 - Dados de Entrada'!$C$57*'01 - Dados de Entrada'!$C$288</f>
        <v>1711.9</v>
      </c>
      <c r="I18" s="278">
        <f>'04 - Veículos e Equipamentos'!H23*'01 - Dados de Entrada'!$C$57*'01 - Dados de Entrada'!$C$288</f>
        <v>1711.9</v>
      </c>
      <c r="J18" s="278">
        <f>'04 - Veículos e Equipamentos'!I23*'01 - Dados de Entrada'!$C$57*'01 - Dados de Entrada'!$C$288</f>
        <v>1711.9</v>
      </c>
      <c r="K18" s="278">
        <f>'04 - Veículos e Equipamentos'!J23*'01 - Dados de Entrada'!$C$57*'01 - Dados de Entrada'!$C$288</f>
        <v>1711.9</v>
      </c>
      <c r="L18" s="278">
        <f>'04 - Veículos e Equipamentos'!K23*'01 - Dados de Entrada'!$C$57*'01 - Dados de Entrada'!$C$288</f>
        <v>1711.9</v>
      </c>
      <c r="M18" s="278">
        <f>'04 - Veículos e Equipamentos'!L23*'01 - Dados de Entrada'!$C$57*'01 - Dados de Entrada'!$C$288</f>
        <v>1711.9</v>
      </c>
      <c r="N18" s="278">
        <f>'04 - Veículos e Equipamentos'!M23*'01 - Dados de Entrada'!$C$57*'01 - Dados de Entrada'!$C$288</f>
        <v>1711.9</v>
      </c>
      <c r="O18" s="278">
        <f>'04 - Veículos e Equipamentos'!N23*'01 - Dados de Entrada'!$C$57*'01 - Dados de Entrada'!$C$288</f>
        <v>1711.9</v>
      </c>
      <c r="P18" s="278">
        <f>'04 - Veículos e Equipamentos'!O23*'01 - Dados de Entrada'!$C$57*'01 - Dados de Entrada'!$C$288</f>
        <v>1711.9</v>
      </c>
      <c r="Q18" s="278">
        <f>'04 - Veículos e Equipamentos'!P23*'01 - Dados de Entrada'!$C$57*'01 - Dados de Entrada'!$C$288</f>
        <v>1711.9</v>
      </c>
      <c r="R18" s="278">
        <f>'04 - Veículos e Equipamentos'!Q23*'01 - Dados de Entrada'!$C$57*'01 - Dados de Entrada'!$C$288</f>
        <v>1711.9</v>
      </c>
      <c r="S18" s="278">
        <f>'04 - Veículos e Equipamentos'!R23*'01 - Dados de Entrada'!$C$57*'01 - Dados de Entrada'!$C$288</f>
        <v>1711.9</v>
      </c>
      <c r="T18" s="278">
        <f>'04 - Veículos e Equipamentos'!S23*'01 - Dados de Entrada'!$C$57*'01 - Dados de Entrada'!$C$288</f>
        <v>1711.9</v>
      </c>
      <c r="U18" s="278">
        <f>'04 - Veículos e Equipamentos'!T23*'01 - Dados de Entrada'!$C$57*'01 - Dados de Entrada'!$C$288</f>
        <v>1711.9</v>
      </c>
      <c r="V18" s="278">
        <f>'04 - Veículos e Equipamentos'!U23*'01 - Dados de Entrada'!$C$57*'01 - Dados de Entrada'!$C$288</f>
        <v>1711.9</v>
      </c>
      <c r="W18" s="278">
        <f>'04 - Veículos e Equipamentos'!V23*'01 - Dados de Entrada'!$C$57*'01 - Dados de Entrada'!$C$288</f>
        <v>1711.9</v>
      </c>
      <c r="X18" s="278">
        <f>'04 - Veículos e Equipamentos'!W23*'01 - Dados de Entrada'!$C$57*'01 - Dados de Entrada'!$C$288</f>
        <v>1711.9</v>
      </c>
      <c r="Y18" s="278">
        <f>'04 - Veículos e Equipamentos'!X23*'01 - Dados de Entrada'!$C$57*'01 - Dados de Entrada'!$C$288</f>
        <v>1711.9</v>
      </c>
      <c r="Z18" s="278">
        <f>'04 - Veículos e Equipamentos'!Y23*'01 - Dados de Entrada'!$C$57*'01 - Dados de Entrada'!$C$288</f>
        <v>1711.9</v>
      </c>
      <c r="AA18" s="278">
        <f>'04 - Veículos e Equipamentos'!Z23*'01 - Dados de Entrada'!$C$57*'01 - Dados de Entrada'!$C$288</f>
        <v>1711.9</v>
      </c>
      <c r="AB18" s="278">
        <f>'04 - Veículos e Equipamentos'!AA23*'01 - Dados de Entrada'!$C$57*'01 - Dados de Entrada'!$C$288</f>
        <v>1711.9</v>
      </c>
      <c r="AC18" s="278">
        <f>'04 - Veículos e Equipamentos'!AB23*'01 - Dados de Entrada'!$C$57*'01 - Dados de Entrada'!$C$288</f>
        <v>1711.9</v>
      </c>
      <c r="AD18" s="278">
        <f>'04 - Veículos e Equipamentos'!AC23*'01 - Dados de Entrada'!$C$57*'01 - Dados de Entrada'!$C$288</f>
        <v>1711.9</v>
      </c>
      <c r="AE18" s="278">
        <f>'04 - Veículos e Equipamentos'!AD23*'01 - Dados de Entrada'!$C$57*'01 - Dados de Entrada'!$C$288</f>
        <v>1711.9</v>
      </c>
      <c r="AF18" s="278">
        <f>'04 - Veículos e Equipamentos'!AE23*'01 - Dados de Entrada'!$C$57*'01 - Dados de Entrada'!$C$288</f>
        <v>1711.9</v>
      </c>
      <c r="AG18" s="278">
        <f>'04 - Veículos e Equipamentos'!AF23*'01 - Dados de Entrada'!$C$57*'01 - Dados de Entrada'!$C$288</f>
        <v>1711.9</v>
      </c>
      <c r="AH18" s="278">
        <f>'04 - Veículos e Equipamentos'!AG23*'01 - Dados de Entrada'!$C$57*'01 - Dados de Entrada'!$C$288</f>
        <v>1711.9</v>
      </c>
      <c r="AI18" s="278">
        <f>'04 - Veículos e Equipamentos'!AH23*'01 - Dados de Entrada'!$C$57*'01 - Dados de Entrada'!$C$288</f>
        <v>1711.9</v>
      </c>
      <c r="AJ18" s="278">
        <f>'04 - Veículos e Equipamentos'!AI23*'01 - Dados de Entrada'!$C$57*'01 - Dados de Entrada'!$C$288</f>
        <v>1711.9</v>
      </c>
      <c r="AK18" s="278">
        <f>'04 - Veículos e Equipamentos'!AJ23*'01 - Dados de Entrada'!$C$57*'01 - Dados de Entrada'!$C$288</f>
        <v>1711.9</v>
      </c>
    </row>
    <row r="19" spans="1:37" s="35" customFormat="1" ht="13.15" customHeight="1" x14ac:dyDescent="0.2">
      <c r="A19" s="263" t="s">
        <v>800</v>
      </c>
      <c r="B19" s="263"/>
      <c r="C19" s="278"/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8"/>
      <c r="AC19" s="278"/>
      <c r="AD19" s="278"/>
      <c r="AE19" s="278"/>
      <c r="AF19" s="278"/>
      <c r="AG19" s="278"/>
      <c r="AH19" s="278"/>
      <c r="AI19" s="278"/>
      <c r="AJ19" s="278"/>
      <c r="AK19" s="278"/>
    </row>
    <row r="20" spans="1:37" s="35" customFormat="1" ht="13.15" customHeight="1" x14ac:dyDescent="0.2">
      <c r="A20" s="34" t="s">
        <v>793</v>
      </c>
      <c r="B20" s="149">
        <f>SUM(C20:AK20)</f>
        <v>352852.5</v>
      </c>
      <c r="C20" s="278">
        <f>'04 - Veículos e Equipamentos'!B25*'01 - Dados de Entrada'!$C$55*'01 - Dados de Entrada'!$C$288</f>
        <v>10081.5</v>
      </c>
      <c r="D20" s="278">
        <f>'04 - Veículos e Equipamentos'!C25*'01 - Dados de Entrada'!$C$55*'01 - Dados de Entrada'!$C$288</f>
        <v>10081.5</v>
      </c>
      <c r="E20" s="278">
        <f>'04 - Veículos e Equipamentos'!D25*'01 - Dados de Entrada'!$C$55*'01 - Dados de Entrada'!$C$288</f>
        <v>10081.5</v>
      </c>
      <c r="F20" s="278">
        <f>'04 - Veículos e Equipamentos'!E25*'01 - Dados de Entrada'!$C$55*'01 - Dados de Entrada'!$C$288</f>
        <v>10081.5</v>
      </c>
      <c r="G20" s="278">
        <f>'04 - Veículos e Equipamentos'!F25*'01 - Dados de Entrada'!$C$55*'01 - Dados de Entrada'!$C$288</f>
        <v>10081.5</v>
      </c>
      <c r="H20" s="278">
        <f>'04 - Veículos e Equipamentos'!G25*'01 - Dados de Entrada'!$C$55*'01 - Dados de Entrada'!$C$288</f>
        <v>10081.5</v>
      </c>
      <c r="I20" s="278">
        <f>'04 - Veículos e Equipamentos'!H25*'01 - Dados de Entrada'!$C$55*'01 - Dados de Entrada'!$C$288</f>
        <v>10081.5</v>
      </c>
      <c r="J20" s="278">
        <f>'04 - Veículos e Equipamentos'!I25*'01 - Dados de Entrada'!$C$55*'01 - Dados de Entrada'!$C$288</f>
        <v>10081.5</v>
      </c>
      <c r="K20" s="278">
        <f>'04 - Veículos e Equipamentos'!J25*'01 - Dados de Entrada'!$C$55*'01 - Dados de Entrada'!$C$288</f>
        <v>10081.5</v>
      </c>
      <c r="L20" s="278">
        <f>'04 - Veículos e Equipamentos'!K25*'01 - Dados de Entrada'!$C$55*'01 - Dados de Entrada'!$C$288</f>
        <v>10081.5</v>
      </c>
      <c r="M20" s="278">
        <f>'04 - Veículos e Equipamentos'!L25*'01 - Dados de Entrada'!$C$55*'01 - Dados de Entrada'!$C$288</f>
        <v>10081.5</v>
      </c>
      <c r="N20" s="278">
        <f>'04 - Veículos e Equipamentos'!M25*'01 - Dados de Entrada'!$C$55*'01 - Dados de Entrada'!$C$288</f>
        <v>10081.5</v>
      </c>
      <c r="O20" s="278">
        <f>'04 - Veículos e Equipamentos'!N25*'01 - Dados de Entrada'!$C$55*'01 - Dados de Entrada'!$C$288</f>
        <v>10081.5</v>
      </c>
      <c r="P20" s="278">
        <f>'04 - Veículos e Equipamentos'!O25*'01 - Dados de Entrada'!$C$55*'01 - Dados de Entrada'!$C$288</f>
        <v>10081.5</v>
      </c>
      <c r="Q20" s="278">
        <f>'04 - Veículos e Equipamentos'!P25*'01 - Dados de Entrada'!$C$55*'01 - Dados de Entrada'!$C$288</f>
        <v>10081.5</v>
      </c>
      <c r="R20" s="278">
        <f>'04 - Veículos e Equipamentos'!Q25*'01 - Dados de Entrada'!$C$55*'01 - Dados de Entrada'!$C$288</f>
        <v>10081.5</v>
      </c>
      <c r="S20" s="278">
        <f>'04 - Veículos e Equipamentos'!R25*'01 - Dados de Entrada'!$C$55*'01 - Dados de Entrada'!$C$288</f>
        <v>10081.5</v>
      </c>
      <c r="T20" s="278">
        <f>'04 - Veículos e Equipamentos'!S25*'01 - Dados de Entrada'!$C$55*'01 - Dados de Entrada'!$C$288</f>
        <v>10081.5</v>
      </c>
      <c r="U20" s="278">
        <f>'04 - Veículos e Equipamentos'!T25*'01 - Dados de Entrada'!$C$55*'01 - Dados de Entrada'!$C$288</f>
        <v>10081.5</v>
      </c>
      <c r="V20" s="278">
        <f>'04 - Veículos e Equipamentos'!U25*'01 - Dados de Entrada'!$C$55*'01 - Dados de Entrada'!$C$288</f>
        <v>10081.5</v>
      </c>
      <c r="W20" s="278">
        <f>'04 - Veículos e Equipamentos'!V25*'01 - Dados de Entrada'!$C$55*'01 - Dados de Entrada'!$C$288</f>
        <v>10081.5</v>
      </c>
      <c r="X20" s="278">
        <f>'04 - Veículos e Equipamentos'!W25*'01 - Dados de Entrada'!$C$55*'01 - Dados de Entrada'!$C$288</f>
        <v>10081.5</v>
      </c>
      <c r="Y20" s="278">
        <f>'04 - Veículos e Equipamentos'!X25*'01 - Dados de Entrada'!$C$55*'01 - Dados de Entrada'!$C$288</f>
        <v>10081.5</v>
      </c>
      <c r="Z20" s="278">
        <f>'04 - Veículos e Equipamentos'!Y25*'01 - Dados de Entrada'!$C$55*'01 - Dados de Entrada'!$C$288</f>
        <v>10081.5</v>
      </c>
      <c r="AA20" s="278">
        <f>'04 - Veículos e Equipamentos'!Z25*'01 - Dados de Entrada'!$C$55*'01 - Dados de Entrada'!$C$288</f>
        <v>10081.5</v>
      </c>
      <c r="AB20" s="278">
        <f>'04 - Veículos e Equipamentos'!AA25*'01 - Dados de Entrada'!$C$55*'01 - Dados de Entrada'!$C$288</f>
        <v>10081.5</v>
      </c>
      <c r="AC20" s="278">
        <f>'04 - Veículos e Equipamentos'!AB25*'01 - Dados de Entrada'!$C$55*'01 - Dados de Entrada'!$C$288</f>
        <v>10081.5</v>
      </c>
      <c r="AD20" s="278">
        <f>'04 - Veículos e Equipamentos'!AC25*'01 - Dados de Entrada'!$C$55*'01 - Dados de Entrada'!$C$288</f>
        <v>10081.5</v>
      </c>
      <c r="AE20" s="278">
        <f>'04 - Veículos e Equipamentos'!AD25*'01 - Dados de Entrada'!$C$55*'01 - Dados de Entrada'!$C$288</f>
        <v>10081.5</v>
      </c>
      <c r="AF20" s="278">
        <f>'04 - Veículos e Equipamentos'!AE25*'01 - Dados de Entrada'!$C$55*'01 - Dados de Entrada'!$C$288</f>
        <v>10081.5</v>
      </c>
      <c r="AG20" s="278">
        <f>'04 - Veículos e Equipamentos'!AF25*'01 - Dados de Entrada'!$C$55*'01 - Dados de Entrada'!$C$288</f>
        <v>10081.5</v>
      </c>
      <c r="AH20" s="278">
        <f>'04 - Veículos e Equipamentos'!AG25*'01 - Dados de Entrada'!$C$55*'01 - Dados de Entrada'!$C$288</f>
        <v>10081.5</v>
      </c>
      <c r="AI20" s="278">
        <f>'04 - Veículos e Equipamentos'!AH25*'01 - Dados de Entrada'!$C$55*'01 - Dados de Entrada'!$C$288</f>
        <v>10081.5</v>
      </c>
      <c r="AJ20" s="278">
        <f>'04 - Veículos e Equipamentos'!AI25*'01 - Dados de Entrada'!$C$55*'01 - Dados de Entrada'!$C$288</f>
        <v>10081.5</v>
      </c>
      <c r="AK20" s="278">
        <f>'04 - Veículos e Equipamentos'!AJ25*'01 - Dados de Entrada'!$C$55*'01 - Dados de Entrada'!$C$288</f>
        <v>10081.5</v>
      </c>
    </row>
    <row r="21" spans="1:37" s="35" customFormat="1" ht="13.15" customHeight="1" x14ac:dyDescent="0.2">
      <c r="A21" s="263" t="s">
        <v>801</v>
      </c>
      <c r="B21" s="263"/>
      <c r="C21" s="278"/>
      <c r="D21" s="278"/>
      <c r="E21" s="278"/>
      <c r="F21" s="278"/>
      <c r="G21" s="278"/>
      <c r="H21" s="278"/>
      <c r="I21" s="278"/>
      <c r="J21" s="278"/>
      <c r="K21" s="278"/>
      <c r="L21" s="278"/>
      <c r="M21" s="278"/>
      <c r="N21" s="278"/>
      <c r="O21" s="278"/>
      <c r="P21" s="278"/>
      <c r="Q21" s="278"/>
      <c r="R21" s="278"/>
      <c r="S21" s="278"/>
      <c r="T21" s="278"/>
      <c r="U21" s="278"/>
      <c r="V21" s="278"/>
      <c r="W21" s="278"/>
      <c r="X21" s="278"/>
      <c r="Y21" s="278"/>
      <c r="Z21" s="278"/>
      <c r="AA21" s="278"/>
      <c r="AB21" s="278"/>
      <c r="AC21" s="278"/>
      <c r="AD21" s="278"/>
      <c r="AE21" s="278"/>
      <c r="AF21" s="278"/>
      <c r="AG21" s="278"/>
      <c r="AH21" s="278"/>
      <c r="AI21" s="278"/>
      <c r="AJ21" s="278"/>
      <c r="AK21" s="278"/>
    </row>
    <row r="22" spans="1:37" s="35" customFormat="1" ht="13.15" customHeight="1" x14ac:dyDescent="0.2">
      <c r="A22" s="34" t="s">
        <v>802</v>
      </c>
      <c r="B22" s="149">
        <f>SUM(C22:AK22)</f>
        <v>263434.50000000017</v>
      </c>
      <c r="C22" s="278">
        <f>'04 - Veículos e Equipamentos'!B27*'01 - Dados de Entrada'!$C$288*'01 - Dados de Entrada'!$C$56</f>
        <v>7526.7000000000007</v>
      </c>
      <c r="D22" s="278">
        <f>'04 - Veículos e Equipamentos'!C27*'01 - Dados de Entrada'!$C$288*'01 - Dados de Entrada'!$C$56</f>
        <v>7526.7000000000007</v>
      </c>
      <c r="E22" s="278">
        <f>'04 - Veículos e Equipamentos'!D27*'01 - Dados de Entrada'!$C$288*'01 - Dados de Entrada'!$C$56</f>
        <v>7526.7000000000007</v>
      </c>
      <c r="F22" s="278">
        <f>'04 - Veículos e Equipamentos'!E27*'01 - Dados de Entrada'!$C$288*'01 - Dados de Entrada'!$C$56</f>
        <v>7526.7000000000007</v>
      </c>
      <c r="G22" s="278">
        <f>'04 - Veículos e Equipamentos'!F27*'01 - Dados de Entrada'!$C$288*'01 - Dados de Entrada'!$C$56</f>
        <v>7526.7000000000007</v>
      </c>
      <c r="H22" s="278">
        <f>'04 - Veículos e Equipamentos'!G27*'01 - Dados de Entrada'!$C$288*'01 - Dados de Entrada'!$C$56</f>
        <v>7526.7000000000007</v>
      </c>
      <c r="I22" s="278">
        <f>'04 - Veículos e Equipamentos'!H27*'01 - Dados de Entrada'!$C$288*'01 - Dados de Entrada'!$C$56</f>
        <v>7526.7000000000007</v>
      </c>
      <c r="J22" s="278">
        <f>'04 - Veículos e Equipamentos'!I27*'01 - Dados de Entrada'!$C$288*'01 - Dados de Entrada'!$C$56</f>
        <v>7526.7000000000007</v>
      </c>
      <c r="K22" s="278">
        <f>'04 - Veículos e Equipamentos'!J27*'01 - Dados de Entrada'!$C$288*'01 - Dados de Entrada'!$C$56</f>
        <v>7526.7000000000007</v>
      </c>
      <c r="L22" s="278">
        <f>'04 - Veículos e Equipamentos'!K27*'01 - Dados de Entrada'!$C$288*'01 - Dados de Entrada'!$C$56</f>
        <v>7526.7000000000007</v>
      </c>
      <c r="M22" s="278">
        <f>'04 - Veículos e Equipamentos'!L27*'01 - Dados de Entrada'!$C$288*'01 - Dados de Entrada'!$C$56</f>
        <v>7526.7000000000007</v>
      </c>
      <c r="N22" s="278">
        <f>'04 - Veículos e Equipamentos'!M27*'01 - Dados de Entrada'!$C$288*'01 - Dados de Entrada'!$C$56</f>
        <v>7526.7000000000007</v>
      </c>
      <c r="O22" s="278">
        <f>'04 - Veículos e Equipamentos'!N27*'01 - Dados de Entrada'!$C$288*'01 - Dados de Entrada'!$C$56</f>
        <v>7526.7000000000007</v>
      </c>
      <c r="P22" s="278">
        <f>'04 - Veículos e Equipamentos'!O27*'01 - Dados de Entrada'!$C$288*'01 - Dados de Entrada'!$C$56</f>
        <v>7526.7000000000007</v>
      </c>
      <c r="Q22" s="278">
        <f>'04 - Veículos e Equipamentos'!P27*'01 - Dados de Entrada'!$C$288*'01 - Dados de Entrada'!$C$56</f>
        <v>7526.7000000000007</v>
      </c>
      <c r="R22" s="278">
        <f>'04 - Veículos e Equipamentos'!Q27*'01 - Dados de Entrada'!$C$288*'01 - Dados de Entrada'!$C$56</f>
        <v>7526.7000000000007</v>
      </c>
      <c r="S22" s="278">
        <f>'04 - Veículos e Equipamentos'!R27*'01 - Dados de Entrada'!$C$288*'01 - Dados de Entrada'!$C$56</f>
        <v>7526.7000000000007</v>
      </c>
      <c r="T22" s="278">
        <f>'04 - Veículos e Equipamentos'!S27*'01 - Dados de Entrada'!$C$288*'01 - Dados de Entrada'!$C$56</f>
        <v>7526.7000000000007</v>
      </c>
      <c r="U22" s="278">
        <f>'04 - Veículos e Equipamentos'!T27*'01 - Dados de Entrada'!$C$288*'01 - Dados de Entrada'!$C$56</f>
        <v>7526.7000000000007</v>
      </c>
      <c r="V22" s="278">
        <f>'04 - Veículos e Equipamentos'!U27*'01 - Dados de Entrada'!$C$288*'01 - Dados de Entrada'!$C$56</f>
        <v>7526.7000000000007</v>
      </c>
      <c r="W22" s="278">
        <f>'04 - Veículos e Equipamentos'!V27*'01 - Dados de Entrada'!$C$288*'01 - Dados de Entrada'!$C$56</f>
        <v>7526.7000000000007</v>
      </c>
      <c r="X22" s="278">
        <f>'04 - Veículos e Equipamentos'!W27*'01 - Dados de Entrada'!$C$288*'01 - Dados de Entrada'!$C$56</f>
        <v>7526.7000000000007</v>
      </c>
      <c r="Y22" s="278">
        <f>'04 - Veículos e Equipamentos'!X27*'01 - Dados de Entrada'!$C$288*'01 - Dados de Entrada'!$C$56</f>
        <v>7526.7000000000007</v>
      </c>
      <c r="Z22" s="278">
        <f>'04 - Veículos e Equipamentos'!Y27*'01 - Dados de Entrada'!$C$288*'01 - Dados de Entrada'!$C$56</f>
        <v>7526.7000000000007</v>
      </c>
      <c r="AA22" s="278">
        <f>'04 - Veículos e Equipamentos'!Z27*'01 - Dados de Entrada'!$C$288*'01 - Dados de Entrada'!$C$56</f>
        <v>7526.7000000000007</v>
      </c>
      <c r="AB22" s="278">
        <f>'04 - Veículos e Equipamentos'!AA27*'01 - Dados de Entrada'!$C$288*'01 - Dados de Entrada'!$C$56</f>
        <v>7526.7000000000007</v>
      </c>
      <c r="AC22" s="278">
        <f>'04 - Veículos e Equipamentos'!AB27*'01 - Dados de Entrada'!$C$288*'01 - Dados de Entrada'!$C$56</f>
        <v>7526.7000000000007</v>
      </c>
      <c r="AD22" s="278">
        <f>'04 - Veículos e Equipamentos'!AC27*'01 - Dados de Entrada'!$C$288*'01 - Dados de Entrada'!$C$56</f>
        <v>7526.7000000000007</v>
      </c>
      <c r="AE22" s="278">
        <f>'04 - Veículos e Equipamentos'!AD27*'01 - Dados de Entrada'!$C$288*'01 - Dados de Entrada'!$C$56</f>
        <v>7526.7000000000007</v>
      </c>
      <c r="AF22" s="278">
        <f>'04 - Veículos e Equipamentos'!AE27*'01 - Dados de Entrada'!$C$288*'01 - Dados de Entrada'!$C$56</f>
        <v>7526.7000000000007</v>
      </c>
      <c r="AG22" s="278">
        <f>'04 - Veículos e Equipamentos'!AF27*'01 - Dados de Entrada'!$C$288*'01 - Dados de Entrada'!$C$56</f>
        <v>7526.7000000000007</v>
      </c>
      <c r="AH22" s="278">
        <f>'04 - Veículos e Equipamentos'!AG27*'01 - Dados de Entrada'!$C$288*'01 - Dados de Entrada'!$C$56</f>
        <v>7526.7000000000007</v>
      </c>
      <c r="AI22" s="278">
        <f>'04 - Veículos e Equipamentos'!AH27*'01 - Dados de Entrada'!$C$288*'01 - Dados de Entrada'!$C$56</f>
        <v>7526.7000000000007</v>
      </c>
      <c r="AJ22" s="278">
        <f>'04 - Veículos e Equipamentos'!AI27*'01 - Dados de Entrada'!$C$288*'01 - Dados de Entrada'!$C$56</f>
        <v>7526.7000000000007</v>
      </c>
      <c r="AK22" s="278">
        <f>'04 - Veículos e Equipamentos'!AJ27*'01 - Dados de Entrada'!$C$288*'01 - Dados de Entrada'!$C$56</f>
        <v>7526.7000000000007</v>
      </c>
    </row>
    <row r="23" spans="1:37" s="35" customFormat="1" ht="13.15" customHeight="1" x14ac:dyDescent="0.2">
      <c r="A23" s="263" t="s">
        <v>803</v>
      </c>
      <c r="B23" s="263"/>
      <c r="C23" s="278"/>
      <c r="D23" s="278"/>
      <c r="E23" s="278"/>
      <c r="F23" s="278"/>
      <c r="G23" s="278"/>
      <c r="H23" s="278"/>
      <c r="I23" s="278"/>
      <c r="J23" s="278"/>
      <c r="K23" s="278"/>
      <c r="L23" s="278"/>
      <c r="M23" s="278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8"/>
      <c r="AC23" s="278"/>
      <c r="AD23" s="278"/>
      <c r="AE23" s="278"/>
      <c r="AF23" s="278"/>
      <c r="AG23" s="278"/>
      <c r="AH23" s="278"/>
      <c r="AI23" s="278"/>
      <c r="AJ23" s="278"/>
      <c r="AK23" s="278"/>
    </row>
    <row r="24" spans="1:37" s="35" customFormat="1" ht="13.15" customHeight="1" x14ac:dyDescent="0.2">
      <c r="A24" s="34" t="s">
        <v>802</v>
      </c>
      <c r="B24" s="149">
        <f>SUM(C24:AK24)</f>
        <v>263434.50000000017</v>
      </c>
      <c r="C24" s="278">
        <f>'04 - Veículos e Equipamentos'!B29*'01 - Dados de Entrada'!$C$288*'01 - Dados de Entrada'!$C$56</f>
        <v>7526.7000000000007</v>
      </c>
      <c r="D24" s="278">
        <f>'04 - Veículos e Equipamentos'!C29*'01 - Dados de Entrada'!$C$288*'01 - Dados de Entrada'!$C$56</f>
        <v>7526.7000000000007</v>
      </c>
      <c r="E24" s="278">
        <f>'04 - Veículos e Equipamentos'!D29*'01 - Dados de Entrada'!$C$288*'01 - Dados de Entrada'!$C$56</f>
        <v>7526.7000000000007</v>
      </c>
      <c r="F24" s="278">
        <f>'04 - Veículos e Equipamentos'!E29*'01 - Dados de Entrada'!$C$288*'01 - Dados de Entrada'!$C$56</f>
        <v>7526.7000000000007</v>
      </c>
      <c r="G24" s="278">
        <f>'04 - Veículos e Equipamentos'!F29*'01 - Dados de Entrada'!$C$288*'01 - Dados de Entrada'!$C$56</f>
        <v>7526.7000000000007</v>
      </c>
      <c r="H24" s="278">
        <f>'04 - Veículos e Equipamentos'!G29*'01 - Dados de Entrada'!$C$288*'01 - Dados de Entrada'!$C$56</f>
        <v>7526.7000000000007</v>
      </c>
      <c r="I24" s="278">
        <f>'04 - Veículos e Equipamentos'!H29*'01 - Dados de Entrada'!$C$288*'01 - Dados de Entrada'!$C$56</f>
        <v>7526.7000000000007</v>
      </c>
      <c r="J24" s="278">
        <f>'04 - Veículos e Equipamentos'!I29*'01 - Dados de Entrada'!$C$288*'01 - Dados de Entrada'!$C$56</f>
        <v>7526.7000000000007</v>
      </c>
      <c r="K24" s="278">
        <f>'04 - Veículos e Equipamentos'!J29*'01 - Dados de Entrada'!$C$288*'01 - Dados de Entrada'!$C$56</f>
        <v>7526.7000000000007</v>
      </c>
      <c r="L24" s="278">
        <f>'04 - Veículos e Equipamentos'!K29*'01 - Dados de Entrada'!$C$288*'01 - Dados de Entrada'!$C$56</f>
        <v>7526.7000000000007</v>
      </c>
      <c r="M24" s="278">
        <f>'04 - Veículos e Equipamentos'!L29*'01 - Dados de Entrada'!$C$288*'01 - Dados de Entrada'!$C$56</f>
        <v>7526.7000000000007</v>
      </c>
      <c r="N24" s="278">
        <f>'04 - Veículos e Equipamentos'!M29*'01 - Dados de Entrada'!$C$288*'01 - Dados de Entrada'!$C$56</f>
        <v>7526.7000000000007</v>
      </c>
      <c r="O24" s="278">
        <f>'04 - Veículos e Equipamentos'!N29*'01 - Dados de Entrada'!$C$288*'01 - Dados de Entrada'!$C$56</f>
        <v>7526.7000000000007</v>
      </c>
      <c r="P24" s="278">
        <f>'04 - Veículos e Equipamentos'!O29*'01 - Dados de Entrada'!$C$288*'01 - Dados de Entrada'!$C$56</f>
        <v>7526.7000000000007</v>
      </c>
      <c r="Q24" s="278">
        <f>'04 - Veículos e Equipamentos'!P29*'01 - Dados de Entrada'!$C$288*'01 - Dados de Entrada'!$C$56</f>
        <v>7526.7000000000007</v>
      </c>
      <c r="R24" s="278">
        <f>'04 - Veículos e Equipamentos'!Q29*'01 - Dados de Entrada'!$C$288*'01 - Dados de Entrada'!$C$56</f>
        <v>7526.7000000000007</v>
      </c>
      <c r="S24" s="278">
        <f>'04 - Veículos e Equipamentos'!R29*'01 - Dados de Entrada'!$C$288*'01 - Dados de Entrada'!$C$56</f>
        <v>7526.7000000000007</v>
      </c>
      <c r="T24" s="278">
        <f>'04 - Veículos e Equipamentos'!S29*'01 - Dados de Entrada'!$C$288*'01 - Dados de Entrada'!$C$56</f>
        <v>7526.7000000000007</v>
      </c>
      <c r="U24" s="278">
        <f>'04 - Veículos e Equipamentos'!T29*'01 - Dados de Entrada'!$C$288*'01 - Dados de Entrada'!$C$56</f>
        <v>7526.7000000000007</v>
      </c>
      <c r="V24" s="278">
        <f>'04 - Veículos e Equipamentos'!U29*'01 - Dados de Entrada'!$C$288*'01 - Dados de Entrada'!$C$56</f>
        <v>7526.7000000000007</v>
      </c>
      <c r="W24" s="278">
        <f>'04 - Veículos e Equipamentos'!V29*'01 - Dados de Entrada'!$C$288*'01 - Dados de Entrada'!$C$56</f>
        <v>7526.7000000000007</v>
      </c>
      <c r="X24" s="278">
        <f>'04 - Veículos e Equipamentos'!W29*'01 - Dados de Entrada'!$C$288*'01 - Dados de Entrada'!$C$56</f>
        <v>7526.7000000000007</v>
      </c>
      <c r="Y24" s="278">
        <f>'04 - Veículos e Equipamentos'!X29*'01 - Dados de Entrada'!$C$288*'01 - Dados de Entrada'!$C$56</f>
        <v>7526.7000000000007</v>
      </c>
      <c r="Z24" s="278">
        <f>'04 - Veículos e Equipamentos'!Y29*'01 - Dados de Entrada'!$C$288*'01 - Dados de Entrada'!$C$56</f>
        <v>7526.7000000000007</v>
      </c>
      <c r="AA24" s="278">
        <f>'04 - Veículos e Equipamentos'!Z29*'01 - Dados de Entrada'!$C$288*'01 - Dados de Entrada'!$C$56</f>
        <v>7526.7000000000007</v>
      </c>
      <c r="AB24" s="278">
        <f>'04 - Veículos e Equipamentos'!AA29*'01 - Dados de Entrada'!$C$288*'01 - Dados de Entrada'!$C$56</f>
        <v>7526.7000000000007</v>
      </c>
      <c r="AC24" s="278">
        <f>'04 - Veículos e Equipamentos'!AB29*'01 - Dados de Entrada'!$C$288*'01 - Dados de Entrada'!$C$56</f>
        <v>7526.7000000000007</v>
      </c>
      <c r="AD24" s="278">
        <f>'04 - Veículos e Equipamentos'!AC29*'01 - Dados de Entrada'!$C$288*'01 - Dados de Entrada'!$C$56</f>
        <v>7526.7000000000007</v>
      </c>
      <c r="AE24" s="278">
        <f>'04 - Veículos e Equipamentos'!AD29*'01 - Dados de Entrada'!$C$288*'01 - Dados de Entrada'!$C$56</f>
        <v>7526.7000000000007</v>
      </c>
      <c r="AF24" s="278">
        <f>'04 - Veículos e Equipamentos'!AE29*'01 - Dados de Entrada'!$C$288*'01 - Dados de Entrada'!$C$56</f>
        <v>7526.7000000000007</v>
      </c>
      <c r="AG24" s="278">
        <f>'04 - Veículos e Equipamentos'!AF29*'01 - Dados de Entrada'!$C$288*'01 - Dados de Entrada'!$C$56</f>
        <v>7526.7000000000007</v>
      </c>
      <c r="AH24" s="278">
        <f>'04 - Veículos e Equipamentos'!AG29*'01 - Dados de Entrada'!$C$288*'01 - Dados de Entrada'!$C$56</f>
        <v>7526.7000000000007</v>
      </c>
      <c r="AI24" s="278">
        <f>'04 - Veículos e Equipamentos'!AH29*'01 - Dados de Entrada'!$C$288*'01 - Dados de Entrada'!$C$56</f>
        <v>7526.7000000000007</v>
      </c>
      <c r="AJ24" s="278">
        <f>'04 - Veículos e Equipamentos'!AI29*'01 - Dados de Entrada'!$C$288*'01 - Dados de Entrada'!$C$56</f>
        <v>7526.7000000000007</v>
      </c>
      <c r="AK24" s="278">
        <f>'04 - Veículos e Equipamentos'!AJ29*'01 - Dados de Entrada'!$C$288*'01 - Dados de Entrada'!$C$56</f>
        <v>7526.7000000000007</v>
      </c>
    </row>
    <row r="25" spans="1:37" s="35" customFormat="1" ht="13.15" customHeight="1" x14ac:dyDescent="0.2">
      <c r="A25" s="263" t="s">
        <v>804</v>
      </c>
      <c r="B25" s="263"/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8"/>
      <c r="AC25" s="278"/>
      <c r="AD25" s="278"/>
      <c r="AE25" s="278"/>
      <c r="AF25" s="278"/>
      <c r="AG25" s="278"/>
      <c r="AH25" s="278"/>
      <c r="AI25" s="278"/>
      <c r="AJ25" s="278"/>
      <c r="AK25" s="278"/>
    </row>
    <row r="26" spans="1:37" s="35" customFormat="1" ht="13.15" customHeight="1" x14ac:dyDescent="0.2">
      <c r="A26" s="34" t="s">
        <v>802</v>
      </c>
      <c r="B26" s="149">
        <f>SUM(C26:AK26)</f>
        <v>526869.00000000035</v>
      </c>
      <c r="C26" s="278">
        <f>'04 - Veículos e Equipamentos'!B31*'01 - Dados de Entrada'!$C$288*'01 - Dados de Entrada'!$C$56</f>
        <v>15053.400000000001</v>
      </c>
      <c r="D26" s="278">
        <f>'04 - Veículos e Equipamentos'!C31*'01 - Dados de Entrada'!$C$288*'01 - Dados de Entrada'!$C$56</f>
        <v>15053.400000000001</v>
      </c>
      <c r="E26" s="278">
        <f>'04 - Veículos e Equipamentos'!D31*'01 - Dados de Entrada'!$C$288*'01 - Dados de Entrada'!$C$56</f>
        <v>15053.400000000001</v>
      </c>
      <c r="F26" s="278">
        <f>'04 - Veículos e Equipamentos'!E31*'01 - Dados de Entrada'!$C$288*'01 - Dados de Entrada'!$C$56</f>
        <v>15053.400000000001</v>
      </c>
      <c r="G26" s="278">
        <f>'04 - Veículos e Equipamentos'!F31*'01 - Dados de Entrada'!$C$288*'01 - Dados de Entrada'!$C$56</f>
        <v>15053.400000000001</v>
      </c>
      <c r="H26" s="278">
        <f>'04 - Veículos e Equipamentos'!G31*'01 - Dados de Entrada'!$C$288*'01 - Dados de Entrada'!$C$56</f>
        <v>15053.400000000001</v>
      </c>
      <c r="I26" s="278">
        <f>'04 - Veículos e Equipamentos'!H31*'01 - Dados de Entrada'!$C$288*'01 - Dados de Entrada'!$C$56</f>
        <v>15053.400000000001</v>
      </c>
      <c r="J26" s="278">
        <f>'04 - Veículos e Equipamentos'!I31*'01 - Dados de Entrada'!$C$288*'01 - Dados de Entrada'!$C$56</f>
        <v>15053.400000000001</v>
      </c>
      <c r="K26" s="278">
        <f>'04 - Veículos e Equipamentos'!J31*'01 - Dados de Entrada'!$C$288*'01 - Dados de Entrada'!$C$56</f>
        <v>15053.400000000001</v>
      </c>
      <c r="L26" s="278">
        <f>'04 - Veículos e Equipamentos'!K31*'01 - Dados de Entrada'!$C$288*'01 - Dados de Entrada'!$C$56</f>
        <v>15053.400000000001</v>
      </c>
      <c r="M26" s="278">
        <f>'04 - Veículos e Equipamentos'!L31*'01 - Dados de Entrada'!$C$288*'01 - Dados de Entrada'!$C$56</f>
        <v>15053.400000000001</v>
      </c>
      <c r="N26" s="278">
        <f>'04 - Veículos e Equipamentos'!M31*'01 - Dados de Entrada'!$C$288*'01 - Dados de Entrada'!$C$56</f>
        <v>15053.400000000001</v>
      </c>
      <c r="O26" s="278">
        <f>'04 - Veículos e Equipamentos'!N31*'01 - Dados de Entrada'!$C$288*'01 - Dados de Entrada'!$C$56</f>
        <v>15053.400000000001</v>
      </c>
      <c r="P26" s="278">
        <f>'04 - Veículos e Equipamentos'!O31*'01 - Dados de Entrada'!$C$288*'01 - Dados de Entrada'!$C$56</f>
        <v>15053.400000000001</v>
      </c>
      <c r="Q26" s="278">
        <f>'04 - Veículos e Equipamentos'!P31*'01 - Dados de Entrada'!$C$288*'01 - Dados de Entrada'!$C$56</f>
        <v>15053.400000000001</v>
      </c>
      <c r="R26" s="278">
        <f>'04 - Veículos e Equipamentos'!Q31*'01 - Dados de Entrada'!$C$288*'01 - Dados de Entrada'!$C$56</f>
        <v>15053.400000000001</v>
      </c>
      <c r="S26" s="278">
        <f>'04 - Veículos e Equipamentos'!R31*'01 - Dados de Entrada'!$C$288*'01 - Dados de Entrada'!$C$56</f>
        <v>15053.400000000001</v>
      </c>
      <c r="T26" s="278">
        <f>'04 - Veículos e Equipamentos'!S31*'01 - Dados de Entrada'!$C$288*'01 - Dados de Entrada'!$C$56</f>
        <v>15053.400000000001</v>
      </c>
      <c r="U26" s="278">
        <f>'04 - Veículos e Equipamentos'!T31*'01 - Dados de Entrada'!$C$288*'01 - Dados de Entrada'!$C$56</f>
        <v>15053.400000000001</v>
      </c>
      <c r="V26" s="278">
        <f>'04 - Veículos e Equipamentos'!U31*'01 - Dados de Entrada'!$C$288*'01 - Dados de Entrada'!$C$56</f>
        <v>15053.400000000001</v>
      </c>
      <c r="W26" s="278">
        <f>'04 - Veículos e Equipamentos'!V31*'01 - Dados de Entrada'!$C$288*'01 - Dados de Entrada'!$C$56</f>
        <v>15053.400000000001</v>
      </c>
      <c r="X26" s="278">
        <f>'04 - Veículos e Equipamentos'!W31*'01 - Dados de Entrada'!$C$288*'01 - Dados de Entrada'!$C$56</f>
        <v>15053.400000000001</v>
      </c>
      <c r="Y26" s="278">
        <f>'04 - Veículos e Equipamentos'!X31*'01 - Dados de Entrada'!$C$288*'01 - Dados de Entrada'!$C$56</f>
        <v>15053.400000000001</v>
      </c>
      <c r="Z26" s="278">
        <f>'04 - Veículos e Equipamentos'!Y31*'01 - Dados de Entrada'!$C$288*'01 - Dados de Entrada'!$C$56</f>
        <v>15053.400000000001</v>
      </c>
      <c r="AA26" s="278">
        <f>'04 - Veículos e Equipamentos'!Z31*'01 - Dados de Entrada'!$C$288*'01 - Dados de Entrada'!$C$56</f>
        <v>15053.400000000001</v>
      </c>
      <c r="AB26" s="278">
        <f>'04 - Veículos e Equipamentos'!AA31*'01 - Dados de Entrada'!$C$288*'01 - Dados de Entrada'!$C$56</f>
        <v>15053.400000000001</v>
      </c>
      <c r="AC26" s="278">
        <f>'04 - Veículos e Equipamentos'!AB31*'01 - Dados de Entrada'!$C$288*'01 - Dados de Entrada'!$C$56</f>
        <v>15053.400000000001</v>
      </c>
      <c r="AD26" s="278">
        <f>'04 - Veículos e Equipamentos'!AC31*'01 - Dados de Entrada'!$C$288*'01 - Dados de Entrada'!$C$56</f>
        <v>15053.400000000001</v>
      </c>
      <c r="AE26" s="278">
        <f>'04 - Veículos e Equipamentos'!AD31*'01 - Dados de Entrada'!$C$288*'01 - Dados de Entrada'!$C$56</f>
        <v>15053.400000000001</v>
      </c>
      <c r="AF26" s="278">
        <f>'04 - Veículos e Equipamentos'!AE31*'01 - Dados de Entrada'!$C$288*'01 - Dados de Entrada'!$C$56</f>
        <v>15053.400000000001</v>
      </c>
      <c r="AG26" s="278">
        <f>'04 - Veículos e Equipamentos'!AF31*'01 - Dados de Entrada'!$C$288*'01 - Dados de Entrada'!$C$56</f>
        <v>15053.400000000001</v>
      </c>
      <c r="AH26" s="278">
        <f>'04 - Veículos e Equipamentos'!AG31*'01 - Dados de Entrada'!$C$288*'01 - Dados de Entrada'!$C$56</f>
        <v>15053.400000000001</v>
      </c>
      <c r="AI26" s="278">
        <f>'04 - Veículos e Equipamentos'!AH31*'01 - Dados de Entrada'!$C$288*'01 - Dados de Entrada'!$C$56</f>
        <v>15053.400000000001</v>
      </c>
      <c r="AJ26" s="278">
        <f>'04 - Veículos e Equipamentos'!AI31*'01 - Dados de Entrada'!$C$288*'01 - Dados de Entrada'!$C$56</f>
        <v>15053.400000000001</v>
      </c>
      <c r="AK26" s="278">
        <f>'04 - Veículos e Equipamentos'!AJ31*'01 - Dados de Entrada'!$C$288*'01 - Dados de Entrada'!$C$56</f>
        <v>15053.400000000001</v>
      </c>
    </row>
    <row r="27" spans="1:37" s="35" customFormat="1" ht="13.15" customHeight="1" x14ac:dyDescent="0.2">
      <c r="A27" s="263" t="s">
        <v>1001</v>
      </c>
      <c r="B27" s="462"/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8"/>
      <c r="AC27" s="278"/>
      <c r="AD27" s="278"/>
      <c r="AE27" s="278"/>
      <c r="AF27" s="278"/>
      <c r="AG27" s="278"/>
      <c r="AH27" s="278"/>
      <c r="AI27" s="278"/>
      <c r="AJ27" s="278"/>
      <c r="AK27" s="278"/>
    </row>
    <row r="28" spans="1:37" s="35" customFormat="1" ht="13.15" customHeight="1" x14ac:dyDescent="0.2">
      <c r="A28" s="36" t="s">
        <v>806</v>
      </c>
      <c r="B28" s="149">
        <f>SUM(C28:AK28)</f>
        <v>3635942.3200000022</v>
      </c>
      <c r="C28" s="278">
        <f>'04 - Veículos e Equipamentos'!B33*'01 - Dados de Entrada'!$C$58*'01 - Dados de Entrada'!$C$288</f>
        <v>38446.520000000004</v>
      </c>
      <c r="D28" s="278">
        <f>'04 - Veículos e Equipamentos'!C33*'01 - Dados de Entrada'!$C$58*'01 - Dados de Entrada'!$C$288</f>
        <v>38446.520000000004</v>
      </c>
      <c r="E28" s="278">
        <f>'04 - Veículos e Equipamentos'!D33*'01 - Dados de Entrada'!$C$58*'01 - Dados de Entrada'!$C$288</f>
        <v>76893.040000000008</v>
      </c>
      <c r="F28" s="278">
        <f>'04 - Veículos e Equipamentos'!E33*'01 - Dados de Entrada'!$C$58*'01 - Dados de Entrada'!$C$288</f>
        <v>76893.040000000008</v>
      </c>
      <c r="G28" s="278">
        <f>'04 - Veículos e Equipamentos'!F33*'01 - Dados de Entrada'!$C$58*'01 - Dados de Entrada'!$C$288</f>
        <v>109847.20000000001</v>
      </c>
      <c r="H28" s="278">
        <f>'04 - Veículos e Equipamentos'!G33*'01 - Dados de Entrada'!$C$58*'01 - Dados de Entrada'!$C$288</f>
        <v>109847.20000000001</v>
      </c>
      <c r="I28" s="278">
        <f>'04 - Veículos e Equipamentos'!H33*'01 - Dados de Entrada'!$C$58*'01 - Dados de Entrada'!$C$288</f>
        <v>109847.20000000001</v>
      </c>
      <c r="J28" s="278">
        <f>'04 - Veículos e Equipamentos'!I33*'01 - Dados de Entrada'!$C$58*'01 - Dados de Entrada'!$C$288</f>
        <v>109847.20000000001</v>
      </c>
      <c r="K28" s="278">
        <f>'04 - Veículos e Equipamentos'!J33*'01 - Dados de Entrada'!$C$58*'01 - Dados de Entrada'!$C$288</f>
        <v>109847.20000000001</v>
      </c>
      <c r="L28" s="278">
        <f>'04 - Veículos e Equipamentos'!K33*'01 - Dados de Entrada'!$C$58*'01 - Dados de Entrada'!$C$288</f>
        <v>109847.20000000001</v>
      </c>
      <c r="M28" s="278">
        <f>'04 - Veículos e Equipamentos'!L33*'01 - Dados de Entrada'!$C$58*'01 - Dados de Entrada'!$C$288</f>
        <v>109847.20000000001</v>
      </c>
      <c r="N28" s="278">
        <f>'04 - Veículos e Equipamentos'!M33*'01 - Dados de Entrada'!$C$58*'01 - Dados de Entrada'!$C$288</f>
        <v>109847.20000000001</v>
      </c>
      <c r="O28" s="278">
        <f>'04 - Veículos e Equipamentos'!N33*'01 - Dados de Entrada'!$C$58*'01 - Dados de Entrada'!$C$288</f>
        <v>109847.20000000001</v>
      </c>
      <c r="P28" s="278">
        <f>'04 - Veículos e Equipamentos'!O33*'01 - Dados de Entrada'!$C$58*'01 - Dados de Entrada'!$C$288</f>
        <v>109847.20000000001</v>
      </c>
      <c r="Q28" s="278">
        <f>'04 - Veículos e Equipamentos'!P33*'01 - Dados de Entrada'!$C$58*'01 - Dados de Entrada'!$C$288</f>
        <v>109847.20000000001</v>
      </c>
      <c r="R28" s="278">
        <f>'04 - Veículos e Equipamentos'!Q33*'01 - Dados de Entrada'!$C$58*'01 - Dados de Entrada'!$C$288</f>
        <v>109847.20000000001</v>
      </c>
      <c r="S28" s="278">
        <f>'04 - Veículos e Equipamentos'!R33*'01 - Dados de Entrada'!$C$58*'01 - Dados de Entrada'!$C$288</f>
        <v>109847.20000000001</v>
      </c>
      <c r="T28" s="278">
        <f>'04 - Veículos e Equipamentos'!S33*'01 - Dados de Entrada'!$C$58*'01 - Dados de Entrada'!$C$288</f>
        <v>109847.20000000001</v>
      </c>
      <c r="U28" s="278">
        <f>'04 - Veículos e Equipamentos'!T33*'01 - Dados de Entrada'!$C$58*'01 - Dados de Entrada'!$C$288</f>
        <v>109847.20000000001</v>
      </c>
      <c r="V28" s="278">
        <f>'04 - Veículos e Equipamentos'!U33*'01 - Dados de Entrada'!$C$58*'01 - Dados de Entrada'!$C$288</f>
        <v>109847.20000000001</v>
      </c>
      <c r="W28" s="278">
        <f>'04 - Veículos e Equipamentos'!V33*'01 - Dados de Entrada'!$C$58*'01 - Dados de Entrada'!$C$288</f>
        <v>109847.20000000001</v>
      </c>
      <c r="X28" s="278">
        <f>'04 - Veículos e Equipamentos'!W33*'01 - Dados de Entrada'!$C$58*'01 - Dados de Entrada'!$C$288</f>
        <v>109847.20000000001</v>
      </c>
      <c r="Y28" s="278">
        <f>'04 - Veículos e Equipamentos'!X33*'01 - Dados de Entrada'!$C$58*'01 - Dados de Entrada'!$C$288</f>
        <v>109847.20000000001</v>
      </c>
      <c r="Z28" s="278">
        <f>'04 - Veículos e Equipamentos'!Y33*'01 - Dados de Entrada'!$C$58*'01 - Dados de Entrada'!$C$288</f>
        <v>109847.20000000001</v>
      </c>
      <c r="AA28" s="278">
        <f>'04 - Veículos e Equipamentos'!Z33*'01 - Dados de Entrada'!$C$58*'01 - Dados de Entrada'!$C$288</f>
        <v>109847.20000000001</v>
      </c>
      <c r="AB28" s="278">
        <f>'04 - Veículos e Equipamentos'!AA33*'01 - Dados de Entrada'!$C$58*'01 - Dados de Entrada'!$C$288</f>
        <v>109847.20000000001</v>
      </c>
      <c r="AC28" s="278">
        <f>'04 - Veículos e Equipamentos'!AB33*'01 - Dados de Entrada'!$C$58*'01 - Dados de Entrada'!$C$288</f>
        <v>109847.20000000001</v>
      </c>
      <c r="AD28" s="278">
        <f>'04 - Veículos e Equipamentos'!AC33*'01 - Dados de Entrada'!$C$58*'01 - Dados de Entrada'!$C$288</f>
        <v>109847.20000000001</v>
      </c>
      <c r="AE28" s="278">
        <f>'04 - Veículos e Equipamentos'!AD33*'01 - Dados de Entrada'!$C$58*'01 - Dados de Entrada'!$C$288</f>
        <v>109847.20000000001</v>
      </c>
      <c r="AF28" s="278">
        <f>'04 - Veículos e Equipamentos'!AE33*'01 - Dados de Entrada'!$C$58*'01 - Dados de Entrada'!$C$288</f>
        <v>109847.20000000001</v>
      </c>
      <c r="AG28" s="278">
        <f>'04 - Veículos e Equipamentos'!AF33*'01 - Dados de Entrada'!$C$58*'01 - Dados de Entrada'!$C$288</f>
        <v>109847.20000000001</v>
      </c>
      <c r="AH28" s="278">
        <f>'04 - Veículos e Equipamentos'!AG33*'01 - Dados de Entrada'!$C$58*'01 - Dados de Entrada'!$C$288</f>
        <v>109847.20000000001</v>
      </c>
      <c r="AI28" s="278">
        <f>'04 - Veículos e Equipamentos'!AH33*'01 - Dados de Entrada'!$C$58*'01 - Dados de Entrada'!$C$288</f>
        <v>109847.20000000001</v>
      </c>
      <c r="AJ28" s="278">
        <f>'04 - Veículos e Equipamentos'!AI33*'01 - Dados de Entrada'!$C$58*'01 - Dados de Entrada'!$C$288</f>
        <v>109847.20000000001</v>
      </c>
      <c r="AK28" s="278">
        <f>'04 - Veículos e Equipamentos'!AJ33*'01 - Dados de Entrada'!$C$58*'01 - Dados de Entrada'!$C$288</f>
        <v>109847.20000000001</v>
      </c>
    </row>
    <row r="29" spans="1:37" s="35" customFormat="1" ht="13.15" customHeight="1" x14ac:dyDescent="0.2">
      <c r="A29" s="36" t="s">
        <v>807</v>
      </c>
      <c r="B29" s="149">
        <f>SUM(C29:AK29)</f>
        <v>2423961.5466666659</v>
      </c>
      <c r="C29" s="278">
        <f>'04 - Veículos e Equipamentos'!B34*'01 - Dados de Entrada'!$C$58*'01 - Dados de Entrada'!$C$288</f>
        <v>25631.013333333336</v>
      </c>
      <c r="D29" s="278">
        <f>'04 - Veículos e Equipamentos'!C34*'01 - Dados de Entrada'!$C$58*'01 - Dados de Entrada'!$C$288</f>
        <v>25631.013333333336</v>
      </c>
      <c r="E29" s="278">
        <f>'04 - Veículos e Equipamentos'!D34*'01 - Dados de Entrada'!$C$58*'01 - Dados de Entrada'!$C$288</f>
        <v>51262.026666666672</v>
      </c>
      <c r="F29" s="278">
        <f>'04 - Veículos e Equipamentos'!E34*'01 - Dados de Entrada'!$C$58*'01 - Dados de Entrada'!$C$288</f>
        <v>51262.026666666672</v>
      </c>
      <c r="G29" s="278">
        <f>'04 - Veículos e Equipamentos'!F34*'01 - Dados de Entrada'!$C$58*'01 - Dados de Entrada'!$C$288</f>
        <v>73231.46666666666</v>
      </c>
      <c r="H29" s="278">
        <f>'04 - Veículos e Equipamentos'!G34*'01 - Dados de Entrada'!$C$58*'01 - Dados de Entrada'!$C$288</f>
        <v>73231.46666666666</v>
      </c>
      <c r="I29" s="278">
        <f>'04 - Veículos e Equipamentos'!H34*'01 - Dados de Entrada'!$C$58*'01 - Dados de Entrada'!$C$288</f>
        <v>73231.46666666666</v>
      </c>
      <c r="J29" s="278">
        <f>'04 - Veículos e Equipamentos'!I34*'01 - Dados de Entrada'!$C$58*'01 - Dados de Entrada'!$C$288</f>
        <v>73231.46666666666</v>
      </c>
      <c r="K29" s="278">
        <f>'04 - Veículos e Equipamentos'!J34*'01 - Dados de Entrada'!$C$58*'01 - Dados de Entrada'!$C$288</f>
        <v>73231.46666666666</v>
      </c>
      <c r="L29" s="278">
        <f>'04 - Veículos e Equipamentos'!K34*'01 - Dados de Entrada'!$C$58*'01 - Dados de Entrada'!$C$288</f>
        <v>73231.46666666666</v>
      </c>
      <c r="M29" s="278">
        <f>'04 - Veículos e Equipamentos'!L34*'01 - Dados de Entrada'!$C$58*'01 - Dados de Entrada'!$C$288</f>
        <v>73231.46666666666</v>
      </c>
      <c r="N29" s="278">
        <f>'04 - Veículos e Equipamentos'!M34*'01 - Dados de Entrada'!$C$58*'01 - Dados de Entrada'!$C$288</f>
        <v>73231.46666666666</v>
      </c>
      <c r="O29" s="278">
        <f>'04 - Veículos e Equipamentos'!N34*'01 - Dados de Entrada'!$C$58*'01 - Dados de Entrada'!$C$288</f>
        <v>73231.46666666666</v>
      </c>
      <c r="P29" s="278">
        <f>'04 - Veículos e Equipamentos'!O34*'01 - Dados de Entrada'!$C$58*'01 - Dados de Entrada'!$C$288</f>
        <v>73231.46666666666</v>
      </c>
      <c r="Q29" s="278">
        <f>'04 - Veículos e Equipamentos'!P34*'01 - Dados de Entrada'!$C$58*'01 - Dados de Entrada'!$C$288</f>
        <v>73231.46666666666</v>
      </c>
      <c r="R29" s="278">
        <f>'04 - Veículos e Equipamentos'!Q34*'01 - Dados de Entrada'!$C$58*'01 - Dados de Entrada'!$C$288</f>
        <v>73231.46666666666</v>
      </c>
      <c r="S29" s="278">
        <f>'04 - Veículos e Equipamentos'!R34*'01 - Dados de Entrada'!$C$58*'01 - Dados de Entrada'!$C$288</f>
        <v>73231.46666666666</v>
      </c>
      <c r="T29" s="278">
        <f>'04 - Veículos e Equipamentos'!S34*'01 - Dados de Entrada'!$C$58*'01 - Dados de Entrada'!$C$288</f>
        <v>73231.46666666666</v>
      </c>
      <c r="U29" s="278">
        <f>'04 - Veículos e Equipamentos'!T34*'01 - Dados de Entrada'!$C$58*'01 - Dados de Entrada'!$C$288</f>
        <v>73231.46666666666</v>
      </c>
      <c r="V29" s="278">
        <f>'04 - Veículos e Equipamentos'!U34*'01 - Dados de Entrada'!$C$58*'01 - Dados de Entrada'!$C$288</f>
        <v>73231.46666666666</v>
      </c>
      <c r="W29" s="278">
        <f>'04 - Veículos e Equipamentos'!V34*'01 - Dados de Entrada'!$C$58*'01 - Dados de Entrada'!$C$288</f>
        <v>73231.46666666666</v>
      </c>
      <c r="X29" s="278">
        <f>'04 - Veículos e Equipamentos'!W34*'01 - Dados de Entrada'!$C$58*'01 - Dados de Entrada'!$C$288</f>
        <v>73231.46666666666</v>
      </c>
      <c r="Y29" s="278">
        <f>'04 - Veículos e Equipamentos'!X34*'01 - Dados de Entrada'!$C$58*'01 - Dados de Entrada'!$C$288</f>
        <v>73231.46666666666</v>
      </c>
      <c r="Z29" s="278">
        <f>'04 - Veículos e Equipamentos'!Y34*'01 - Dados de Entrada'!$C$58*'01 - Dados de Entrada'!$C$288</f>
        <v>73231.46666666666</v>
      </c>
      <c r="AA29" s="278">
        <f>'04 - Veículos e Equipamentos'!Z34*'01 - Dados de Entrada'!$C$58*'01 - Dados de Entrada'!$C$288</f>
        <v>73231.46666666666</v>
      </c>
      <c r="AB29" s="278">
        <f>'04 - Veículos e Equipamentos'!AA34*'01 - Dados de Entrada'!$C$58*'01 - Dados de Entrada'!$C$288</f>
        <v>73231.46666666666</v>
      </c>
      <c r="AC29" s="278">
        <f>'04 - Veículos e Equipamentos'!AB34*'01 - Dados de Entrada'!$C$58*'01 - Dados de Entrada'!$C$288</f>
        <v>73231.46666666666</v>
      </c>
      <c r="AD29" s="278">
        <f>'04 - Veículos e Equipamentos'!AC34*'01 - Dados de Entrada'!$C$58*'01 - Dados de Entrada'!$C$288</f>
        <v>73231.46666666666</v>
      </c>
      <c r="AE29" s="278">
        <f>'04 - Veículos e Equipamentos'!AD34*'01 - Dados de Entrada'!$C$58*'01 - Dados de Entrada'!$C$288</f>
        <v>73231.46666666666</v>
      </c>
      <c r="AF29" s="278">
        <f>'04 - Veículos e Equipamentos'!AE34*'01 - Dados de Entrada'!$C$58*'01 - Dados de Entrada'!$C$288</f>
        <v>73231.46666666666</v>
      </c>
      <c r="AG29" s="278">
        <f>'04 - Veículos e Equipamentos'!AF34*'01 - Dados de Entrada'!$C$58*'01 - Dados de Entrada'!$C$288</f>
        <v>73231.46666666666</v>
      </c>
      <c r="AH29" s="278">
        <f>'04 - Veículos e Equipamentos'!AG34*'01 - Dados de Entrada'!$C$58*'01 - Dados de Entrada'!$C$288</f>
        <v>73231.46666666666</v>
      </c>
      <c r="AI29" s="278">
        <f>'04 - Veículos e Equipamentos'!AH34*'01 - Dados de Entrada'!$C$58*'01 - Dados de Entrada'!$C$288</f>
        <v>73231.46666666666</v>
      </c>
      <c r="AJ29" s="278">
        <f>'04 - Veículos e Equipamentos'!AI34*'01 - Dados de Entrada'!$C$58*'01 - Dados de Entrada'!$C$288</f>
        <v>73231.46666666666</v>
      </c>
      <c r="AK29" s="278">
        <f>'04 - Veículos e Equipamentos'!AJ34*'01 - Dados de Entrada'!$C$58*'01 - Dados de Entrada'!$C$288</f>
        <v>73231.46666666666</v>
      </c>
    </row>
    <row r="30" spans="1:37" s="152" customFormat="1" ht="13.15" customHeight="1" x14ac:dyDescent="0.2">
      <c r="A30" s="36" t="s">
        <v>129</v>
      </c>
      <c r="B30" s="149">
        <f t="shared" ref="B30:B35" si="2">SUM(C30:AK30)</f>
        <v>13432172.460000006</v>
      </c>
      <c r="C30" s="278">
        <f>'01 - Dados de Entrada'!$C$62*'01 - Dados de Entrada'!$C$288*('01 - Dados de Entrada'!$C$332+'01 - Dados de Entrada'!$C$333)</f>
        <v>383776.35600000003</v>
      </c>
      <c r="D30" s="278">
        <f>'01 - Dados de Entrada'!$C$62*'01 - Dados de Entrada'!$C$288*('01 - Dados de Entrada'!$C$332+'01 - Dados de Entrada'!$C$333)</f>
        <v>383776.35600000003</v>
      </c>
      <c r="E30" s="278">
        <f>'01 - Dados de Entrada'!$C$62*'01 - Dados de Entrada'!$C$288*('01 - Dados de Entrada'!$C$332+'01 - Dados de Entrada'!$C$333)</f>
        <v>383776.35600000003</v>
      </c>
      <c r="F30" s="278">
        <f>'01 - Dados de Entrada'!$C$62*'01 - Dados de Entrada'!$C$288*('01 - Dados de Entrada'!$C$332+'01 - Dados de Entrada'!$C$333)</f>
        <v>383776.35600000003</v>
      </c>
      <c r="G30" s="278">
        <f>'01 - Dados de Entrada'!$C$62*'01 - Dados de Entrada'!$C$288*('01 - Dados de Entrada'!$C$332+'01 - Dados de Entrada'!$C$333)</f>
        <v>383776.35600000003</v>
      </c>
      <c r="H30" s="278">
        <f>'01 - Dados de Entrada'!$C$62*'01 - Dados de Entrada'!$C$288*('01 - Dados de Entrada'!$C$332+'01 - Dados de Entrada'!$C$333)</f>
        <v>383776.35600000003</v>
      </c>
      <c r="I30" s="278">
        <f>'01 - Dados de Entrada'!$C$62*'01 - Dados de Entrada'!$C$288*('01 - Dados de Entrada'!$C$332+'01 - Dados de Entrada'!$C$333)</f>
        <v>383776.35600000003</v>
      </c>
      <c r="J30" s="278">
        <f>'01 - Dados de Entrada'!$C$62*'01 - Dados de Entrada'!$C$288*('01 - Dados de Entrada'!$C$332+'01 - Dados de Entrada'!$C$333)</f>
        <v>383776.35600000003</v>
      </c>
      <c r="K30" s="278">
        <f>'01 - Dados de Entrada'!$C$62*'01 - Dados de Entrada'!$C$288*('01 - Dados de Entrada'!$C$332+'01 - Dados de Entrada'!$C$333)</f>
        <v>383776.35600000003</v>
      </c>
      <c r="L30" s="278">
        <f>'01 - Dados de Entrada'!$C$62*'01 - Dados de Entrada'!$C$288*('01 - Dados de Entrada'!$C$332+'01 - Dados de Entrada'!$C$333)</f>
        <v>383776.35600000003</v>
      </c>
      <c r="M30" s="278">
        <f>'01 - Dados de Entrada'!$C$62*'01 - Dados de Entrada'!$C$288*('01 - Dados de Entrada'!$C$332+'01 - Dados de Entrada'!$C$333)</f>
        <v>383776.35600000003</v>
      </c>
      <c r="N30" s="278">
        <f>'01 - Dados de Entrada'!$C$62*'01 - Dados de Entrada'!$C$288*('01 - Dados de Entrada'!$C$332+'01 - Dados de Entrada'!$C$333)</f>
        <v>383776.35600000003</v>
      </c>
      <c r="O30" s="278">
        <f>'01 - Dados de Entrada'!$C$62*'01 - Dados de Entrada'!$C$288*('01 - Dados de Entrada'!$C$332+'01 - Dados de Entrada'!$C$333)</f>
        <v>383776.35600000003</v>
      </c>
      <c r="P30" s="278">
        <f>'01 - Dados de Entrada'!$C$62*'01 - Dados de Entrada'!$C$288*('01 - Dados de Entrada'!$C$332+'01 - Dados de Entrada'!$C$333)</f>
        <v>383776.35600000003</v>
      </c>
      <c r="Q30" s="278">
        <f>'01 - Dados de Entrada'!$C$62*'01 - Dados de Entrada'!$C$288*('01 - Dados de Entrada'!$C$332+'01 - Dados de Entrada'!$C$333)</f>
        <v>383776.35600000003</v>
      </c>
      <c r="R30" s="278">
        <f>'01 - Dados de Entrada'!$C$62*'01 - Dados de Entrada'!$C$288*('01 - Dados de Entrada'!$C$332+'01 - Dados de Entrada'!$C$333)</f>
        <v>383776.35600000003</v>
      </c>
      <c r="S30" s="278">
        <f>'01 - Dados de Entrada'!$C$62*'01 - Dados de Entrada'!$C$288*('01 - Dados de Entrada'!$C$332+'01 - Dados de Entrada'!$C$333)</f>
        <v>383776.35600000003</v>
      </c>
      <c r="T30" s="278">
        <f>'01 - Dados de Entrada'!$C$62*'01 - Dados de Entrada'!$C$288*('01 - Dados de Entrada'!$C$332+'01 - Dados de Entrada'!$C$333)</f>
        <v>383776.35600000003</v>
      </c>
      <c r="U30" s="278">
        <f>'01 - Dados de Entrada'!$C$62*'01 - Dados de Entrada'!$C$288*('01 - Dados de Entrada'!$C$332+'01 - Dados de Entrada'!$C$333)</f>
        <v>383776.35600000003</v>
      </c>
      <c r="V30" s="278">
        <f>'01 - Dados de Entrada'!$C$62*'01 - Dados de Entrada'!$C$288*('01 - Dados de Entrada'!$C$332+'01 - Dados de Entrada'!$C$333)</f>
        <v>383776.35600000003</v>
      </c>
      <c r="W30" s="278">
        <f>'01 - Dados de Entrada'!$C$62*'01 - Dados de Entrada'!$C$288*('01 - Dados de Entrada'!$C$332+'01 - Dados de Entrada'!$C$333)</f>
        <v>383776.35600000003</v>
      </c>
      <c r="X30" s="278">
        <f>'01 - Dados de Entrada'!$C$62*'01 - Dados de Entrada'!$C$288*('01 - Dados de Entrada'!$C$332+'01 - Dados de Entrada'!$C$333)</f>
        <v>383776.35600000003</v>
      </c>
      <c r="Y30" s="278">
        <f>'01 - Dados de Entrada'!$C$62*'01 - Dados de Entrada'!$C$288*('01 - Dados de Entrada'!$C$332+'01 - Dados de Entrada'!$C$333)</f>
        <v>383776.35600000003</v>
      </c>
      <c r="Z30" s="278">
        <f>'01 - Dados de Entrada'!$C$62*'01 - Dados de Entrada'!$C$288*('01 - Dados de Entrada'!$C$332+'01 - Dados de Entrada'!$C$333)</f>
        <v>383776.35600000003</v>
      </c>
      <c r="AA30" s="278">
        <f>'01 - Dados de Entrada'!$C$62*'01 - Dados de Entrada'!$C$288*('01 - Dados de Entrada'!$C$332+'01 - Dados de Entrada'!$C$333)</f>
        <v>383776.35600000003</v>
      </c>
      <c r="AB30" s="278">
        <f>'01 - Dados de Entrada'!$C$62*'01 - Dados de Entrada'!$C$288*('01 - Dados de Entrada'!$C$332+'01 - Dados de Entrada'!$C$333)</f>
        <v>383776.35600000003</v>
      </c>
      <c r="AC30" s="278">
        <f>'01 - Dados de Entrada'!$C$62*'01 - Dados de Entrada'!$C$288*('01 - Dados de Entrada'!$C$332+'01 - Dados de Entrada'!$C$333)</f>
        <v>383776.35600000003</v>
      </c>
      <c r="AD30" s="278">
        <f>'01 - Dados de Entrada'!$C$62*'01 - Dados de Entrada'!$C$288*('01 - Dados de Entrada'!$C$332+'01 - Dados de Entrada'!$C$333)</f>
        <v>383776.35600000003</v>
      </c>
      <c r="AE30" s="278">
        <f>'01 - Dados de Entrada'!$C$62*'01 - Dados de Entrada'!$C$288*('01 - Dados de Entrada'!$C$332+'01 - Dados de Entrada'!$C$333)</f>
        <v>383776.35600000003</v>
      </c>
      <c r="AF30" s="278">
        <f>'01 - Dados de Entrada'!$C$62*'01 - Dados de Entrada'!$C$288*('01 - Dados de Entrada'!$C$332+'01 - Dados de Entrada'!$C$333)</f>
        <v>383776.35600000003</v>
      </c>
      <c r="AG30" s="278">
        <f>'01 - Dados de Entrada'!$C$62*'01 - Dados de Entrada'!$C$288*('01 - Dados de Entrada'!$C$332+'01 - Dados de Entrada'!$C$333)</f>
        <v>383776.35600000003</v>
      </c>
      <c r="AH30" s="278">
        <f>'01 - Dados de Entrada'!$C$62*'01 - Dados de Entrada'!$C$288*('01 - Dados de Entrada'!$C$332+'01 - Dados de Entrada'!$C$333)</f>
        <v>383776.35600000003</v>
      </c>
      <c r="AI30" s="278">
        <f>'01 - Dados de Entrada'!$C$62*'01 - Dados de Entrada'!$C$288*('01 - Dados de Entrada'!$C$332+'01 - Dados de Entrada'!$C$333)</f>
        <v>383776.35600000003</v>
      </c>
      <c r="AJ30" s="278">
        <f>'01 - Dados de Entrada'!$C$62*'01 - Dados de Entrada'!$C$288*('01 - Dados de Entrada'!$C$332+'01 - Dados de Entrada'!$C$333)</f>
        <v>383776.35600000003</v>
      </c>
      <c r="AK30" s="278">
        <f>'01 - Dados de Entrada'!$C$62*'01 - Dados de Entrada'!$C$288*('01 - Dados de Entrada'!$C$332+'01 - Dados de Entrada'!$C$333)</f>
        <v>383776.35600000003</v>
      </c>
    </row>
    <row r="31" spans="1:37" s="152" customFormat="1" ht="13.15" customHeight="1" x14ac:dyDescent="0.2">
      <c r="A31" s="36" t="s">
        <v>808</v>
      </c>
      <c r="B31" s="149">
        <f t="shared" si="2"/>
        <v>102524.05333333329</v>
      </c>
      <c r="C31" s="278">
        <f>'01 - Dados de Entrada'!$C$58*'04 - Veículos e Equipamentos'!B35*'01 - Dados de Entrada'!$C$288</f>
        <v>2929.2586666666666</v>
      </c>
      <c r="D31" s="278">
        <f>'01 - Dados de Entrada'!$C$58*'04 - Veículos e Equipamentos'!C35*'01 - Dados de Entrada'!$C$288</f>
        <v>2929.2586666666666</v>
      </c>
      <c r="E31" s="278">
        <f>'01 - Dados de Entrada'!$C$58*'04 - Veículos e Equipamentos'!D35*'01 - Dados de Entrada'!$C$288</f>
        <v>2929.2586666666666</v>
      </c>
      <c r="F31" s="278">
        <f>'01 - Dados de Entrada'!$C$58*'04 - Veículos e Equipamentos'!E35*'01 - Dados de Entrada'!$C$288</f>
        <v>2929.2586666666666</v>
      </c>
      <c r="G31" s="278">
        <f>'01 - Dados de Entrada'!$C$58*'04 - Veículos e Equipamentos'!F35*'01 - Dados de Entrada'!$C$288</f>
        <v>2929.2586666666666</v>
      </c>
      <c r="H31" s="278">
        <f>'01 - Dados de Entrada'!$C$58*'04 - Veículos e Equipamentos'!G35*'01 - Dados de Entrada'!$C$288</f>
        <v>2929.2586666666666</v>
      </c>
      <c r="I31" s="278">
        <f>'01 - Dados de Entrada'!$C$58*'04 - Veículos e Equipamentos'!H35*'01 - Dados de Entrada'!$C$288</f>
        <v>2929.2586666666666</v>
      </c>
      <c r="J31" s="278">
        <f>'01 - Dados de Entrada'!$C$58*'04 - Veículos e Equipamentos'!I35*'01 - Dados de Entrada'!$C$288</f>
        <v>2929.2586666666666</v>
      </c>
      <c r="K31" s="278">
        <f>'01 - Dados de Entrada'!$C$58*'04 - Veículos e Equipamentos'!J35*'01 - Dados de Entrada'!$C$288</f>
        <v>2929.2586666666666</v>
      </c>
      <c r="L31" s="278">
        <f>'01 - Dados de Entrada'!$C$58*'04 - Veículos e Equipamentos'!K35*'01 - Dados de Entrada'!$C$288</f>
        <v>2929.2586666666666</v>
      </c>
      <c r="M31" s="278">
        <f>'01 - Dados de Entrada'!$C$58*'04 - Veículos e Equipamentos'!L35*'01 - Dados de Entrada'!$C$288</f>
        <v>2929.2586666666666</v>
      </c>
      <c r="N31" s="278">
        <f>'01 - Dados de Entrada'!$C$58*'04 - Veículos e Equipamentos'!M35*'01 - Dados de Entrada'!$C$288</f>
        <v>2929.2586666666666</v>
      </c>
      <c r="O31" s="278">
        <f>'01 - Dados de Entrada'!$C$58*'04 - Veículos e Equipamentos'!N35*'01 - Dados de Entrada'!$C$288</f>
        <v>2929.2586666666666</v>
      </c>
      <c r="P31" s="278">
        <f>'01 - Dados de Entrada'!$C$58*'04 - Veículos e Equipamentos'!O35*'01 - Dados de Entrada'!$C$288</f>
        <v>2929.2586666666666</v>
      </c>
      <c r="Q31" s="278">
        <f>'01 - Dados de Entrada'!$C$58*'04 - Veículos e Equipamentos'!P35*'01 - Dados de Entrada'!$C$288</f>
        <v>2929.2586666666666</v>
      </c>
      <c r="R31" s="278">
        <f>'01 - Dados de Entrada'!$C$58*'04 - Veículos e Equipamentos'!Q35*'01 - Dados de Entrada'!$C$288</f>
        <v>2929.2586666666666</v>
      </c>
      <c r="S31" s="278">
        <f>'01 - Dados de Entrada'!$C$58*'04 - Veículos e Equipamentos'!R35*'01 - Dados de Entrada'!$C$288</f>
        <v>2929.2586666666666</v>
      </c>
      <c r="T31" s="278">
        <f>'01 - Dados de Entrada'!$C$58*'04 - Veículos e Equipamentos'!S35*'01 - Dados de Entrada'!$C$288</f>
        <v>2929.2586666666666</v>
      </c>
      <c r="U31" s="278">
        <f>'01 - Dados de Entrada'!$C$58*'04 - Veículos e Equipamentos'!T35*'01 - Dados de Entrada'!$C$288</f>
        <v>2929.2586666666666</v>
      </c>
      <c r="V31" s="278">
        <f>'01 - Dados de Entrada'!$C$58*'04 - Veículos e Equipamentos'!U35*'01 - Dados de Entrada'!$C$288</f>
        <v>2929.2586666666666</v>
      </c>
      <c r="W31" s="278">
        <f>'01 - Dados de Entrada'!$C$58*'04 - Veículos e Equipamentos'!V35*'01 - Dados de Entrada'!$C$288</f>
        <v>2929.2586666666666</v>
      </c>
      <c r="X31" s="278">
        <f>'01 - Dados de Entrada'!$C$58*'04 - Veículos e Equipamentos'!W35*'01 - Dados de Entrada'!$C$288</f>
        <v>2929.2586666666666</v>
      </c>
      <c r="Y31" s="278">
        <f>'01 - Dados de Entrada'!$C$58*'04 - Veículos e Equipamentos'!X35*'01 - Dados de Entrada'!$C$288</f>
        <v>2929.2586666666666</v>
      </c>
      <c r="Z31" s="278">
        <f>'01 - Dados de Entrada'!$C$58*'04 - Veículos e Equipamentos'!Y35*'01 - Dados de Entrada'!$C$288</f>
        <v>2929.2586666666666</v>
      </c>
      <c r="AA31" s="278">
        <f>'01 - Dados de Entrada'!$C$58*'04 - Veículos e Equipamentos'!Z35*'01 - Dados de Entrada'!$C$288</f>
        <v>2929.2586666666666</v>
      </c>
      <c r="AB31" s="278">
        <f>'01 - Dados de Entrada'!$C$58*'04 - Veículos e Equipamentos'!AA35*'01 - Dados de Entrada'!$C$288</f>
        <v>2929.2586666666666</v>
      </c>
      <c r="AC31" s="278">
        <f>'01 - Dados de Entrada'!$C$58*'04 - Veículos e Equipamentos'!AB35*'01 - Dados de Entrada'!$C$288</f>
        <v>2929.2586666666666</v>
      </c>
      <c r="AD31" s="278">
        <f>'01 - Dados de Entrada'!$C$58*'04 - Veículos e Equipamentos'!AC35*'01 - Dados de Entrada'!$C$288</f>
        <v>2929.2586666666666</v>
      </c>
      <c r="AE31" s="278">
        <f>'01 - Dados de Entrada'!$C$58*'04 - Veículos e Equipamentos'!AD35*'01 - Dados de Entrada'!$C$288</f>
        <v>2929.2586666666666</v>
      </c>
      <c r="AF31" s="278">
        <f>'01 - Dados de Entrada'!$C$58*'04 - Veículos e Equipamentos'!AE35*'01 - Dados de Entrada'!$C$288</f>
        <v>2929.2586666666666</v>
      </c>
      <c r="AG31" s="278">
        <f>'01 - Dados de Entrada'!$C$58*'04 - Veículos e Equipamentos'!AF35*'01 - Dados de Entrada'!$C$288</f>
        <v>2929.2586666666666</v>
      </c>
      <c r="AH31" s="278">
        <f>'01 - Dados de Entrada'!$C$58*'04 - Veículos e Equipamentos'!AG35*'01 - Dados de Entrada'!$C$288</f>
        <v>2929.2586666666666</v>
      </c>
      <c r="AI31" s="278">
        <f>'01 - Dados de Entrada'!$C$58*'04 - Veículos e Equipamentos'!AH35*'01 - Dados de Entrada'!$C$288</f>
        <v>2929.2586666666666</v>
      </c>
      <c r="AJ31" s="278">
        <f>'01 - Dados de Entrada'!$C$58*'04 - Veículos e Equipamentos'!AI35*'01 - Dados de Entrada'!$C$288</f>
        <v>2929.2586666666666</v>
      </c>
      <c r="AK31" s="278">
        <f>'01 - Dados de Entrada'!$C$58*'04 - Veículos e Equipamentos'!AJ35*'01 - Dados de Entrada'!$C$288</f>
        <v>2929.2586666666666</v>
      </c>
    </row>
    <row r="32" spans="1:37" s="152" customFormat="1" ht="13.15" customHeight="1" x14ac:dyDescent="0.2">
      <c r="A32" s="36" t="s">
        <v>809</v>
      </c>
      <c r="B32" s="149">
        <f>SUM(C32:AK32)</f>
        <v>207200</v>
      </c>
      <c r="C32" s="278">
        <f>'01 - Dados de Entrada'!$C$79*'04 - Veículos e Equipamentos'!B36*'01 - Dados de Entrada'!$C$288</f>
        <v>5920</v>
      </c>
      <c r="D32" s="278">
        <f>'01 - Dados de Entrada'!$C$79*'04 - Veículos e Equipamentos'!C36*'01 - Dados de Entrada'!$C$288</f>
        <v>5920</v>
      </c>
      <c r="E32" s="278">
        <f>'01 - Dados de Entrada'!$C$79*'04 - Veículos e Equipamentos'!D36*'01 - Dados de Entrada'!$C$288</f>
        <v>5920</v>
      </c>
      <c r="F32" s="278">
        <f>'01 - Dados de Entrada'!$C$79*'04 - Veículos e Equipamentos'!E36*'01 - Dados de Entrada'!$C$288</f>
        <v>5920</v>
      </c>
      <c r="G32" s="278">
        <f>'01 - Dados de Entrada'!$C$79*'04 - Veículos e Equipamentos'!F36*'01 - Dados de Entrada'!$C$288</f>
        <v>5920</v>
      </c>
      <c r="H32" s="278">
        <f>'01 - Dados de Entrada'!$C$79*'04 - Veículos e Equipamentos'!G36*'01 - Dados de Entrada'!$C$288</f>
        <v>5920</v>
      </c>
      <c r="I32" s="278">
        <f>'01 - Dados de Entrada'!$C$79*'04 - Veículos e Equipamentos'!H36*'01 - Dados de Entrada'!$C$288</f>
        <v>5920</v>
      </c>
      <c r="J32" s="278">
        <f>'01 - Dados de Entrada'!$C$79*'04 - Veículos e Equipamentos'!I36*'01 - Dados de Entrada'!$C$288</f>
        <v>5920</v>
      </c>
      <c r="K32" s="278">
        <f>'01 - Dados de Entrada'!$C$79*'04 - Veículos e Equipamentos'!J36*'01 - Dados de Entrada'!$C$288</f>
        <v>5920</v>
      </c>
      <c r="L32" s="278">
        <f>'01 - Dados de Entrada'!$C$79*'04 - Veículos e Equipamentos'!K36*'01 - Dados de Entrada'!$C$288</f>
        <v>5920</v>
      </c>
      <c r="M32" s="278">
        <f>'01 - Dados de Entrada'!$C$79*'04 - Veículos e Equipamentos'!L36*'01 - Dados de Entrada'!$C$288</f>
        <v>5920</v>
      </c>
      <c r="N32" s="278">
        <f>'01 - Dados de Entrada'!$C$79*'04 - Veículos e Equipamentos'!M36*'01 - Dados de Entrada'!$C$288</f>
        <v>5920</v>
      </c>
      <c r="O32" s="278">
        <f>'01 - Dados de Entrada'!$C$79*'04 - Veículos e Equipamentos'!N36*'01 - Dados de Entrada'!$C$288</f>
        <v>5920</v>
      </c>
      <c r="P32" s="278">
        <f>'01 - Dados de Entrada'!$C$79*'04 - Veículos e Equipamentos'!O36*'01 - Dados de Entrada'!$C$288</f>
        <v>5920</v>
      </c>
      <c r="Q32" s="278">
        <f>'01 - Dados de Entrada'!$C$79*'04 - Veículos e Equipamentos'!P36*'01 - Dados de Entrada'!$C$288</f>
        <v>5920</v>
      </c>
      <c r="R32" s="278">
        <f>'01 - Dados de Entrada'!$C$79*'04 - Veículos e Equipamentos'!Q36*'01 - Dados de Entrada'!$C$288</f>
        <v>5920</v>
      </c>
      <c r="S32" s="278">
        <f>'01 - Dados de Entrada'!$C$79*'04 - Veículos e Equipamentos'!R36*'01 - Dados de Entrada'!$C$288</f>
        <v>5920</v>
      </c>
      <c r="T32" s="278">
        <f>'01 - Dados de Entrada'!$C$79*'04 - Veículos e Equipamentos'!S36*'01 - Dados de Entrada'!$C$288</f>
        <v>5920</v>
      </c>
      <c r="U32" s="278">
        <f>'01 - Dados de Entrada'!$C$79*'04 - Veículos e Equipamentos'!T36*'01 - Dados de Entrada'!$C$288</f>
        <v>5920</v>
      </c>
      <c r="V32" s="278">
        <f>'01 - Dados de Entrada'!$C$79*'04 - Veículos e Equipamentos'!U36*'01 - Dados de Entrada'!$C$288</f>
        <v>5920</v>
      </c>
      <c r="W32" s="278">
        <f>'01 - Dados de Entrada'!$C$79*'04 - Veículos e Equipamentos'!V36*'01 - Dados de Entrada'!$C$288</f>
        <v>5920</v>
      </c>
      <c r="X32" s="278">
        <f>'01 - Dados de Entrada'!$C$79*'04 - Veículos e Equipamentos'!W36*'01 - Dados de Entrada'!$C$288</f>
        <v>5920</v>
      </c>
      <c r="Y32" s="278">
        <f>'01 - Dados de Entrada'!$C$79*'04 - Veículos e Equipamentos'!X36*'01 - Dados de Entrada'!$C$288</f>
        <v>5920</v>
      </c>
      <c r="Z32" s="278">
        <f>'01 - Dados de Entrada'!$C$79*'04 - Veículos e Equipamentos'!Y36*'01 - Dados de Entrada'!$C$288</f>
        <v>5920</v>
      </c>
      <c r="AA32" s="278">
        <f>'01 - Dados de Entrada'!$C$79*'04 - Veículos e Equipamentos'!Z36*'01 - Dados de Entrada'!$C$288</f>
        <v>5920</v>
      </c>
      <c r="AB32" s="278">
        <f>'01 - Dados de Entrada'!$C$79*'04 - Veículos e Equipamentos'!AA36*'01 - Dados de Entrada'!$C$288</f>
        <v>5920</v>
      </c>
      <c r="AC32" s="278">
        <f>'01 - Dados de Entrada'!$C$79*'04 - Veículos e Equipamentos'!AB36*'01 - Dados de Entrada'!$C$288</f>
        <v>5920</v>
      </c>
      <c r="AD32" s="278">
        <f>'01 - Dados de Entrada'!$C$79*'04 - Veículos e Equipamentos'!AC36*'01 - Dados de Entrada'!$C$288</f>
        <v>5920</v>
      </c>
      <c r="AE32" s="278">
        <f>'01 - Dados de Entrada'!$C$79*'04 - Veículos e Equipamentos'!AD36*'01 - Dados de Entrada'!$C$288</f>
        <v>5920</v>
      </c>
      <c r="AF32" s="278">
        <f>'01 - Dados de Entrada'!$C$79*'04 - Veículos e Equipamentos'!AE36*'01 - Dados de Entrada'!$C$288</f>
        <v>5920</v>
      </c>
      <c r="AG32" s="278">
        <f>'01 - Dados de Entrada'!$C$79*'04 - Veículos e Equipamentos'!AF36*'01 - Dados de Entrada'!$C$288</f>
        <v>5920</v>
      </c>
      <c r="AH32" s="278">
        <f>'01 - Dados de Entrada'!$C$79*'04 - Veículos e Equipamentos'!AG36*'01 - Dados de Entrada'!$C$288</f>
        <v>5920</v>
      </c>
      <c r="AI32" s="278">
        <f>'01 - Dados de Entrada'!$C$79*'04 - Veículos e Equipamentos'!AH36*'01 - Dados de Entrada'!$C$288</f>
        <v>5920</v>
      </c>
      <c r="AJ32" s="278">
        <f>'01 - Dados de Entrada'!$C$79*'04 - Veículos e Equipamentos'!AI36*'01 - Dados de Entrada'!$C$288</f>
        <v>5920</v>
      </c>
      <c r="AK32" s="278">
        <f>'01 - Dados de Entrada'!$C$79*'04 - Veículos e Equipamentos'!AJ36*'01 - Dados de Entrada'!$C$288</f>
        <v>5920</v>
      </c>
    </row>
    <row r="33" spans="1:38" s="152" customFormat="1" ht="13.15" customHeight="1" x14ac:dyDescent="0.2">
      <c r="A33" s="36" t="s">
        <v>810</v>
      </c>
      <c r="B33" s="149">
        <f t="shared" si="2"/>
        <v>1430674.4999999995</v>
      </c>
      <c r="C33" s="278">
        <f>'01 - Dados de Entrada'!$C$60*'04 - Veículos e Equipamentos'!B37*'01 - Dados de Entrada'!$C$288</f>
        <v>18610.400000000001</v>
      </c>
      <c r="D33" s="278">
        <f>'01 - Dados de Entrada'!$C$60*'04 - Veículos e Equipamentos'!C37*'01 - Dados de Entrada'!$C$288</f>
        <v>30241.9</v>
      </c>
      <c r="E33" s="278">
        <f>'01 - Dados de Entrada'!$C$60*'04 - Veículos e Equipamentos'!D37*'01 - Dados de Entrada'!$C$288</f>
        <v>41873.4</v>
      </c>
      <c r="F33" s="278">
        <f>'01 - Dados de Entrada'!$C$60*'04 - Veículos e Equipamentos'!E37*'01 - Dados de Entrada'!$C$288</f>
        <v>41873.4</v>
      </c>
      <c r="G33" s="278">
        <f>'01 - Dados de Entrada'!$C$60*'04 - Veículos e Equipamentos'!F37*'01 - Dados de Entrada'!$C$288</f>
        <v>41873.4</v>
      </c>
      <c r="H33" s="278">
        <f>'01 - Dados de Entrada'!$C$60*'04 - Veículos e Equipamentos'!G37*'01 - Dados de Entrada'!$C$288</f>
        <v>41873.4</v>
      </c>
      <c r="I33" s="278">
        <f>'01 - Dados de Entrada'!$C$60*'04 - Veículos e Equipamentos'!H37*'01 - Dados de Entrada'!$C$288</f>
        <v>41873.4</v>
      </c>
      <c r="J33" s="278">
        <f>'01 - Dados de Entrada'!$C$60*'04 - Veículos e Equipamentos'!I37*'01 - Dados de Entrada'!$C$288</f>
        <v>41873.4</v>
      </c>
      <c r="K33" s="278">
        <f>'01 - Dados de Entrada'!$C$60*'04 - Veículos e Equipamentos'!J37*'01 - Dados de Entrada'!$C$288</f>
        <v>41873.4</v>
      </c>
      <c r="L33" s="278">
        <f>'01 - Dados de Entrada'!$C$60*'04 - Veículos e Equipamentos'!K37*'01 - Dados de Entrada'!$C$288</f>
        <v>41873.4</v>
      </c>
      <c r="M33" s="278">
        <f>'01 - Dados de Entrada'!$C$60*'04 - Veículos e Equipamentos'!L37*'01 - Dados de Entrada'!$C$288</f>
        <v>41873.4</v>
      </c>
      <c r="N33" s="278">
        <f>'01 - Dados de Entrada'!$C$60*'04 - Veículos e Equipamentos'!M37*'01 - Dados de Entrada'!$C$288</f>
        <v>41873.4</v>
      </c>
      <c r="O33" s="278">
        <f>'01 - Dados de Entrada'!$C$60*'04 - Veículos e Equipamentos'!N37*'01 - Dados de Entrada'!$C$288</f>
        <v>41873.4</v>
      </c>
      <c r="P33" s="278">
        <f>'01 - Dados de Entrada'!$C$60*'04 - Veículos e Equipamentos'!O37*'01 - Dados de Entrada'!$C$288</f>
        <v>41873.4</v>
      </c>
      <c r="Q33" s="278">
        <f>'01 - Dados de Entrada'!$C$60*'04 - Veículos e Equipamentos'!P37*'01 - Dados de Entrada'!$C$288</f>
        <v>41873.4</v>
      </c>
      <c r="R33" s="278">
        <f>'01 - Dados de Entrada'!$C$60*'04 - Veículos e Equipamentos'!Q37*'01 - Dados de Entrada'!$C$288</f>
        <v>41873.4</v>
      </c>
      <c r="S33" s="278">
        <f>'01 - Dados de Entrada'!$C$60*'04 - Veículos e Equipamentos'!R37*'01 - Dados de Entrada'!$C$288</f>
        <v>41873.4</v>
      </c>
      <c r="T33" s="278">
        <f>'01 - Dados de Entrada'!$C$60*'04 - Veículos e Equipamentos'!S37*'01 - Dados de Entrada'!$C$288</f>
        <v>41873.4</v>
      </c>
      <c r="U33" s="278">
        <f>'01 - Dados de Entrada'!$C$60*'04 - Veículos e Equipamentos'!T37*'01 - Dados de Entrada'!$C$288</f>
        <v>41873.4</v>
      </c>
      <c r="V33" s="278">
        <f>'01 - Dados de Entrada'!$C$60*'04 - Veículos e Equipamentos'!U37*'01 - Dados de Entrada'!$C$288</f>
        <v>41873.4</v>
      </c>
      <c r="W33" s="278">
        <f>'01 - Dados de Entrada'!$C$60*'04 - Veículos e Equipamentos'!V37*'01 - Dados de Entrada'!$C$288</f>
        <v>41873.4</v>
      </c>
      <c r="X33" s="278">
        <f>'01 - Dados de Entrada'!$C$60*'04 - Veículos e Equipamentos'!W37*'01 - Dados de Entrada'!$C$288</f>
        <v>41873.4</v>
      </c>
      <c r="Y33" s="278">
        <f>'01 - Dados de Entrada'!$C$60*'04 - Veículos e Equipamentos'!X37*'01 - Dados de Entrada'!$C$288</f>
        <v>41873.4</v>
      </c>
      <c r="Z33" s="278">
        <f>'01 - Dados de Entrada'!$C$60*'04 - Veículos e Equipamentos'!Y37*'01 - Dados de Entrada'!$C$288</f>
        <v>41873.4</v>
      </c>
      <c r="AA33" s="278">
        <f>'01 - Dados de Entrada'!$C$60*'04 - Veículos e Equipamentos'!Z37*'01 - Dados de Entrada'!$C$288</f>
        <v>41873.4</v>
      </c>
      <c r="AB33" s="278">
        <f>'01 - Dados de Entrada'!$C$60*'04 - Veículos e Equipamentos'!AA37*'01 - Dados de Entrada'!$C$288</f>
        <v>41873.4</v>
      </c>
      <c r="AC33" s="278">
        <f>'01 - Dados de Entrada'!$C$60*'04 - Veículos e Equipamentos'!AB37*'01 - Dados de Entrada'!$C$288</f>
        <v>41873.4</v>
      </c>
      <c r="AD33" s="278">
        <f>'01 - Dados de Entrada'!$C$60*'04 - Veículos e Equipamentos'!AC37*'01 - Dados de Entrada'!$C$288</f>
        <v>41873.4</v>
      </c>
      <c r="AE33" s="278">
        <f>'01 - Dados de Entrada'!$C$60*'04 - Veículos e Equipamentos'!AD37*'01 - Dados de Entrada'!$C$288</f>
        <v>41873.4</v>
      </c>
      <c r="AF33" s="278">
        <f>'01 - Dados de Entrada'!$C$60*'04 - Veículos e Equipamentos'!AE37*'01 - Dados de Entrada'!$C$288</f>
        <v>41873.4</v>
      </c>
      <c r="AG33" s="278">
        <f>'01 - Dados de Entrada'!$C$60*'04 - Veículos e Equipamentos'!AF37*'01 - Dados de Entrada'!$C$288</f>
        <v>41873.4</v>
      </c>
      <c r="AH33" s="278">
        <f>'01 - Dados de Entrada'!$C$60*'04 - Veículos e Equipamentos'!AG37*'01 - Dados de Entrada'!$C$288</f>
        <v>41873.4</v>
      </c>
      <c r="AI33" s="278">
        <f>'01 - Dados de Entrada'!$C$60*'04 - Veículos e Equipamentos'!AH37*'01 - Dados de Entrada'!$C$288</f>
        <v>41873.4</v>
      </c>
      <c r="AJ33" s="278">
        <f>'01 - Dados de Entrada'!$C$60*'04 - Veículos e Equipamentos'!AI37*'01 - Dados de Entrada'!$C$288</f>
        <v>41873.4</v>
      </c>
      <c r="AK33" s="278">
        <f>'01 - Dados de Entrada'!$C$60*'04 - Veículos e Equipamentos'!AJ37*'01 - Dados de Entrada'!$C$288</f>
        <v>41873.4</v>
      </c>
    </row>
    <row r="34" spans="1:38" s="152" customFormat="1" ht="13.15" customHeight="1" x14ac:dyDescent="0.2">
      <c r="A34" s="36" t="s">
        <v>127</v>
      </c>
      <c r="B34" s="149">
        <f t="shared" si="2"/>
        <v>772328.49400000065</v>
      </c>
      <c r="C34" s="278">
        <f>'01 - Dados de Entrada'!$C$61*'04 - Veículos e Equipamentos'!B38*'01 - Dados de Entrada'!$C$288</f>
        <v>0</v>
      </c>
      <c r="D34" s="278">
        <f>'01 - Dados de Entrada'!$C$61*'04 - Veículos e Equipamentos'!C38*'01 - Dados de Entrada'!$C$288</f>
        <v>7880.9030000000002</v>
      </c>
      <c r="E34" s="278">
        <f>'01 - Dados de Entrada'!$C$61*'04 - Veículos e Equipamentos'!D38*'01 - Dados de Entrada'!$C$288</f>
        <v>15761.806</v>
      </c>
      <c r="F34" s="278">
        <f>'01 - Dados de Entrada'!$C$61*'04 - Veículos e Equipamentos'!E38*'01 - Dados de Entrada'!$C$288</f>
        <v>15761.806</v>
      </c>
      <c r="G34" s="278">
        <f>'01 - Dados de Entrada'!$C$61*'04 - Veículos e Equipamentos'!F38*'01 - Dados de Entrada'!$C$288</f>
        <v>23642.709000000003</v>
      </c>
      <c r="H34" s="278">
        <f>'01 - Dados de Entrada'!$C$61*'04 - Veículos e Equipamentos'!G38*'01 - Dados de Entrada'!$C$288</f>
        <v>23642.709000000003</v>
      </c>
      <c r="I34" s="278">
        <f>'01 - Dados de Entrada'!$C$61*'04 - Veículos e Equipamentos'!H38*'01 - Dados de Entrada'!$C$288</f>
        <v>23642.709000000003</v>
      </c>
      <c r="J34" s="278">
        <f>'01 - Dados de Entrada'!$C$61*'04 - Veículos e Equipamentos'!I38*'01 - Dados de Entrada'!$C$288</f>
        <v>23642.709000000003</v>
      </c>
      <c r="K34" s="278">
        <f>'01 - Dados de Entrada'!$C$61*'04 - Veículos e Equipamentos'!J38*'01 - Dados de Entrada'!$C$288</f>
        <v>23642.709000000003</v>
      </c>
      <c r="L34" s="278">
        <f>'01 - Dados de Entrada'!$C$61*'04 - Veículos e Equipamentos'!K38*'01 - Dados de Entrada'!$C$288</f>
        <v>23642.709000000003</v>
      </c>
      <c r="M34" s="278">
        <f>'01 - Dados de Entrada'!$C$61*'04 - Veículos e Equipamentos'!L38*'01 - Dados de Entrada'!$C$288</f>
        <v>23642.709000000003</v>
      </c>
      <c r="N34" s="278">
        <f>'01 - Dados de Entrada'!$C$61*'04 - Veículos e Equipamentos'!M38*'01 - Dados de Entrada'!$C$288</f>
        <v>23642.709000000003</v>
      </c>
      <c r="O34" s="278">
        <f>'01 - Dados de Entrada'!$C$61*'04 - Veículos e Equipamentos'!N38*'01 - Dados de Entrada'!$C$288</f>
        <v>23642.709000000003</v>
      </c>
      <c r="P34" s="278">
        <f>'01 - Dados de Entrada'!$C$61*'04 - Veículos e Equipamentos'!O38*'01 - Dados de Entrada'!$C$288</f>
        <v>23642.709000000003</v>
      </c>
      <c r="Q34" s="278">
        <f>'01 - Dados de Entrada'!$C$61*'04 - Veículos e Equipamentos'!P38*'01 - Dados de Entrada'!$C$288</f>
        <v>23642.709000000003</v>
      </c>
      <c r="R34" s="278">
        <f>'01 - Dados de Entrada'!$C$61*'04 - Veículos e Equipamentos'!Q38*'01 - Dados de Entrada'!$C$288</f>
        <v>23642.709000000003</v>
      </c>
      <c r="S34" s="278">
        <f>'01 - Dados de Entrada'!$C$61*'04 - Veículos e Equipamentos'!R38*'01 - Dados de Entrada'!$C$288</f>
        <v>23642.709000000003</v>
      </c>
      <c r="T34" s="278">
        <f>'01 - Dados de Entrada'!$C$61*'04 - Veículos e Equipamentos'!S38*'01 - Dados de Entrada'!$C$288</f>
        <v>23642.709000000003</v>
      </c>
      <c r="U34" s="278">
        <f>'01 - Dados de Entrada'!$C$61*'04 - Veículos e Equipamentos'!T38*'01 - Dados de Entrada'!$C$288</f>
        <v>23642.709000000003</v>
      </c>
      <c r="V34" s="278">
        <f>'01 - Dados de Entrada'!$C$61*'04 - Veículos e Equipamentos'!U38*'01 - Dados de Entrada'!$C$288</f>
        <v>23642.709000000003</v>
      </c>
      <c r="W34" s="278">
        <f>'01 - Dados de Entrada'!$C$61*'04 - Veículos e Equipamentos'!V38*'01 - Dados de Entrada'!$C$288</f>
        <v>23642.709000000003</v>
      </c>
      <c r="X34" s="278">
        <f>'01 - Dados de Entrada'!$C$61*'04 - Veículos e Equipamentos'!W38*'01 - Dados de Entrada'!$C$288</f>
        <v>23642.709000000003</v>
      </c>
      <c r="Y34" s="278">
        <f>'01 - Dados de Entrada'!$C$61*'04 - Veículos e Equipamentos'!X38*'01 - Dados de Entrada'!$C$288</f>
        <v>23642.709000000003</v>
      </c>
      <c r="Z34" s="278">
        <f>'01 - Dados de Entrada'!$C$61*'04 - Veículos e Equipamentos'!Y38*'01 - Dados de Entrada'!$C$288</f>
        <v>23642.709000000003</v>
      </c>
      <c r="AA34" s="278">
        <f>'01 - Dados de Entrada'!$C$61*'04 - Veículos e Equipamentos'!Z38*'01 - Dados de Entrada'!$C$288</f>
        <v>23642.709000000003</v>
      </c>
      <c r="AB34" s="278">
        <f>'01 - Dados de Entrada'!$C$61*'04 - Veículos e Equipamentos'!AA38*'01 - Dados de Entrada'!$C$288</f>
        <v>23642.709000000003</v>
      </c>
      <c r="AC34" s="278">
        <f>'01 - Dados de Entrada'!$C$61*'04 - Veículos e Equipamentos'!AB38*'01 - Dados de Entrada'!$C$288</f>
        <v>23642.709000000003</v>
      </c>
      <c r="AD34" s="278">
        <f>'01 - Dados de Entrada'!$C$61*'04 - Veículos e Equipamentos'!AC38*'01 - Dados de Entrada'!$C$288</f>
        <v>23642.709000000003</v>
      </c>
      <c r="AE34" s="278">
        <f>'01 - Dados de Entrada'!$C$61*'04 - Veículos e Equipamentos'!AD38*'01 - Dados de Entrada'!$C$288</f>
        <v>23642.709000000003</v>
      </c>
      <c r="AF34" s="278">
        <f>'01 - Dados de Entrada'!$C$61*'04 - Veículos e Equipamentos'!AE38*'01 - Dados de Entrada'!$C$288</f>
        <v>23642.709000000003</v>
      </c>
      <c r="AG34" s="278">
        <f>'01 - Dados de Entrada'!$C$61*'04 - Veículos e Equipamentos'!AF38*'01 - Dados de Entrada'!$C$288</f>
        <v>23642.709000000003</v>
      </c>
      <c r="AH34" s="278">
        <f>'01 - Dados de Entrada'!$C$61*'04 - Veículos e Equipamentos'!AG38*'01 - Dados de Entrada'!$C$288</f>
        <v>23642.709000000003</v>
      </c>
      <c r="AI34" s="278">
        <f>'01 - Dados de Entrada'!$C$61*'04 - Veículos e Equipamentos'!AH38*'01 - Dados de Entrada'!$C$288</f>
        <v>23642.709000000003</v>
      </c>
      <c r="AJ34" s="278">
        <f>'01 - Dados de Entrada'!$C$61*'04 - Veículos e Equipamentos'!AI38*'01 - Dados de Entrada'!$C$288</f>
        <v>23642.709000000003</v>
      </c>
      <c r="AK34" s="278">
        <f>'01 - Dados de Entrada'!$C$61*'04 - Veículos e Equipamentos'!AJ38*'01 - Dados de Entrada'!$C$288</f>
        <v>23642.709000000003</v>
      </c>
    </row>
    <row r="35" spans="1:38" s="152" customFormat="1" ht="13.15" customHeight="1" x14ac:dyDescent="0.2">
      <c r="A35" s="36" t="s">
        <v>811</v>
      </c>
      <c r="B35" s="149">
        <f t="shared" si="2"/>
        <v>89708.546666666633</v>
      </c>
      <c r="C35" s="278">
        <f>'01 - Dados de Entrada'!$C$58*'04 - Veículos e Equipamentos'!B39*'01 - Dados de Entrada'!$C$288</f>
        <v>0</v>
      </c>
      <c r="D35" s="278">
        <f>'01 - Dados de Entrada'!$C$58*'04 - Veículos e Equipamentos'!C39*'01 - Dados de Entrada'!$C$288</f>
        <v>915.39333333333332</v>
      </c>
      <c r="E35" s="278">
        <f>'01 - Dados de Entrada'!$C$58*'04 - Veículos e Equipamentos'!D39*'01 - Dados de Entrada'!$C$288</f>
        <v>1830.7866666666666</v>
      </c>
      <c r="F35" s="278">
        <f>'01 - Dados de Entrada'!$C$58*'04 - Veículos e Equipamentos'!E39*'01 - Dados de Entrada'!$C$288</f>
        <v>1830.7866666666666</v>
      </c>
      <c r="G35" s="278">
        <f>'01 - Dados de Entrada'!$C$58*'04 - Veículos e Equipamentos'!F39*'01 - Dados de Entrada'!$C$288</f>
        <v>2746.1800000000003</v>
      </c>
      <c r="H35" s="278">
        <f>'01 - Dados de Entrada'!$C$58*'04 - Veículos e Equipamentos'!G39*'01 - Dados de Entrada'!$C$288</f>
        <v>2746.1800000000003</v>
      </c>
      <c r="I35" s="278">
        <f>'01 - Dados de Entrada'!$C$58*'04 - Veículos e Equipamentos'!H39*'01 - Dados de Entrada'!$C$288</f>
        <v>2746.1800000000003</v>
      </c>
      <c r="J35" s="278">
        <f>'01 - Dados de Entrada'!$C$58*'04 - Veículos e Equipamentos'!I39*'01 - Dados de Entrada'!$C$288</f>
        <v>2746.1800000000003</v>
      </c>
      <c r="K35" s="278">
        <f>'01 - Dados de Entrada'!$C$58*'04 - Veículos e Equipamentos'!J39*'01 - Dados de Entrada'!$C$288</f>
        <v>2746.1800000000003</v>
      </c>
      <c r="L35" s="278">
        <f>'01 - Dados de Entrada'!$C$58*'04 - Veículos e Equipamentos'!K39*'01 - Dados de Entrada'!$C$288</f>
        <v>2746.1800000000003</v>
      </c>
      <c r="M35" s="278">
        <f>'01 - Dados de Entrada'!$C$58*'04 - Veículos e Equipamentos'!L39*'01 - Dados de Entrada'!$C$288</f>
        <v>2746.1800000000003</v>
      </c>
      <c r="N35" s="278">
        <f>'01 - Dados de Entrada'!$C$58*'04 - Veículos e Equipamentos'!M39*'01 - Dados de Entrada'!$C$288</f>
        <v>2746.1800000000003</v>
      </c>
      <c r="O35" s="278">
        <f>'01 - Dados de Entrada'!$C$58*'04 - Veículos e Equipamentos'!N39*'01 - Dados de Entrada'!$C$288</f>
        <v>2746.1800000000003</v>
      </c>
      <c r="P35" s="278">
        <f>'01 - Dados de Entrada'!$C$58*'04 - Veículos e Equipamentos'!O39*'01 - Dados de Entrada'!$C$288</f>
        <v>2746.1800000000003</v>
      </c>
      <c r="Q35" s="278">
        <f>'01 - Dados de Entrada'!$C$58*'04 - Veículos e Equipamentos'!P39*'01 - Dados de Entrada'!$C$288</f>
        <v>2746.1800000000003</v>
      </c>
      <c r="R35" s="278">
        <f>'01 - Dados de Entrada'!$C$58*'04 - Veículos e Equipamentos'!Q39*'01 - Dados de Entrada'!$C$288</f>
        <v>2746.1800000000003</v>
      </c>
      <c r="S35" s="278">
        <f>'01 - Dados de Entrada'!$C$58*'04 - Veículos e Equipamentos'!R39*'01 - Dados de Entrada'!$C$288</f>
        <v>2746.1800000000003</v>
      </c>
      <c r="T35" s="278">
        <f>'01 - Dados de Entrada'!$C$58*'04 - Veículos e Equipamentos'!S39*'01 - Dados de Entrada'!$C$288</f>
        <v>2746.1800000000003</v>
      </c>
      <c r="U35" s="278">
        <f>'01 - Dados de Entrada'!$C$58*'04 - Veículos e Equipamentos'!T39*'01 - Dados de Entrada'!$C$288</f>
        <v>2746.1800000000003</v>
      </c>
      <c r="V35" s="278">
        <f>'01 - Dados de Entrada'!$C$58*'04 - Veículos e Equipamentos'!U39*'01 - Dados de Entrada'!$C$288</f>
        <v>2746.1800000000003</v>
      </c>
      <c r="W35" s="278">
        <f>'01 - Dados de Entrada'!$C$58*'04 - Veículos e Equipamentos'!V39*'01 - Dados de Entrada'!$C$288</f>
        <v>2746.1800000000003</v>
      </c>
      <c r="X35" s="278">
        <f>'01 - Dados de Entrada'!$C$58*'04 - Veículos e Equipamentos'!W39*'01 - Dados de Entrada'!$C$288</f>
        <v>2746.1800000000003</v>
      </c>
      <c r="Y35" s="278">
        <f>'01 - Dados de Entrada'!$C$58*'04 - Veículos e Equipamentos'!X39*'01 - Dados de Entrada'!$C$288</f>
        <v>2746.1800000000003</v>
      </c>
      <c r="Z35" s="278">
        <f>'01 - Dados de Entrada'!$C$58*'04 - Veículos e Equipamentos'!Y39*'01 - Dados de Entrada'!$C$288</f>
        <v>2746.1800000000003</v>
      </c>
      <c r="AA35" s="278">
        <f>'01 - Dados de Entrada'!$C$58*'04 - Veículos e Equipamentos'!Z39*'01 - Dados de Entrada'!$C$288</f>
        <v>2746.1800000000003</v>
      </c>
      <c r="AB35" s="278">
        <f>'01 - Dados de Entrada'!$C$58*'04 - Veículos e Equipamentos'!AA39*'01 - Dados de Entrada'!$C$288</f>
        <v>2746.1800000000003</v>
      </c>
      <c r="AC35" s="278">
        <f>'01 - Dados de Entrada'!$C$58*'04 - Veículos e Equipamentos'!AB39*'01 - Dados de Entrada'!$C$288</f>
        <v>2746.1800000000003</v>
      </c>
      <c r="AD35" s="278">
        <f>'01 - Dados de Entrada'!$C$58*'04 - Veículos e Equipamentos'!AC39*'01 - Dados de Entrada'!$C$288</f>
        <v>2746.1800000000003</v>
      </c>
      <c r="AE35" s="278">
        <f>'01 - Dados de Entrada'!$C$58*'04 - Veículos e Equipamentos'!AD39*'01 - Dados de Entrada'!$C$288</f>
        <v>2746.1800000000003</v>
      </c>
      <c r="AF35" s="278">
        <f>'01 - Dados de Entrada'!$C$58*'04 - Veículos e Equipamentos'!AE39*'01 - Dados de Entrada'!$C$288</f>
        <v>2746.1800000000003</v>
      </c>
      <c r="AG35" s="278">
        <f>'01 - Dados de Entrada'!$C$58*'04 - Veículos e Equipamentos'!AF39*'01 - Dados de Entrada'!$C$288</f>
        <v>2746.1800000000003</v>
      </c>
      <c r="AH35" s="278">
        <f>'01 - Dados de Entrada'!$C$58*'04 - Veículos e Equipamentos'!AG39*'01 - Dados de Entrada'!$C$288</f>
        <v>2746.1800000000003</v>
      </c>
      <c r="AI35" s="278">
        <f>'01 - Dados de Entrada'!$C$58*'04 - Veículos e Equipamentos'!AH39*'01 - Dados de Entrada'!$C$288</f>
        <v>2746.1800000000003</v>
      </c>
      <c r="AJ35" s="278">
        <f>'01 - Dados de Entrada'!$C$58*'04 - Veículos e Equipamentos'!AI39*'01 - Dados de Entrada'!$C$288</f>
        <v>2746.1800000000003</v>
      </c>
      <c r="AK35" s="278">
        <f>'01 - Dados de Entrada'!$C$58*'04 - Veículos e Equipamentos'!AJ39*'01 - Dados de Entrada'!$C$288</f>
        <v>2746.1800000000003</v>
      </c>
    </row>
    <row r="36" spans="1:38" s="152" customFormat="1" ht="13.15" customHeight="1" x14ac:dyDescent="0.2">
      <c r="A36" s="263" t="s">
        <v>837</v>
      </c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263"/>
      <c r="AE36" s="263"/>
      <c r="AF36" s="263"/>
      <c r="AG36" s="263"/>
      <c r="AH36" s="263"/>
      <c r="AI36" s="263"/>
      <c r="AJ36" s="263"/>
      <c r="AK36" s="263"/>
    </row>
    <row r="37" spans="1:38" s="152" customFormat="1" ht="13.15" customHeight="1" x14ac:dyDescent="0.2">
      <c r="A37" s="36" t="s">
        <v>813</v>
      </c>
      <c r="B37" s="149">
        <f>SUM(C37:AK37)</f>
        <v>4750200</v>
      </c>
      <c r="C37" s="278">
        <f>('04 - Veículos e Equipamentos'!B41+'04 - Veículos e Equipamentos'!B42)*('01 - Dados de Entrada'!$C$44+'01 - Dados de Entrada'!$C$64)*'01 - Dados de Entrada'!$C$288</f>
        <v>135720</v>
      </c>
      <c r="D37" s="278">
        <f>('04 - Veículos e Equipamentos'!C41+'04 - Veículos e Equipamentos'!C42)*('01 - Dados de Entrada'!$C$44+'01 - Dados de Entrada'!$C$64)*'01 - Dados de Entrada'!$C$288</f>
        <v>135720</v>
      </c>
      <c r="E37" s="278">
        <f>('04 - Veículos e Equipamentos'!D41+'04 - Veículos e Equipamentos'!D42)*('01 - Dados de Entrada'!$C$44+'01 - Dados de Entrada'!$C$64)*'01 - Dados de Entrada'!$C$288</f>
        <v>135720</v>
      </c>
      <c r="F37" s="278">
        <f>('04 - Veículos e Equipamentos'!E41+'04 - Veículos e Equipamentos'!E42)*('01 - Dados de Entrada'!$C$44+'01 - Dados de Entrada'!$C$64)*'01 - Dados de Entrada'!$C$288</f>
        <v>135720</v>
      </c>
      <c r="G37" s="278">
        <f>('04 - Veículos e Equipamentos'!F41+'04 - Veículos e Equipamentos'!F42)*('01 - Dados de Entrada'!$C$44+'01 - Dados de Entrada'!$C$64)*'01 - Dados de Entrada'!$C$288</f>
        <v>135720</v>
      </c>
      <c r="H37" s="278">
        <f>('04 - Veículos e Equipamentos'!G41+'04 - Veículos e Equipamentos'!G42)*('01 - Dados de Entrada'!$C$44+'01 - Dados de Entrada'!$C$64)*'01 - Dados de Entrada'!$C$288</f>
        <v>135720</v>
      </c>
      <c r="I37" s="278">
        <f>('04 - Veículos e Equipamentos'!H41+'04 - Veículos e Equipamentos'!H42)*('01 - Dados de Entrada'!$C$44+'01 - Dados de Entrada'!$C$64)*'01 - Dados de Entrada'!$C$288</f>
        <v>135720</v>
      </c>
      <c r="J37" s="278">
        <f>('04 - Veículos e Equipamentos'!I41+'04 - Veículos e Equipamentos'!I42)*('01 - Dados de Entrada'!$C$44+'01 - Dados de Entrada'!$C$64)*'01 - Dados de Entrada'!$C$288</f>
        <v>135720</v>
      </c>
      <c r="K37" s="278">
        <f>('04 - Veículos e Equipamentos'!J41+'04 - Veículos e Equipamentos'!J42)*('01 - Dados de Entrada'!$C$44+'01 - Dados de Entrada'!$C$64)*'01 - Dados de Entrada'!$C$288</f>
        <v>135720</v>
      </c>
      <c r="L37" s="278">
        <f>('04 - Veículos e Equipamentos'!K41+'04 - Veículos e Equipamentos'!K42)*('01 - Dados de Entrada'!$C$44+'01 - Dados de Entrada'!$C$64)*'01 - Dados de Entrada'!$C$288</f>
        <v>135720</v>
      </c>
      <c r="M37" s="278">
        <f>('04 - Veículos e Equipamentos'!L41+'04 - Veículos e Equipamentos'!L42)*('01 - Dados de Entrada'!$C$44+'01 - Dados de Entrada'!$C$64)*'01 - Dados de Entrada'!$C$288</f>
        <v>135720</v>
      </c>
      <c r="N37" s="278">
        <f>('04 - Veículos e Equipamentos'!M41+'04 - Veículos e Equipamentos'!M42)*('01 - Dados de Entrada'!$C$44+'01 - Dados de Entrada'!$C$64)*'01 - Dados de Entrada'!$C$288</f>
        <v>135720</v>
      </c>
      <c r="O37" s="278">
        <f>('04 - Veículos e Equipamentos'!N41+'04 - Veículos e Equipamentos'!N42)*('01 - Dados de Entrada'!$C$44+'01 - Dados de Entrada'!$C$64)*'01 - Dados de Entrada'!$C$288</f>
        <v>135720</v>
      </c>
      <c r="P37" s="278">
        <f>('04 - Veículos e Equipamentos'!O41+'04 - Veículos e Equipamentos'!O42)*('01 - Dados de Entrada'!$C$44+'01 - Dados de Entrada'!$C$64)*'01 - Dados de Entrada'!$C$288</f>
        <v>135720</v>
      </c>
      <c r="Q37" s="278">
        <f>('04 - Veículos e Equipamentos'!P41+'04 - Veículos e Equipamentos'!P42)*('01 - Dados de Entrada'!$C$44+'01 - Dados de Entrada'!$C$64)*'01 - Dados de Entrada'!$C$288</f>
        <v>135720</v>
      </c>
      <c r="R37" s="278">
        <f>('04 - Veículos e Equipamentos'!Q41+'04 - Veículos e Equipamentos'!Q42)*('01 - Dados de Entrada'!$C$44+'01 - Dados de Entrada'!$C$64)*'01 - Dados de Entrada'!$C$288</f>
        <v>135720</v>
      </c>
      <c r="S37" s="278">
        <f>('04 - Veículos e Equipamentos'!R41+'04 - Veículos e Equipamentos'!R42)*('01 - Dados de Entrada'!$C$44+'01 - Dados de Entrada'!$C$64)*'01 - Dados de Entrada'!$C$288</f>
        <v>135720</v>
      </c>
      <c r="T37" s="278">
        <f>('04 - Veículos e Equipamentos'!S41+'04 - Veículos e Equipamentos'!S42)*('01 - Dados de Entrada'!$C$44+'01 - Dados de Entrada'!$C$64)*'01 - Dados de Entrada'!$C$288</f>
        <v>135720</v>
      </c>
      <c r="U37" s="278">
        <f>('04 - Veículos e Equipamentos'!T41+'04 - Veículos e Equipamentos'!T42)*('01 - Dados de Entrada'!$C$44+'01 - Dados de Entrada'!$C$64)*'01 - Dados de Entrada'!$C$288</f>
        <v>135720</v>
      </c>
      <c r="V37" s="278">
        <f>('04 - Veículos e Equipamentos'!U41+'04 - Veículos e Equipamentos'!U42)*('01 - Dados de Entrada'!$C$44+'01 - Dados de Entrada'!$C$64)*'01 - Dados de Entrada'!$C$288</f>
        <v>135720</v>
      </c>
      <c r="W37" s="278">
        <f>('04 - Veículos e Equipamentos'!V41+'04 - Veículos e Equipamentos'!V42)*('01 - Dados de Entrada'!$C$44+'01 - Dados de Entrada'!$C$64)*'01 - Dados de Entrada'!$C$288</f>
        <v>135720</v>
      </c>
      <c r="X37" s="278">
        <f>('04 - Veículos e Equipamentos'!W41+'04 - Veículos e Equipamentos'!W42)*('01 - Dados de Entrada'!$C$44+'01 - Dados de Entrada'!$C$64)*'01 - Dados de Entrada'!$C$288</f>
        <v>135720</v>
      </c>
      <c r="Y37" s="278">
        <f>('04 - Veículos e Equipamentos'!X41+'04 - Veículos e Equipamentos'!X42)*('01 - Dados de Entrada'!$C$44+'01 - Dados de Entrada'!$C$64)*'01 - Dados de Entrada'!$C$288</f>
        <v>135720</v>
      </c>
      <c r="Z37" s="278">
        <f>('04 - Veículos e Equipamentos'!Y41+'04 - Veículos e Equipamentos'!Y42)*('01 - Dados de Entrada'!$C$44+'01 - Dados de Entrada'!$C$64)*'01 - Dados de Entrada'!$C$288</f>
        <v>135720</v>
      </c>
      <c r="AA37" s="278">
        <f>('04 - Veículos e Equipamentos'!Z41+'04 - Veículos e Equipamentos'!Z42)*('01 - Dados de Entrada'!$C$44+'01 - Dados de Entrada'!$C$64)*'01 - Dados de Entrada'!$C$288</f>
        <v>135720</v>
      </c>
      <c r="AB37" s="278">
        <f>('04 - Veículos e Equipamentos'!AA41+'04 - Veículos e Equipamentos'!AA42)*('01 - Dados de Entrada'!$C$44+'01 - Dados de Entrada'!$C$64)*'01 - Dados de Entrada'!$C$288</f>
        <v>135720</v>
      </c>
      <c r="AC37" s="278">
        <f>('04 - Veículos e Equipamentos'!AB41+'04 - Veículos e Equipamentos'!AB42)*('01 - Dados de Entrada'!$C$44+'01 - Dados de Entrada'!$C$64)*'01 - Dados de Entrada'!$C$288</f>
        <v>135720</v>
      </c>
      <c r="AD37" s="278">
        <f>('04 - Veículos e Equipamentos'!AC41+'04 - Veículos e Equipamentos'!AC42)*('01 - Dados de Entrada'!$C$44+'01 - Dados de Entrada'!$C$64)*'01 - Dados de Entrada'!$C$288</f>
        <v>135720</v>
      </c>
      <c r="AE37" s="278">
        <f>('04 - Veículos e Equipamentos'!AD41+'04 - Veículos e Equipamentos'!AD42)*('01 - Dados de Entrada'!$C$44+'01 - Dados de Entrada'!$C$64)*'01 - Dados de Entrada'!$C$288</f>
        <v>135720</v>
      </c>
      <c r="AF37" s="278">
        <f>('04 - Veículos e Equipamentos'!AE41+'04 - Veículos e Equipamentos'!AE42)*('01 - Dados de Entrada'!$C$44+'01 - Dados de Entrada'!$C$64)*'01 - Dados de Entrada'!$C$288</f>
        <v>135720</v>
      </c>
      <c r="AG37" s="278">
        <f>('04 - Veículos e Equipamentos'!AF41+'04 - Veículos e Equipamentos'!AF42)*('01 - Dados de Entrada'!$C$44+'01 - Dados de Entrada'!$C$64)*'01 - Dados de Entrada'!$C$288</f>
        <v>135720</v>
      </c>
      <c r="AH37" s="278">
        <f>('04 - Veículos e Equipamentos'!AG41+'04 - Veículos e Equipamentos'!AG42)*('01 - Dados de Entrada'!$C$44+'01 - Dados de Entrada'!$C$64)*'01 - Dados de Entrada'!$C$288</f>
        <v>135720</v>
      </c>
      <c r="AI37" s="278">
        <f>('04 - Veículos e Equipamentos'!AH41+'04 - Veículos e Equipamentos'!AH42)*('01 - Dados de Entrada'!$C$44+'01 - Dados de Entrada'!$C$64)*'01 - Dados de Entrada'!$C$288</f>
        <v>135720</v>
      </c>
      <c r="AJ37" s="278">
        <f>('04 - Veículos e Equipamentos'!AI41+'04 - Veículos e Equipamentos'!AI42)*('01 - Dados de Entrada'!$C$44+'01 - Dados de Entrada'!$C$64)*'01 - Dados de Entrada'!$C$288</f>
        <v>135720</v>
      </c>
      <c r="AK37" s="278">
        <f>('04 - Veículos e Equipamentos'!AJ41+'04 - Veículos e Equipamentos'!AJ42)*('01 - Dados de Entrada'!$C$44+'01 - Dados de Entrada'!$C$64)*'01 - Dados de Entrada'!$C$288</f>
        <v>135720</v>
      </c>
    </row>
    <row r="38" spans="1:38" s="35" customFormat="1" ht="13.15" customHeight="1" x14ac:dyDescent="0.2">
      <c r="A38" s="263" t="s">
        <v>880</v>
      </c>
      <c r="B38" s="263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</row>
    <row r="39" spans="1:38" s="152" customFormat="1" ht="13.15" customHeight="1" x14ac:dyDescent="0.2">
      <c r="A39" s="34" t="s">
        <v>813</v>
      </c>
      <c r="B39" s="149">
        <f t="shared" ref="B39:B46" si="3">SUM(C39:AK39)</f>
        <v>2266783.9600000014</v>
      </c>
      <c r="C39" s="278">
        <f>'04 - Veículos e Equipamentos'!B44*('01 - Dados de Entrada'!$C$65+'01 - Dados de Entrada'!$C$66)*'01 - Dados de Entrada'!$C$288</f>
        <v>64765.256000000008</v>
      </c>
      <c r="D39" s="278">
        <f>'04 - Veículos e Equipamentos'!C44*('01 - Dados de Entrada'!$C$65+'01 - Dados de Entrada'!$C$66)*'01 - Dados de Entrada'!$C$288</f>
        <v>64765.256000000008</v>
      </c>
      <c r="E39" s="278">
        <f>'04 - Veículos e Equipamentos'!D44*('01 - Dados de Entrada'!$C$65+'01 - Dados de Entrada'!$C$66)*'01 - Dados de Entrada'!$C$288</f>
        <v>64765.256000000008</v>
      </c>
      <c r="F39" s="278">
        <f>'04 - Veículos e Equipamentos'!E44*('01 - Dados de Entrada'!$C$65+'01 - Dados de Entrada'!$C$66)*'01 - Dados de Entrada'!$C$288</f>
        <v>64765.256000000008</v>
      </c>
      <c r="G39" s="278">
        <f>'04 - Veículos e Equipamentos'!F44*('01 - Dados de Entrada'!$C$65+'01 - Dados de Entrada'!$C$66)*'01 - Dados de Entrada'!$C$288</f>
        <v>64765.256000000008</v>
      </c>
      <c r="H39" s="278">
        <f>'04 - Veículos e Equipamentos'!G44*('01 - Dados de Entrada'!$C$65+'01 - Dados de Entrada'!$C$66)*'01 - Dados de Entrada'!$C$288</f>
        <v>64765.256000000008</v>
      </c>
      <c r="I39" s="278">
        <f>'04 - Veículos e Equipamentos'!H44*('01 - Dados de Entrada'!$C$65+'01 - Dados de Entrada'!$C$66)*'01 - Dados de Entrada'!$C$288</f>
        <v>64765.256000000008</v>
      </c>
      <c r="J39" s="278">
        <f>'04 - Veículos e Equipamentos'!I44*('01 - Dados de Entrada'!$C$65+'01 - Dados de Entrada'!$C$66)*'01 - Dados de Entrada'!$C$288</f>
        <v>64765.256000000008</v>
      </c>
      <c r="K39" s="278">
        <f>'04 - Veículos e Equipamentos'!J44*('01 - Dados de Entrada'!$C$65+'01 - Dados de Entrada'!$C$66)*'01 - Dados de Entrada'!$C$288</f>
        <v>64765.256000000008</v>
      </c>
      <c r="L39" s="278">
        <f>'04 - Veículos e Equipamentos'!K44*('01 - Dados de Entrada'!$C$65+'01 - Dados de Entrada'!$C$66)*'01 - Dados de Entrada'!$C$288</f>
        <v>64765.256000000008</v>
      </c>
      <c r="M39" s="278">
        <f>'04 - Veículos e Equipamentos'!L44*('01 - Dados de Entrada'!$C$65+'01 - Dados de Entrada'!$C$66)*'01 - Dados de Entrada'!$C$288</f>
        <v>64765.256000000008</v>
      </c>
      <c r="N39" s="278">
        <f>'04 - Veículos e Equipamentos'!M44*('01 - Dados de Entrada'!$C$65+'01 - Dados de Entrada'!$C$66)*'01 - Dados de Entrada'!$C$288</f>
        <v>64765.256000000008</v>
      </c>
      <c r="O39" s="278">
        <f>'04 - Veículos e Equipamentos'!N44*('01 - Dados de Entrada'!$C$65+'01 - Dados de Entrada'!$C$66)*'01 - Dados de Entrada'!$C$288</f>
        <v>64765.256000000008</v>
      </c>
      <c r="P39" s="278">
        <f>'04 - Veículos e Equipamentos'!O44*('01 - Dados de Entrada'!$C$65+'01 - Dados de Entrada'!$C$66)*'01 - Dados de Entrada'!$C$288</f>
        <v>64765.256000000008</v>
      </c>
      <c r="Q39" s="278">
        <f>'04 - Veículos e Equipamentos'!P44*('01 - Dados de Entrada'!$C$65+'01 - Dados de Entrada'!$C$66)*'01 - Dados de Entrada'!$C$288</f>
        <v>64765.256000000008</v>
      </c>
      <c r="R39" s="278">
        <f>'04 - Veículos e Equipamentos'!Q44*('01 - Dados de Entrada'!$C$65+'01 - Dados de Entrada'!$C$66)*'01 - Dados de Entrada'!$C$288</f>
        <v>64765.256000000008</v>
      </c>
      <c r="S39" s="278">
        <f>'04 - Veículos e Equipamentos'!R44*('01 - Dados de Entrada'!$C$65+'01 - Dados de Entrada'!$C$66)*'01 - Dados de Entrada'!$C$288</f>
        <v>64765.256000000008</v>
      </c>
      <c r="T39" s="278">
        <f>'04 - Veículos e Equipamentos'!S44*('01 - Dados de Entrada'!$C$65+'01 - Dados de Entrada'!$C$66)*'01 - Dados de Entrada'!$C$288</f>
        <v>64765.256000000008</v>
      </c>
      <c r="U39" s="278">
        <f>'04 - Veículos e Equipamentos'!T44*('01 - Dados de Entrada'!$C$65+'01 - Dados de Entrada'!$C$66)*'01 - Dados de Entrada'!$C$288</f>
        <v>64765.256000000008</v>
      </c>
      <c r="V39" s="278">
        <f>'04 - Veículos e Equipamentos'!U44*('01 - Dados de Entrada'!$C$65+'01 - Dados de Entrada'!$C$66)*'01 - Dados de Entrada'!$C$288</f>
        <v>64765.256000000008</v>
      </c>
      <c r="W39" s="278">
        <f>'04 - Veículos e Equipamentos'!V44*('01 - Dados de Entrada'!$C$65+'01 - Dados de Entrada'!$C$66)*'01 - Dados de Entrada'!$C$288</f>
        <v>64765.256000000008</v>
      </c>
      <c r="X39" s="278">
        <f>'04 - Veículos e Equipamentos'!W44*('01 - Dados de Entrada'!$C$65+'01 - Dados de Entrada'!$C$66)*'01 - Dados de Entrada'!$C$288</f>
        <v>64765.256000000008</v>
      </c>
      <c r="Y39" s="278">
        <f>'04 - Veículos e Equipamentos'!X44*('01 - Dados de Entrada'!$C$65+'01 - Dados de Entrada'!$C$66)*'01 - Dados de Entrada'!$C$288</f>
        <v>64765.256000000008</v>
      </c>
      <c r="Z39" s="278">
        <f>'04 - Veículos e Equipamentos'!Y44*('01 - Dados de Entrada'!$C$65+'01 - Dados de Entrada'!$C$66)*'01 - Dados de Entrada'!$C$288</f>
        <v>64765.256000000008</v>
      </c>
      <c r="AA39" s="278">
        <f>'04 - Veículos e Equipamentos'!Z44*('01 - Dados de Entrada'!$C$65+'01 - Dados de Entrada'!$C$66)*'01 - Dados de Entrada'!$C$288</f>
        <v>64765.256000000008</v>
      </c>
      <c r="AB39" s="278">
        <f>'04 - Veículos e Equipamentos'!AA44*('01 - Dados de Entrada'!$C$65+'01 - Dados de Entrada'!$C$66)*'01 - Dados de Entrada'!$C$288</f>
        <v>64765.256000000008</v>
      </c>
      <c r="AC39" s="278">
        <f>'04 - Veículos e Equipamentos'!AB44*('01 - Dados de Entrada'!$C$65+'01 - Dados de Entrada'!$C$66)*'01 - Dados de Entrada'!$C$288</f>
        <v>64765.256000000008</v>
      </c>
      <c r="AD39" s="278">
        <f>'04 - Veículos e Equipamentos'!AC44*('01 - Dados de Entrada'!$C$65+'01 - Dados de Entrada'!$C$66)*'01 - Dados de Entrada'!$C$288</f>
        <v>64765.256000000008</v>
      </c>
      <c r="AE39" s="278">
        <f>'04 - Veículos e Equipamentos'!AD44*('01 - Dados de Entrada'!$C$65+'01 - Dados de Entrada'!$C$66)*'01 - Dados de Entrada'!$C$288</f>
        <v>64765.256000000008</v>
      </c>
      <c r="AF39" s="278">
        <f>'04 - Veículos e Equipamentos'!AE44*('01 - Dados de Entrada'!$C$65+'01 - Dados de Entrada'!$C$66)*'01 - Dados de Entrada'!$C$288</f>
        <v>64765.256000000008</v>
      </c>
      <c r="AG39" s="278">
        <f>'04 - Veículos e Equipamentos'!AF44*('01 - Dados de Entrada'!$C$65+'01 - Dados de Entrada'!$C$66)*'01 - Dados de Entrada'!$C$288</f>
        <v>64765.256000000008</v>
      </c>
      <c r="AH39" s="278">
        <f>'04 - Veículos e Equipamentos'!AG44*('01 - Dados de Entrada'!$C$65+'01 - Dados de Entrada'!$C$66)*'01 - Dados de Entrada'!$C$288</f>
        <v>64765.256000000008</v>
      </c>
      <c r="AI39" s="278">
        <f>'04 - Veículos e Equipamentos'!AH44*('01 - Dados de Entrada'!$C$65+'01 - Dados de Entrada'!$C$66)*'01 - Dados de Entrada'!$C$288</f>
        <v>64765.256000000008</v>
      </c>
      <c r="AJ39" s="278">
        <f>'04 - Veículos e Equipamentos'!AI44*('01 - Dados de Entrada'!$C$65+'01 - Dados de Entrada'!$C$66)*'01 - Dados de Entrada'!$C$288</f>
        <v>64765.256000000008</v>
      </c>
      <c r="AK39" s="278">
        <f>'04 - Veículos e Equipamentos'!AJ44*('01 - Dados de Entrada'!$C$65+'01 - Dados de Entrada'!$C$66)*'01 - Dados de Entrada'!$C$288</f>
        <v>64765.256000000008</v>
      </c>
      <c r="AL39" s="278">
        <f>'04 - Veículos e Equipamentos'!AK44*('01 - Dados de Entrada'!$C$65+'01 - Dados de Entrada'!$C$66)*'01 - Dados de Entrada'!$C$288</f>
        <v>0</v>
      </c>
    </row>
    <row r="40" spans="1:38" s="152" customFormat="1" ht="13.15" customHeight="1" x14ac:dyDescent="0.2">
      <c r="A40" s="34" t="s">
        <v>145</v>
      </c>
      <c r="B40" s="149">
        <f t="shared" si="3"/>
        <v>1126812.5750000004</v>
      </c>
      <c r="C40" s="278">
        <f>'04 - Veículos e Equipamentos'!B45*('01 - Dados de Entrada'!$C$70+'01 - Dados de Entrada'!$C$69)*'01 - Dados de Entrada'!$C$288</f>
        <v>32194.645000000004</v>
      </c>
      <c r="D40" s="278">
        <f>'04 - Veículos e Equipamentos'!C45*('01 - Dados de Entrada'!$C$70+'01 - Dados de Entrada'!$C$69)*'01 - Dados de Entrada'!$C$288</f>
        <v>32194.645000000004</v>
      </c>
      <c r="E40" s="278">
        <f>'04 - Veículos e Equipamentos'!D45*('01 - Dados de Entrada'!$C$70+'01 - Dados de Entrada'!$C$69)*'01 - Dados de Entrada'!$C$288</f>
        <v>32194.645000000004</v>
      </c>
      <c r="F40" s="278">
        <f>'04 - Veículos e Equipamentos'!E45*('01 - Dados de Entrada'!$C$70+'01 - Dados de Entrada'!$C$69)*'01 - Dados de Entrada'!$C$288</f>
        <v>32194.645000000004</v>
      </c>
      <c r="G40" s="278">
        <f>'04 - Veículos e Equipamentos'!F45*('01 - Dados de Entrada'!$C$70+'01 - Dados de Entrada'!$C$69)*'01 - Dados de Entrada'!$C$288</f>
        <v>32194.645000000004</v>
      </c>
      <c r="H40" s="278">
        <f>'04 - Veículos e Equipamentos'!G45*('01 - Dados de Entrada'!$C$70+'01 - Dados de Entrada'!$C$69)*'01 - Dados de Entrada'!$C$288</f>
        <v>32194.645000000004</v>
      </c>
      <c r="I40" s="278">
        <f>'04 - Veículos e Equipamentos'!H45*('01 - Dados de Entrada'!$C$70+'01 - Dados de Entrada'!$C$69)*'01 - Dados de Entrada'!$C$288</f>
        <v>32194.645000000004</v>
      </c>
      <c r="J40" s="278">
        <f>'04 - Veículos e Equipamentos'!I45*('01 - Dados de Entrada'!$C$70+'01 - Dados de Entrada'!$C$69)*'01 - Dados de Entrada'!$C$288</f>
        <v>32194.645000000004</v>
      </c>
      <c r="K40" s="278">
        <f>'04 - Veículos e Equipamentos'!J45*('01 - Dados de Entrada'!$C$70+'01 - Dados de Entrada'!$C$69)*'01 - Dados de Entrada'!$C$288</f>
        <v>32194.645000000004</v>
      </c>
      <c r="L40" s="278">
        <f>'04 - Veículos e Equipamentos'!K45*('01 - Dados de Entrada'!$C$70+'01 - Dados de Entrada'!$C$69)*'01 - Dados de Entrada'!$C$288</f>
        <v>32194.645000000004</v>
      </c>
      <c r="M40" s="278">
        <f>'04 - Veículos e Equipamentos'!L45*('01 - Dados de Entrada'!$C$70+'01 - Dados de Entrada'!$C$69)*'01 - Dados de Entrada'!$C$288</f>
        <v>32194.645000000004</v>
      </c>
      <c r="N40" s="278">
        <f>'04 - Veículos e Equipamentos'!M45*('01 - Dados de Entrada'!$C$70+'01 - Dados de Entrada'!$C$69)*'01 - Dados de Entrada'!$C$288</f>
        <v>32194.645000000004</v>
      </c>
      <c r="O40" s="278">
        <f>'04 - Veículos e Equipamentos'!N45*('01 - Dados de Entrada'!$C$70+'01 - Dados de Entrada'!$C$69)*'01 - Dados de Entrada'!$C$288</f>
        <v>32194.645000000004</v>
      </c>
      <c r="P40" s="278">
        <f>'04 - Veículos e Equipamentos'!O45*('01 - Dados de Entrada'!$C$70+'01 - Dados de Entrada'!$C$69)*'01 - Dados de Entrada'!$C$288</f>
        <v>32194.645000000004</v>
      </c>
      <c r="Q40" s="278">
        <f>'04 - Veículos e Equipamentos'!P45*('01 - Dados de Entrada'!$C$70+'01 - Dados de Entrada'!$C$69)*'01 - Dados de Entrada'!$C$288</f>
        <v>32194.645000000004</v>
      </c>
      <c r="R40" s="278">
        <f>'04 - Veículos e Equipamentos'!Q45*('01 - Dados de Entrada'!$C$70+'01 - Dados de Entrada'!$C$69)*'01 - Dados de Entrada'!$C$288</f>
        <v>32194.645000000004</v>
      </c>
      <c r="S40" s="278">
        <f>'04 - Veículos e Equipamentos'!R45*('01 - Dados de Entrada'!$C$70+'01 - Dados de Entrada'!$C$69)*'01 - Dados de Entrada'!$C$288</f>
        <v>32194.645000000004</v>
      </c>
      <c r="T40" s="278">
        <f>'04 - Veículos e Equipamentos'!S45*('01 - Dados de Entrada'!$C$70+'01 - Dados de Entrada'!$C$69)*'01 - Dados de Entrada'!$C$288</f>
        <v>32194.645000000004</v>
      </c>
      <c r="U40" s="278">
        <f>'04 - Veículos e Equipamentos'!T45*('01 - Dados de Entrada'!$C$70+'01 - Dados de Entrada'!$C$69)*'01 - Dados de Entrada'!$C$288</f>
        <v>32194.645000000004</v>
      </c>
      <c r="V40" s="278">
        <f>'04 - Veículos e Equipamentos'!U45*('01 - Dados de Entrada'!$C$70+'01 - Dados de Entrada'!$C$69)*'01 - Dados de Entrada'!$C$288</f>
        <v>32194.645000000004</v>
      </c>
      <c r="W40" s="278">
        <f>'04 - Veículos e Equipamentos'!V45*('01 - Dados de Entrada'!$C$70+'01 - Dados de Entrada'!$C$69)*'01 - Dados de Entrada'!$C$288</f>
        <v>32194.645000000004</v>
      </c>
      <c r="X40" s="278">
        <f>'04 - Veículos e Equipamentos'!W45*('01 - Dados de Entrada'!$C$70+'01 - Dados de Entrada'!$C$69)*'01 - Dados de Entrada'!$C$288</f>
        <v>32194.645000000004</v>
      </c>
      <c r="Y40" s="278">
        <f>'04 - Veículos e Equipamentos'!X45*('01 - Dados de Entrada'!$C$70+'01 - Dados de Entrada'!$C$69)*'01 - Dados de Entrada'!$C$288</f>
        <v>32194.645000000004</v>
      </c>
      <c r="Z40" s="278">
        <f>'04 - Veículos e Equipamentos'!Y45*('01 - Dados de Entrada'!$C$70+'01 - Dados de Entrada'!$C$69)*'01 - Dados de Entrada'!$C$288</f>
        <v>32194.645000000004</v>
      </c>
      <c r="AA40" s="278">
        <f>'04 - Veículos e Equipamentos'!Z45*('01 - Dados de Entrada'!$C$70+'01 - Dados de Entrada'!$C$69)*'01 - Dados de Entrada'!$C$288</f>
        <v>32194.645000000004</v>
      </c>
      <c r="AB40" s="278">
        <f>'04 - Veículos e Equipamentos'!AA45*('01 - Dados de Entrada'!$C$70+'01 - Dados de Entrada'!$C$69)*'01 - Dados de Entrada'!$C$288</f>
        <v>32194.645000000004</v>
      </c>
      <c r="AC40" s="278">
        <f>'04 - Veículos e Equipamentos'!AB45*('01 - Dados de Entrada'!$C$70+'01 - Dados de Entrada'!$C$69)*'01 - Dados de Entrada'!$C$288</f>
        <v>32194.645000000004</v>
      </c>
      <c r="AD40" s="278">
        <f>'04 - Veículos e Equipamentos'!AC45*('01 - Dados de Entrada'!$C$70+'01 - Dados de Entrada'!$C$69)*'01 - Dados de Entrada'!$C$288</f>
        <v>32194.645000000004</v>
      </c>
      <c r="AE40" s="278">
        <f>'04 - Veículos e Equipamentos'!AD45*('01 - Dados de Entrada'!$C$70+'01 - Dados de Entrada'!$C$69)*'01 - Dados de Entrada'!$C$288</f>
        <v>32194.645000000004</v>
      </c>
      <c r="AF40" s="278">
        <f>'04 - Veículos e Equipamentos'!AE45*('01 - Dados de Entrada'!$C$70+'01 - Dados de Entrada'!$C$69)*'01 - Dados de Entrada'!$C$288</f>
        <v>32194.645000000004</v>
      </c>
      <c r="AG40" s="278">
        <f>'04 - Veículos e Equipamentos'!AF45*('01 - Dados de Entrada'!$C$70+'01 - Dados de Entrada'!$C$69)*'01 - Dados de Entrada'!$C$288</f>
        <v>32194.645000000004</v>
      </c>
      <c r="AH40" s="278">
        <f>'04 - Veículos e Equipamentos'!AG45*('01 - Dados de Entrada'!$C$70+'01 - Dados de Entrada'!$C$69)*'01 - Dados de Entrada'!$C$288</f>
        <v>32194.645000000004</v>
      </c>
      <c r="AI40" s="278">
        <f>'04 - Veículos e Equipamentos'!AH45*('01 - Dados de Entrada'!$C$70+'01 - Dados de Entrada'!$C$69)*'01 - Dados de Entrada'!$C$288</f>
        <v>32194.645000000004</v>
      </c>
      <c r="AJ40" s="278">
        <f>'04 - Veículos e Equipamentos'!AI45*('01 - Dados de Entrada'!$C$70+'01 - Dados de Entrada'!$C$69)*'01 - Dados de Entrada'!$C$288</f>
        <v>32194.645000000004</v>
      </c>
      <c r="AK40" s="278">
        <f>'04 - Veículos e Equipamentos'!AJ45*('01 - Dados de Entrada'!$C$70+'01 - Dados de Entrada'!$C$69)*'01 - Dados de Entrada'!$C$288</f>
        <v>32194.645000000004</v>
      </c>
    </row>
    <row r="41" spans="1:38" s="152" customFormat="1" ht="13.15" customHeight="1" x14ac:dyDescent="0.2">
      <c r="A41" s="34" t="s">
        <v>560</v>
      </c>
      <c r="B41" s="149">
        <f t="shared" si="3"/>
        <v>1110459.5950000002</v>
      </c>
      <c r="C41" s="278">
        <f>'04 - Veículos e Equipamentos'!B46*'01 - Dados de Entrada'!$C$71*'01 - Dados de Entrada'!$C$288</f>
        <v>31727.417000000001</v>
      </c>
      <c r="D41" s="278">
        <f>'04 - Veículos e Equipamentos'!C46*'01 - Dados de Entrada'!$C$71*'01 - Dados de Entrada'!$C$288</f>
        <v>31727.417000000001</v>
      </c>
      <c r="E41" s="278">
        <f>'04 - Veículos e Equipamentos'!D46*'01 - Dados de Entrada'!$C$71*'01 - Dados de Entrada'!$C$288</f>
        <v>31727.417000000001</v>
      </c>
      <c r="F41" s="278">
        <f>'04 - Veículos e Equipamentos'!E46*'01 - Dados de Entrada'!$C$71*'01 - Dados de Entrada'!$C$288</f>
        <v>31727.417000000001</v>
      </c>
      <c r="G41" s="278">
        <f>'04 - Veículos e Equipamentos'!F46*'01 - Dados de Entrada'!$C$71*'01 - Dados de Entrada'!$C$288</f>
        <v>31727.417000000001</v>
      </c>
      <c r="H41" s="278">
        <f>'04 - Veículos e Equipamentos'!G46*'01 - Dados de Entrada'!$C$71*'01 - Dados de Entrada'!$C$288</f>
        <v>31727.417000000001</v>
      </c>
      <c r="I41" s="278">
        <f>'04 - Veículos e Equipamentos'!H46*'01 - Dados de Entrada'!$C$71*'01 - Dados de Entrada'!$C$288</f>
        <v>31727.417000000001</v>
      </c>
      <c r="J41" s="278">
        <f>'04 - Veículos e Equipamentos'!I46*'01 - Dados de Entrada'!$C$71*'01 - Dados de Entrada'!$C$288</f>
        <v>31727.417000000001</v>
      </c>
      <c r="K41" s="278">
        <f>'04 - Veículos e Equipamentos'!J46*'01 - Dados de Entrada'!$C$71*'01 - Dados de Entrada'!$C$288</f>
        <v>31727.417000000001</v>
      </c>
      <c r="L41" s="278">
        <f>'04 - Veículos e Equipamentos'!K46*'01 - Dados de Entrada'!$C$71*'01 - Dados de Entrada'!$C$288</f>
        <v>31727.417000000001</v>
      </c>
      <c r="M41" s="278">
        <f>'04 - Veículos e Equipamentos'!L46*'01 - Dados de Entrada'!$C$71*'01 - Dados de Entrada'!$C$288</f>
        <v>31727.417000000001</v>
      </c>
      <c r="N41" s="278">
        <f>'04 - Veículos e Equipamentos'!M46*'01 - Dados de Entrada'!$C$71*'01 - Dados de Entrada'!$C$288</f>
        <v>31727.417000000001</v>
      </c>
      <c r="O41" s="278">
        <f>'04 - Veículos e Equipamentos'!N46*'01 - Dados de Entrada'!$C$71*'01 - Dados de Entrada'!$C$288</f>
        <v>31727.417000000001</v>
      </c>
      <c r="P41" s="278">
        <f>'04 - Veículos e Equipamentos'!O46*'01 - Dados de Entrada'!$C$71*'01 - Dados de Entrada'!$C$288</f>
        <v>31727.417000000001</v>
      </c>
      <c r="Q41" s="278">
        <f>'04 - Veículos e Equipamentos'!P46*'01 - Dados de Entrada'!$C$71*'01 - Dados de Entrada'!$C$288</f>
        <v>31727.417000000001</v>
      </c>
      <c r="R41" s="278">
        <f>'04 - Veículos e Equipamentos'!Q46*'01 - Dados de Entrada'!$C$71*'01 - Dados de Entrada'!$C$288</f>
        <v>31727.417000000001</v>
      </c>
      <c r="S41" s="278">
        <f>'04 - Veículos e Equipamentos'!R46*'01 - Dados de Entrada'!$C$71*'01 - Dados de Entrada'!$C$288</f>
        <v>31727.417000000001</v>
      </c>
      <c r="T41" s="278">
        <f>'04 - Veículos e Equipamentos'!S46*'01 - Dados de Entrada'!$C$71*'01 - Dados de Entrada'!$C$288</f>
        <v>31727.417000000001</v>
      </c>
      <c r="U41" s="278">
        <f>'04 - Veículos e Equipamentos'!T46*'01 - Dados de Entrada'!$C$71*'01 - Dados de Entrada'!$C$288</f>
        <v>31727.417000000001</v>
      </c>
      <c r="V41" s="278">
        <f>'04 - Veículos e Equipamentos'!U46*'01 - Dados de Entrada'!$C$71*'01 - Dados de Entrada'!$C$288</f>
        <v>31727.417000000001</v>
      </c>
      <c r="W41" s="278">
        <f>'04 - Veículos e Equipamentos'!V46*'01 - Dados de Entrada'!$C$71*'01 - Dados de Entrada'!$C$288</f>
        <v>31727.417000000001</v>
      </c>
      <c r="X41" s="278">
        <f>'04 - Veículos e Equipamentos'!W46*'01 - Dados de Entrada'!$C$71*'01 - Dados de Entrada'!$C$288</f>
        <v>31727.417000000001</v>
      </c>
      <c r="Y41" s="278">
        <f>'04 - Veículos e Equipamentos'!X46*'01 - Dados de Entrada'!$C$71*'01 - Dados de Entrada'!$C$288</f>
        <v>31727.417000000001</v>
      </c>
      <c r="Z41" s="278">
        <f>'04 - Veículos e Equipamentos'!Y46*'01 - Dados de Entrada'!$C$71*'01 - Dados de Entrada'!$C$288</f>
        <v>31727.417000000001</v>
      </c>
      <c r="AA41" s="278">
        <f>'04 - Veículos e Equipamentos'!Z46*'01 - Dados de Entrada'!$C$71*'01 - Dados de Entrada'!$C$288</f>
        <v>31727.417000000001</v>
      </c>
      <c r="AB41" s="278">
        <f>'04 - Veículos e Equipamentos'!AA46*'01 - Dados de Entrada'!$C$71*'01 - Dados de Entrada'!$C$288</f>
        <v>31727.417000000001</v>
      </c>
      <c r="AC41" s="278">
        <f>'04 - Veículos e Equipamentos'!AB46*'01 - Dados de Entrada'!$C$71*'01 - Dados de Entrada'!$C$288</f>
        <v>31727.417000000001</v>
      </c>
      <c r="AD41" s="278">
        <f>'04 - Veículos e Equipamentos'!AC46*'01 - Dados de Entrada'!$C$71*'01 - Dados de Entrada'!$C$288</f>
        <v>31727.417000000001</v>
      </c>
      <c r="AE41" s="278">
        <f>'04 - Veículos e Equipamentos'!AD46*'01 - Dados de Entrada'!$C$71*'01 - Dados de Entrada'!$C$288</f>
        <v>31727.417000000001</v>
      </c>
      <c r="AF41" s="278">
        <f>'04 - Veículos e Equipamentos'!AE46*'01 - Dados de Entrada'!$C$71*'01 - Dados de Entrada'!$C$288</f>
        <v>31727.417000000001</v>
      </c>
      <c r="AG41" s="278">
        <f>'04 - Veículos e Equipamentos'!AF46*'01 - Dados de Entrada'!$C$71*'01 - Dados de Entrada'!$C$288</f>
        <v>31727.417000000001</v>
      </c>
      <c r="AH41" s="278">
        <f>'04 - Veículos e Equipamentos'!AG46*'01 - Dados de Entrada'!$C$71*'01 - Dados de Entrada'!$C$288</f>
        <v>31727.417000000001</v>
      </c>
      <c r="AI41" s="278">
        <f>'04 - Veículos e Equipamentos'!AH46*'01 - Dados de Entrada'!$C$71*'01 - Dados de Entrada'!$C$288</f>
        <v>31727.417000000001</v>
      </c>
      <c r="AJ41" s="278">
        <f>'04 - Veículos e Equipamentos'!AI46*'01 - Dados de Entrada'!$C$71*'01 - Dados de Entrada'!$C$288</f>
        <v>31727.417000000001</v>
      </c>
      <c r="AK41" s="278">
        <f>'04 - Veículos e Equipamentos'!AJ46*'01 - Dados de Entrada'!$C$71*'01 - Dados de Entrada'!$C$288</f>
        <v>31727.417000000001</v>
      </c>
    </row>
    <row r="42" spans="1:38" s="152" customFormat="1" ht="13.15" customHeight="1" x14ac:dyDescent="0.2">
      <c r="A42" s="34" t="s">
        <v>149</v>
      </c>
      <c r="B42" s="149">
        <f t="shared" si="3"/>
        <v>87400.833333333343</v>
      </c>
      <c r="C42" s="278">
        <f>('04 - Veículos e Equipamentos'!B47+'04 - Veículos e Equipamentos'!B48)*'01 - Dados de Entrada'!$C$72*'01 - Dados de Entrada'!$C$288</f>
        <v>2497.1666666666665</v>
      </c>
      <c r="D42" s="278">
        <f>('04 - Veículos e Equipamentos'!C47+'04 - Veículos e Equipamentos'!C48)*'01 - Dados de Entrada'!$C$72*'01 - Dados de Entrada'!$C$288</f>
        <v>2497.1666666666665</v>
      </c>
      <c r="E42" s="278">
        <f>('04 - Veículos e Equipamentos'!D47+'04 - Veículos e Equipamentos'!D48)*'01 - Dados de Entrada'!$C$72*'01 - Dados de Entrada'!$C$288</f>
        <v>2497.1666666666665</v>
      </c>
      <c r="F42" s="278">
        <f>('04 - Veículos e Equipamentos'!E47+'04 - Veículos e Equipamentos'!E48)*'01 - Dados de Entrada'!$C$72*'01 - Dados de Entrada'!$C$288</f>
        <v>2497.1666666666665</v>
      </c>
      <c r="G42" s="278">
        <f>('04 - Veículos e Equipamentos'!F47+'04 - Veículos e Equipamentos'!F48)*'01 - Dados de Entrada'!$C$72*'01 - Dados de Entrada'!$C$288</f>
        <v>2497.1666666666665</v>
      </c>
      <c r="H42" s="278">
        <f>('04 - Veículos e Equipamentos'!G47+'04 - Veículos e Equipamentos'!G48)*'01 - Dados de Entrada'!$C$72*'01 - Dados de Entrada'!$C$288</f>
        <v>2497.1666666666665</v>
      </c>
      <c r="I42" s="278">
        <f>('04 - Veículos e Equipamentos'!H47+'04 - Veículos e Equipamentos'!H48)*'01 - Dados de Entrada'!$C$72*'01 - Dados de Entrada'!$C$288</f>
        <v>2497.1666666666665</v>
      </c>
      <c r="J42" s="278">
        <f>('04 - Veículos e Equipamentos'!I47+'04 - Veículos e Equipamentos'!I48)*'01 - Dados de Entrada'!$C$72*'01 - Dados de Entrada'!$C$288</f>
        <v>2497.1666666666665</v>
      </c>
      <c r="K42" s="278">
        <f>('04 - Veículos e Equipamentos'!J47+'04 - Veículos e Equipamentos'!J48)*'01 - Dados de Entrada'!$C$72*'01 - Dados de Entrada'!$C$288</f>
        <v>2497.1666666666665</v>
      </c>
      <c r="L42" s="278">
        <f>('04 - Veículos e Equipamentos'!K47+'04 - Veículos e Equipamentos'!K48)*'01 - Dados de Entrada'!$C$72*'01 - Dados de Entrada'!$C$288</f>
        <v>2497.1666666666665</v>
      </c>
      <c r="M42" s="278">
        <f>('04 - Veículos e Equipamentos'!L47+'04 - Veículos e Equipamentos'!L48)*'01 - Dados de Entrada'!$C$72*'01 - Dados de Entrada'!$C$288</f>
        <v>2497.1666666666665</v>
      </c>
      <c r="N42" s="278">
        <f>('04 - Veículos e Equipamentos'!M47+'04 - Veículos e Equipamentos'!M48)*'01 - Dados de Entrada'!$C$72*'01 - Dados de Entrada'!$C$288</f>
        <v>2497.1666666666665</v>
      </c>
      <c r="O42" s="278">
        <f>('04 - Veículos e Equipamentos'!N47+'04 - Veículos e Equipamentos'!N48)*'01 - Dados de Entrada'!$C$72*'01 - Dados de Entrada'!$C$288</f>
        <v>2497.1666666666665</v>
      </c>
      <c r="P42" s="278">
        <f>('04 - Veículos e Equipamentos'!O47+'04 - Veículos e Equipamentos'!O48)*'01 - Dados de Entrada'!$C$72*'01 - Dados de Entrada'!$C$288</f>
        <v>2497.1666666666665</v>
      </c>
      <c r="Q42" s="278">
        <f>('04 - Veículos e Equipamentos'!P47+'04 - Veículos e Equipamentos'!P48)*'01 - Dados de Entrada'!$C$72*'01 - Dados de Entrada'!$C$288</f>
        <v>2497.1666666666665</v>
      </c>
      <c r="R42" s="278">
        <f>('04 - Veículos e Equipamentos'!Q47+'04 - Veículos e Equipamentos'!Q48)*'01 - Dados de Entrada'!$C$72*'01 - Dados de Entrada'!$C$288</f>
        <v>2497.1666666666665</v>
      </c>
      <c r="S42" s="278">
        <f>('04 - Veículos e Equipamentos'!R47+'04 - Veículos e Equipamentos'!R48)*'01 - Dados de Entrada'!$C$72*'01 - Dados de Entrada'!$C$288</f>
        <v>2497.1666666666665</v>
      </c>
      <c r="T42" s="278">
        <f>('04 - Veículos e Equipamentos'!S47+'04 - Veículos e Equipamentos'!S48)*'01 - Dados de Entrada'!$C$72*'01 - Dados de Entrada'!$C$288</f>
        <v>2497.1666666666665</v>
      </c>
      <c r="U42" s="278">
        <f>('04 - Veículos e Equipamentos'!T47+'04 - Veículos e Equipamentos'!T48)*'01 - Dados de Entrada'!$C$72*'01 - Dados de Entrada'!$C$288</f>
        <v>2497.1666666666665</v>
      </c>
      <c r="V42" s="278">
        <f>('04 - Veículos e Equipamentos'!U47+'04 - Veículos e Equipamentos'!U48)*'01 - Dados de Entrada'!$C$72*'01 - Dados de Entrada'!$C$288</f>
        <v>2497.1666666666665</v>
      </c>
      <c r="W42" s="278">
        <f>('04 - Veículos e Equipamentos'!V47+'04 - Veículos e Equipamentos'!V48)*'01 - Dados de Entrada'!$C$72*'01 - Dados de Entrada'!$C$288</f>
        <v>2497.1666666666665</v>
      </c>
      <c r="X42" s="278">
        <f>('04 - Veículos e Equipamentos'!W47+'04 - Veículos e Equipamentos'!W48)*'01 - Dados de Entrada'!$C$72*'01 - Dados de Entrada'!$C$288</f>
        <v>2497.1666666666665</v>
      </c>
      <c r="Y42" s="278">
        <f>('04 - Veículos e Equipamentos'!X47+'04 - Veículos e Equipamentos'!X48)*'01 - Dados de Entrada'!$C$72*'01 - Dados de Entrada'!$C$288</f>
        <v>2497.1666666666665</v>
      </c>
      <c r="Z42" s="278">
        <f>('04 - Veículos e Equipamentos'!Y47+'04 - Veículos e Equipamentos'!Y48)*'01 - Dados de Entrada'!$C$72*'01 - Dados de Entrada'!$C$288</f>
        <v>2497.1666666666665</v>
      </c>
      <c r="AA42" s="278">
        <f>('04 - Veículos e Equipamentos'!Z47+'04 - Veículos e Equipamentos'!Z48)*'01 - Dados de Entrada'!$C$72*'01 - Dados de Entrada'!$C$288</f>
        <v>2497.1666666666665</v>
      </c>
      <c r="AB42" s="278">
        <f>('04 - Veículos e Equipamentos'!AA47+'04 - Veículos e Equipamentos'!AA48)*'01 - Dados de Entrada'!$C$72*'01 - Dados de Entrada'!$C$288</f>
        <v>2497.1666666666665</v>
      </c>
      <c r="AC42" s="278">
        <f>('04 - Veículos e Equipamentos'!AB47+'04 - Veículos e Equipamentos'!AB48)*'01 - Dados de Entrada'!$C$72*'01 - Dados de Entrada'!$C$288</f>
        <v>2497.1666666666665</v>
      </c>
      <c r="AD42" s="278">
        <f>('04 - Veículos e Equipamentos'!AC47+'04 - Veículos e Equipamentos'!AC48)*'01 - Dados de Entrada'!$C$72*'01 - Dados de Entrada'!$C$288</f>
        <v>2497.1666666666665</v>
      </c>
      <c r="AE42" s="278">
        <f>('04 - Veículos e Equipamentos'!AD47+'04 - Veículos e Equipamentos'!AD48)*'01 - Dados de Entrada'!$C$72*'01 - Dados de Entrada'!$C$288</f>
        <v>2497.1666666666665</v>
      </c>
      <c r="AF42" s="278">
        <f>('04 - Veículos e Equipamentos'!AE47+'04 - Veículos e Equipamentos'!AE48)*'01 - Dados de Entrada'!$C$72*'01 - Dados de Entrada'!$C$288</f>
        <v>2497.1666666666665</v>
      </c>
      <c r="AG42" s="278">
        <f>('04 - Veículos e Equipamentos'!AF47+'04 - Veículos e Equipamentos'!AF48)*'01 - Dados de Entrada'!$C$72*'01 - Dados de Entrada'!$C$288</f>
        <v>2497.1666666666665</v>
      </c>
      <c r="AH42" s="278">
        <f>('04 - Veículos e Equipamentos'!AG47+'04 - Veículos e Equipamentos'!AG48)*'01 - Dados de Entrada'!$C$72*'01 - Dados de Entrada'!$C$288</f>
        <v>2497.1666666666665</v>
      </c>
      <c r="AI42" s="278">
        <f>('04 - Veículos e Equipamentos'!AH47+'04 - Veículos e Equipamentos'!AH48)*'01 - Dados de Entrada'!$C$72*'01 - Dados de Entrada'!$C$288</f>
        <v>2497.1666666666665</v>
      </c>
      <c r="AJ42" s="278">
        <f>('04 - Veículos e Equipamentos'!AI47+'04 - Veículos e Equipamentos'!AI48)*'01 - Dados de Entrada'!$C$72*'01 - Dados de Entrada'!$C$288</f>
        <v>2497.1666666666665</v>
      </c>
      <c r="AK42" s="278">
        <f>('04 - Veículos e Equipamentos'!AJ47+'04 - Veículos e Equipamentos'!AJ48)*'01 - Dados de Entrada'!$C$72*'01 - Dados de Entrada'!$C$288</f>
        <v>2497.1666666666665</v>
      </c>
    </row>
    <row r="43" spans="1:38" s="152" customFormat="1" ht="13.15" customHeight="1" x14ac:dyDescent="0.2">
      <c r="A43" s="34" t="s">
        <v>151</v>
      </c>
      <c r="B43" s="149">
        <f t="shared" si="3"/>
        <v>31160.324999999975</v>
      </c>
      <c r="C43" s="278">
        <f>('04 - Veículos e Equipamentos'!B49+'04 - Veículos e Equipamentos'!B50)*'01 - Dados de Entrada'!$C$73*'01 - Dados de Entrada'!$C$288</f>
        <v>890.29500000000007</v>
      </c>
      <c r="D43" s="278">
        <f>('04 - Veículos e Equipamentos'!C49+'04 - Veículos e Equipamentos'!C50)*'01 - Dados de Entrada'!$C$73*'01 - Dados de Entrada'!$C$288</f>
        <v>890.29500000000007</v>
      </c>
      <c r="E43" s="278">
        <f>('04 - Veículos e Equipamentos'!D49+'04 - Veículos e Equipamentos'!D50)*'01 - Dados de Entrada'!$C$73*'01 - Dados de Entrada'!$C$288</f>
        <v>890.29500000000007</v>
      </c>
      <c r="F43" s="278">
        <f>('04 - Veículos e Equipamentos'!E49+'04 - Veículos e Equipamentos'!E50)*'01 - Dados de Entrada'!$C$73*'01 - Dados de Entrada'!$C$288</f>
        <v>890.29500000000007</v>
      </c>
      <c r="G43" s="278">
        <f>('04 - Veículos e Equipamentos'!F49+'04 - Veículos e Equipamentos'!F50)*'01 - Dados de Entrada'!$C$73*'01 - Dados de Entrada'!$C$288</f>
        <v>890.29500000000007</v>
      </c>
      <c r="H43" s="278">
        <f>('04 - Veículos e Equipamentos'!G49+'04 - Veículos e Equipamentos'!G50)*'01 - Dados de Entrada'!$C$73*'01 - Dados de Entrada'!$C$288</f>
        <v>890.29500000000007</v>
      </c>
      <c r="I43" s="278">
        <f>('04 - Veículos e Equipamentos'!H49+'04 - Veículos e Equipamentos'!H50)*'01 - Dados de Entrada'!$C$73*'01 - Dados de Entrada'!$C$288</f>
        <v>890.29500000000007</v>
      </c>
      <c r="J43" s="278">
        <f>('04 - Veículos e Equipamentos'!I49+'04 - Veículos e Equipamentos'!I50)*'01 - Dados de Entrada'!$C$73*'01 - Dados de Entrada'!$C$288</f>
        <v>890.29500000000007</v>
      </c>
      <c r="K43" s="278">
        <f>('04 - Veículos e Equipamentos'!J49+'04 - Veículos e Equipamentos'!J50)*'01 - Dados de Entrada'!$C$73*'01 - Dados de Entrada'!$C$288</f>
        <v>890.29500000000007</v>
      </c>
      <c r="L43" s="278">
        <f>('04 - Veículos e Equipamentos'!K49+'04 - Veículos e Equipamentos'!K50)*'01 - Dados de Entrada'!$C$73*'01 - Dados de Entrada'!$C$288</f>
        <v>890.29500000000007</v>
      </c>
      <c r="M43" s="278">
        <f>('04 - Veículos e Equipamentos'!L49+'04 - Veículos e Equipamentos'!L50)*'01 - Dados de Entrada'!$C$73*'01 - Dados de Entrada'!$C$288</f>
        <v>890.29500000000007</v>
      </c>
      <c r="N43" s="278">
        <f>('04 - Veículos e Equipamentos'!M49+'04 - Veículos e Equipamentos'!M50)*'01 - Dados de Entrada'!$C$73*'01 - Dados de Entrada'!$C$288</f>
        <v>890.29500000000007</v>
      </c>
      <c r="O43" s="278">
        <f>('04 - Veículos e Equipamentos'!N49+'04 - Veículos e Equipamentos'!N50)*'01 - Dados de Entrada'!$C$73*'01 - Dados de Entrada'!$C$288</f>
        <v>890.29500000000007</v>
      </c>
      <c r="P43" s="278">
        <f>('04 - Veículos e Equipamentos'!O49+'04 - Veículos e Equipamentos'!O50)*'01 - Dados de Entrada'!$C$73*'01 - Dados de Entrada'!$C$288</f>
        <v>890.29500000000007</v>
      </c>
      <c r="Q43" s="278">
        <f>('04 - Veículos e Equipamentos'!P49+'04 - Veículos e Equipamentos'!P50)*'01 - Dados de Entrada'!$C$73*'01 - Dados de Entrada'!$C$288</f>
        <v>890.29500000000007</v>
      </c>
      <c r="R43" s="278">
        <f>('04 - Veículos e Equipamentos'!Q49+'04 - Veículos e Equipamentos'!Q50)*'01 - Dados de Entrada'!$C$73*'01 - Dados de Entrada'!$C$288</f>
        <v>890.29500000000007</v>
      </c>
      <c r="S43" s="278">
        <f>('04 - Veículos e Equipamentos'!R49+'04 - Veículos e Equipamentos'!R50)*'01 - Dados de Entrada'!$C$73*'01 - Dados de Entrada'!$C$288</f>
        <v>890.29500000000007</v>
      </c>
      <c r="T43" s="278">
        <f>('04 - Veículos e Equipamentos'!S49+'04 - Veículos e Equipamentos'!S50)*'01 - Dados de Entrada'!$C$73*'01 - Dados de Entrada'!$C$288</f>
        <v>890.29500000000007</v>
      </c>
      <c r="U43" s="278">
        <f>('04 - Veículos e Equipamentos'!T49+'04 - Veículos e Equipamentos'!T50)*'01 - Dados de Entrada'!$C$73*'01 - Dados de Entrada'!$C$288</f>
        <v>890.29500000000007</v>
      </c>
      <c r="V43" s="278">
        <f>('04 - Veículos e Equipamentos'!U49+'04 - Veículos e Equipamentos'!U50)*'01 - Dados de Entrada'!$C$73*'01 - Dados de Entrada'!$C$288</f>
        <v>890.29500000000007</v>
      </c>
      <c r="W43" s="278">
        <f>('04 - Veículos e Equipamentos'!V49+'04 - Veículos e Equipamentos'!V50)*'01 - Dados de Entrada'!$C$73*'01 - Dados de Entrada'!$C$288</f>
        <v>890.29500000000007</v>
      </c>
      <c r="X43" s="278">
        <f>('04 - Veículos e Equipamentos'!W49+'04 - Veículos e Equipamentos'!W50)*'01 - Dados de Entrada'!$C$73*'01 - Dados de Entrada'!$C$288</f>
        <v>890.29500000000007</v>
      </c>
      <c r="Y43" s="278">
        <f>('04 - Veículos e Equipamentos'!X49+'04 - Veículos e Equipamentos'!X50)*'01 - Dados de Entrada'!$C$73*'01 - Dados de Entrada'!$C$288</f>
        <v>890.29500000000007</v>
      </c>
      <c r="Z43" s="278">
        <f>('04 - Veículos e Equipamentos'!Y49+'04 - Veículos e Equipamentos'!Y50)*'01 - Dados de Entrada'!$C$73*'01 - Dados de Entrada'!$C$288</f>
        <v>890.29500000000007</v>
      </c>
      <c r="AA43" s="278">
        <f>('04 - Veículos e Equipamentos'!Z49+'04 - Veículos e Equipamentos'!Z50)*'01 - Dados de Entrada'!$C$73*'01 - Dados de Entrada'!$C$288</f>
        <v>890.29500000000007</v>
      </c>
      <c r="AB43" s="278">
        <f>('04 - Veículos e Equipamentos'!AA49+'04 - Veículos e Equipamentos'!AA50)*'01 - Dados de Entrada'!$C$73*'01 - Dados de Entrada'!$C$288</f>
        <v>890.29500000000007</v>
      </c>
      <c r="AC43" s="278">
        <f>('04 - Veículos e Equipamentos'!AB49+'04 - Veículos e Equipamentos'!AB50)*'01 - Dados de Entrada'!$C$73*'01 - Dados de Entrada'!$C$288</f>
        <v>890.29500000000007</v>
      </c>
      <c r="AD43" s="278">
        <f>('04 - Veículos e Equipamentos'!AC49+'04 - Veículos e Equipamentos'!AC50)*'01 - Dados de Entrada'!$C$73*'01 - Dados de Entrada'!$C$288</f>
        <v>890.29500000000007</v>
      </c>
      <c r="AE43" s="278">
        <f>('04 - Veículos e Equipamentos'!AD49+'04 - Veículos e Equipamentos'!AD50)*'01 - Dados de Entrada'!$C$73*'01 - Dados de Entrada'!$C$288</f>
        <v>890.29500000000007</v>
      </c>
      <c r="AF43" s="278">
        <f>('04 - Veículos e Equipamentos'!AE49+'04 - Veículos e Equipamentos'!AE50)*'01 - Dados de Entrada'!$C$73*'01 - Dados de Entrada'!$C$288</f>
        <v>890.29500000000007</v>
      </c>
      <c r="AG43" s="278">
        <f>('04 - Veículos e Equipamentos'!AF49+'04 - Veículos e Equipamentos'!AF50)*'01 - Dados de Entrada'!$C$73*'01 - Dados de Entrada'!$C$288</f>
        <v>890.29500000000007</v>
      </c>
      <c r="AH43" s="278">
        <f>('04 - Veículos e Equipamentos'!AG49+'04 - Veículos e Equipamentos'!AG50)*'01 - Dados de Entrada'!$C$73*'01 - Dados de Entrada'!$C$288</f>
        <v>890.29500000000007</v>
      </c>
      <c r="AI43" s="278">
        <f>('04 - Veículos e Equipamentos'!AH49+'04 - Veículos e Equipamentos'!AH50)*'01 - Dados de Entrada'!$C$73*'01 - Dados de Entrada'!$C$288</f>
        <v>890.29500000000007</v>
      </c>
      <c r="AJ43" s="278">
        <f>('04 - Veículos e Equipamentos'!AI49+'04 - Veículos e Equipamentos'!AI50)*'01 - Dados de Entrada'!$C$73*'01 - Dados de Entrada'!$C$288</f>
        <v>890.29500000000007</v>
      </c>
      <c r="AK43" s="278">
        <f>('04 - Veículos e Equipamentos'!AJ49+'04 - Veículos e Equipamentos'!AJ50)*'01 - Dados de Entrada'!$C$73*'01 - Dados de Entrada'!$C$288</f>
        <v>890.29500000000007</v>
      </c>
    </row>
    <row r="44" spans="1:38" s="152" customFormat="1" ht="13.15" customHeight="1" x14ac:dyDescent="0.2">
      <c r="A44" s="34" t="s">
        <v>565</v>
      </c>
      <c r="B44" s="149">
        <f t="shared" si="3"/>
        <v>2397500</v>
      </c>
      <c r="C44" s="278">
        <f>'04 - Veículos e Equipamentos'!B51*'01 - Dados de Entrada'!$C$74*'01 - Dados de Entrada'!$C$288</f>
        <v>68500</v>
      </c>
      <c r="D44" s="278">
        <f>'04 - Veículos e Equipamentos'!C51*'01 - Dados de Entrada'!$C$74*'01 - Dados de Entrada'!$C$288</f>
        <v>68500</v>
      </c>
      <c r="E44" s="278">
        <f>'04 - Veículos e Equipamentos'!D51*'01 - Dados de Entrada'!$C$74*'01 - Dados de Entrada'!$C$288</f>
        <v>68500</v>
      </c>
      <c r="F44" s="278">
        <f>'04 - Veículos e Equipamentos'!E51*'01 - Dados de Entrada'!$C$74*'01 - Dados de Entrada'!$C$288</f>
        <v>68500</v>
      </c>
      <c r="G44" s="278">
        <f>'04 - Veículos e Equipamentos'!F51*'01 - Dados de Entrada'!$C$74*'01 - Dados de Entrada'!$C$288</f>
        <v>68500</v>
      </c>
      <c r="H44" s="278">
        <f>'04 - Veículos e Equipamentos'!G51*'01 - Dados de Entrada'!$C$74*'01 - Dados de Entrada'!$C$288</f>
        <v>68500</v>
      </c>
      <c r="I44" s="278">
        <f>'04 - Veículos e Equipamentos'!H51*'01 - Dados de Entrada'!$C$74*'01 - Dados de Entrada'!$C$288</f>
        <v>68500</v>
      </c>
      <c r="J44" s="278">
        <f>'04 - Veículos e Equipamentos'!I51*'01 - Dados de Entrada'!$C$74*'01 - Dados de Entrada'!$C$288</f>
        <v>68500</v>
      </c>
      <c r="K44" s="278">
        <f>'04 - Veículos e Equipamentos'!J51*'01 - Dados de Entrada'!$C$74*'01 - Dados de Entrada'!$C$288</f>
        <v>68500</v>
      </c>
      <c r="L44" s="278">
        <f>'04 - Veículos e Equipamentos'!K51*'01 - Dados de Entrada'!$C$74*'01 - Dados de Entrada'!$C$288</f>
        <v>68500</v>
      </c>
      <c r="M44" s="278">
        <f>'04 - Veículos e Equipamentos'!L51*'01 - Dados de Entrada'!$C$74*'01 - Dados de Entrada'!$C$288</f>
        <v>68500</v>
      </c>
      <c r="N44" s="278">
        <f>'04 - Veículos e Equipamentos'!M51*'01 - Dados de Entrada'!$C$74*'01 - Dados de Entrada'!$C$288</f>
        <v>68500</v>
      </c>
      <c r="O44" s="278">
        <f>'04 - Veículos e Equipamentos'!N51*'01 - Dados de Entrada'!$C$74*'01 - Dados de Entrada'!$C$288</f>
        <v>68500</v>
      </c>
      <c r="P44" s="278">
        <f>'04 - Veículos e Equipamentos'!O51*'01 - Dados de Entrada'!$C$74*'01 - Dados de Entrada'!$C$288</f>
        <v>68500</v>
      </c>
      <c r="Q44" s="278">
        <f>'04 - Veículos e Equipamentos'!P51*'01 - Dados de Entrada'!$C$74*'01 - Dados de Entrada'!$C$288</f>
        <v>68500</v>
      </c>
      <c r="R44" s="278">
        <f>'04 - Veículos e Equipamentos'!Q51*'01 - Dados de Entrada'!$C$74*'01 - Dados de Entrada'!$C$288</f>
        <v>68500</v>
      </c>
      <c r="S44" s="278">
        <f>'04 - Veículos e Equipamentos'!R51*'01 - Dados de Entrada'!$C$74*'01 - Dados de Entrada'!$C$288</f>
        <v>68500</v>
      </c>
      <c r="T44" s="278">
        <f>'04 - Veículos e Equipamentos'!S51*'01 - Dados de Entrada'!$C$74*'01 - Dados de Entrada'!$C$288</f>
        <v>68500</v>
      </c>
      <c r="U44" s="278">
        <f>'04 - Veículos e Equipamentos'!T51*'01 - Dados de Entrada'!$C$74*'01 - Dados de Entrada'!$C$288</f>
        <v>68500</v>
      </c>
      <c r="V44" s="278">
        <f>'04 - Veículos e Equipamentos'!U51*'01 - Dados de Entrada'!$C$74*'01 - Dados de Entrada'!$C$288</f>
        <v>68500</v>
      </c>
      <c r="W44" s="278">
        <f>'04 - Veículos e Equipamentos'!V51*'01 - Dados de Entrada'!$C$74*'01 - Dados de Entrada'!$C$288</f>
        <v>68500</v>
      </c>
      <c r="X44" s="278">
        <f>'04 - Veículos e Equipamentos'!W51*'01 - Dados de Entrada'!$C$74*'01 - Dados de Entrada'!$C$288</f>
        <v>68500</v>
      </c>
      <c r="Y44" s="278">
        <f>'04 - Veículos e Equipamentos'!X51*'01 - Dados de Entrada'!$C$74*'01 - Dados de Entrada'!$C$288</f>
        <v>68500</v>
      </c>
      <c r="Z44" s="278">
        <f>'04 - Veículos e Equipamentos'!Y51*'01 - Dados de Entrada'!$C$74*'01 - Dados de Entrada'!$C$288</f>
        <v>68500</v>
      </c>
      <c r="AA44" s="278">
        <f>'04 - Veículos e Equipamentos'!Z51*'01 - Dados de Entrada'!$C$74*'01 - Dados de Entrada'!$C$288</f>
        <v>68500</v>
      </c>
      <c r="AB44" s="278">
        <f>'04 - Veículos e Equipamentos'!AA51*'01 - Dados de Entrada'!$C$74*'01 - Dados de Entrada'!$C$288</f>
        <v>68500</v>
      </c>
      <c r="AC44" s="278">
        <f>'04 - Veículos e Equipamentos'!AB51*'01 - Dados de Entrada'!$C$74*'01 - Dados de Entrada'!$C$288</f>
        <v>68500</v>
      </c>
      <c r="AD44" s="278">
        <f>'04 - Veículos e Equipamentos'!AC51*'01 - Dados de Entrada'!$C$74*'01 - Dados de Entrada'!$C$288</f>
        <v>68500</v>
      </c>
      <c r="AE44" s="278">
        <f>'04 - Veículos e Equipamentos'!AD51*'01 - Dados de Entrada'!$C$74*'01 - Dados de Entrada'!$C$288</f>
        <v>68500</v>
      </c>
      <c r="AF44" s="278">
        <f>'04 - Veículos e Equipamentos'!AE51*'01 - Dados de Entrada'!$C$74*'01 - Dados de Entrada'!$C$288</f>
        <v>68500</v>
      </c>
      <c r="AG44" s="278">
        <f>'04 - Veículos e Equipamentos'!AF51*'01 - Dados de Entrada'!$C$74*'01 - Dados de Entrada'!$C$288</f>
        <v>68500</v>
      </c>
      <c r="AH44" s="278">
        <f>'04 - Veículos e Equipamentos'!AG51*'01 - Dados de Entrada'!$C$74*'01 - Dados de Entrada'!$C$288</f>
        <v>68500</v>
      </c>
      <c r="AI44" s="278">
        <f>'04 - Veículos e Equipamentos'!AH51*'01 - Dados de Entrada'!$C$74*'01 - Dados de Entrada'!$C$288</f>
        <v>68500</v>
      </c>
      <c r="AJ44" s="278">
        <f>'04 - Veículos e Equipamentos'!AI51*'01 - Dados de Entrada'!$C$74*'01 - Dados de Entrada'!$C$288</f>
        <v>68500</v>
      </c>
      <c r="AK44" s="278">
        <f>'04 - Veículos e Equipamentos'!AJ51*'01 - Dados de Entrada'!$C$74*'01 - Dados de Entrada'!$C$288</f>
        <v>68500</v>
      </c>
    </row>
    <row r="45" spans="1:38" s="158" customFormat="1" ht="13.15" customHeight="1" x14ac:dyDescent="0.2">
      <c r="A45" s="34" t="s">
        <v>582</v>
      </c>
      <c r="B45" s="149">
        <f t="shared" si="3"/>
        <v>1275308.9999999998</v>
      </c>
      <c r="C45" s="278">
        <f>'04 - Veículos e Equipamentos'!B52*'01 - Dados de Entrada'!$C$75*'01 - Dados de Entrada'!$C$288</f>
        <v>36437.4</v>
      </c>
      <c r="D45" s="278">
        <f>'04 - Veículos e Equipamentos'!C52*'01 - Dados de Entrada'!$C$75*'01 - Dados de Entrada'!$C$288</f>
        <v>36437.4</v>
      </c>
      <c r="E45" s="278">
        <f>'04 - Veículos e Equipamentos'!D52*'01 - Dados de Entrada'!$C$75*'01 - Dados de Entrada'!$C$288</f>
        <v>36437.4</v>
      </c>
      <c r="F45" s="278">
        <f>'04 - Veículos e Equipamentos'!E52*'01 - Dados de Entrada'!$C$75*'01 - Dados de Entrada'!$C$288</f>
        <v>36437.4</v>
      </c>
      <c r="G45" s="278">
        <f>'04 - Veículos e Equipamentos'!F52*'01 - Dados de Entrada'!$C$75*'01 - Dados de Entrada'!$C$288</f>
        <v>36437.4</v>
      </c>
      <c r="H45" s="278">
        <f>'04 - Veículos e Equipamentos'!G52*'01 - Dados de Entrada'!$C$75*'01 - Dados de Entrada'!$C$288</f>
        <v>36437.4</v>
      </c>
      <c r="I45" s="278">
        <f>'04 - Veículos e Equipamentos'!H52*'01 - Dados de Entrada'!$C$75*'01 - Dados de Entrada'!$C$288</f>
        <v>36437.4</v>
      </c>
      <c r="J45" s="278">
        <f>'04 - Veículos e Equipamentos'!I52*'01 - Dados de Entrada'!$C$75*'01 - Dados de Entrada'!$C$288</f>
        <v>36437.4</v>
      </c>
      <c r="K45" s="278">
        <f>'04 - Veículos e Equipamentos'!J52*'01 - Dados de Entrada'!$C$75*'01 - Dados de Entrada'!$C$288</f>
        <v>36437.4</v>
      </c>
      <c r="L45" s="278">
        <f>'04 - Veículos e Equipamentos'!K52*'01 - Dados de Entrada'!$C$75*'01 - Dados de Entrada'!$C$288</f>
        <v>36437.4</v>
      </c>
      <c r="M45" s="278">
        <f>'04 - Veículos e Equipamentos'!L52*'01 - Dados de Entrada'!$C$75*'01 - Dados de Entrada'!$C$288</f>
        <v>36437.4</v>
      </c>
      <c r="N45" s="278">
        <f>'04 - Veículos e Equipamentos'!M52*'01 - Dados de Entrada'!$C$75*'01 - Dados de Entrada'!$C$288</f>
        <v>36437.4</v>
      </c>
      <c r="O45" s="278">
        <f>'04 - Veículos e Equipamentos'!N52*'01 - Dados de Entrada'!$C$75*'01 - Dados de Entrada'!$C$288</f>
        <v>36437.4</v>
      </c>
      <c r="P45" s="278">
        <f>'04 - Veículos e Equipamentos'!O52*'01 - Dados de Entrada'!$C$75*'01 - Dados de Entrada'!$C$288</f>
        <v>36437.4</v>
      </c>
      <c r="Q45" s="278">
        <f>'04 - Veículos e Equipamentos'!P52*'01 - Dados de Entrada'!$C$75*'01 - Dados de Entrada'!$C$288</f>
        <v>36437.4</v>
      </c>
      <c r="R45" s="278">
        <f>'04 - Veículos e Equipamentos'!Q52*'01 - Dados de Entrada'!$C$75*'01 - Dados de Entrada'!$C$288</f>
        <v>36437.4</v>
      </c>
      <c r="S45" s="278">
        <f>'04 - Veículos e Equipamentos'!R52*'01 - Dados de Entrada'!$C$75*'01 - Dados de Entrada'!$C$288</f>
        <v>36437.4</v>
      </c>
      <c r="T45" s="278">
        <f>'04 - Veículos e Equipamentos'!S52*'01 - Dados de Entrada'!$C$75*'01 - Dados de Entrada'!$C$288</f>
        <v>36437.4</v>
      </c>
      <c r="U45" s="278">
        <f>'04 - Veículos e Equipamentos'!T52*'01 - Dados de Entrada'!$C$75*'01 - Dados de Entrada'!$C$288</f>
        <v>36437.4</v>
      </c>
      <c r="V45" s="278">
        <f>'04 - Veículos e Equipamentos'!U52*'01 - Dados de Entrada'!$C$75*'01 - Dados de Entrada'!$C$288</f>
        <v>36437.4</v>
      </c>
      <c r="W45" s="278">
        <f>'04 - Veículos e Equipamentos'!V52*'01 - Dados de Entrada'!$C$75*'01 - Dados de Entrada'!$C$288</f>
        <v>36437.4</v>
      </c>
      <c r="X45" s="278">
        <f>'04 - Veículos e Equipamentos'!W52*'01 - Dados de Entrada'!$C$75*'01 - Dados de Entrada'!$C$288</f>
        <v>36437.4</v>
      </c>
      <c r="Y45" s="278">
        <f>'04 - Veículos e Equipamentos'!X52*'01 - Dados de Entrada'!$C$75*'01 - Dados de Entrada'!$C$288</f>
        <v>36437.4</v>
      </c>
      <c r="Z45" s="278">
        <f>'04 - Veículos e Equipamentos'!Y52*'01 - Dados de Entrada'!$C$75*'01 - Dados de Entrada'!$C$288</f>
        <v>36437.4</v>
      </c>
      <c r="AA45" s="278">
        <f>'04 - Veículos e Equipamentos'!Z52*'01 - Dados de Entrada'!$C$75*'01 - Dados de Entrada'!$C$288</f>
        <v>36437.4</v>
      </c>
      <c r="AB45" s="278">
        <f>'04 - Veículos e Equipamentos'!AA52*'01 - Dados de Entrada'!$C$75*'01 - Dados de Entrada'!$C$288</f>
        <v>36437.4</v>
      </c>
      <c r="AC45" s="278">
        <f>'04 - Veículos e Equipamentos'!AB52*'01 - Dados de Entrada'!$C$75*'01 - Dados de Entrada'!$C$288</f>
        <v>36437.4</v>
      </c>
      <c r="AD45" s="278">
        <f>'04 - Veículos e Equipamentos'!AC52*'01 - Dados de Entrada'!$C$75*'01 - Dados de Entrada'!$C$288</f>
        <v>36437.4</v>
      </c>
      <c r="AE45" s="278">
        <f>'04 - Veículos e Equipamentos'!AD52*'01 - Dados de Entrada'!$C$75*'01 - Dados de Entrada'!$C$288</f>
        <v>36437.4</v>
      </c>
      <c r="AF45" s="278">
        <f>'04 - Veículos e Equipamentos'!AE52*'01 - Dados de Entrada'!$C$75*'01 - Dados de Entrada'!$C$288</f>
        <v>36437.4</v>
      </c>
      <c r="AG45" s="278">
        <f>'04 - Veículos e Equipamentos'!AF52*'01 - Dados de Entrada'!$C$75*'01 - Dados de Entrada'!$C$288</f>
        <v>36437.4</v>
      </c>
      <c r="AH45" s="278">
        <f>'04 - Veículos e Equipamentos'!AG52*'01 - Dados de Entrada'!$C$75*'01 - Dados de Entrada'!$C$288</f>
        <v>36437.4</v>
      </c>
      <c r="AI45" s="278">
        <f>'04 - Veículos e Equipamentos'!AH52*'01 - Dados de Entrada'!$C$75*'01 - Dados de Entrada'!$C$288</f>
        <v>36437.4</v>
      </c>
      <c r="AJ45" s="278">
        <f>'04 - Veículos e Equipamentos'!AI52*'01 - Dados de Entrada'!$C$75*'01 - Dados de Entrada'!$C$288</f>
        <v>36437.4</v>
      </c>
      <c r="AK45" s="278">
        <f>'04 - Veículos e Equipamentos'!AJ52*'01 - Dados de Entrada'!$C$75*'01 - Dados de Entrada'!$C$288</f>
        <v>36437.4</v>
      </c>
      <c r="AL45" s="403"/>
    </row>
    <row r="46" spans="1:38" s="152" customFormat="1" ht="13.15" customHeight="1" x14ac:dyDescent="0.2">
      <c r="A46" s="36" t="s">
        <v>819</v>
      </c>
      <c r="B46" s="149">
        <f t="shared" si="3"/>
        <v>59916.500000000036</v>
      </c>
      <c r="C46" s="278">
        <f>'04 - Veículos e Equipamentos'!B53*'01 - Dados de Entrada'!$C$57*'01 - Dados de Entrada'!$C$288</f>
        <v>1711.9</v>
      </c>
      <c r="D46" s="278">
        <f>'04 - Veículos e Equipamentos'!C53*'01 - Dados de Entrada'!$C$57*'01 - Dados de Entrada'!$C$288</f>
        <v>1711.9</v>
      </c>
      <c r="E46" s="278">
        <f>'04 - Veículos e Equipamentos'!D53*'01 - Dados de Entrada'!$C$57*'01 - Dados de Entrada'!$C$288</f>
        <v>1711.9</v>
      </c>
      <c r="F46" s="278">
        <f>'04 - Veículos e Equipamentos'!E53*'01 - Dados de Entrada'!$C$57*'01 - Dados de Entrada'!$C$288</f>
        <v>1711.9</v>
      </c>
      <c r="G46" s="278">
        <f>'04 - Veículos e Equipamentos'!F53*'01 - Dados de Entrada'!$C$57*'01 - Dados de Entrada'!$C$288</f>
        <v>1711.9</v>
      </c>
      <c r="H46" s="278">
        <f>'04 - Veículos e Equipamentos'!G53*'01 - Dados de Entrada'!$C$57*'01 - Dados de Entrada'!$C$288</f>
        <v>1711.9</v>
      </c>
      <c r="I46" s="278">
        <f>'04 - Veículos e Equipamentos'!H53*'01 - Dados de Entrada'!$C$57*'01 - Dados de Entrada'!$C$288</f>
        <v>1711.9</v>
      </c>
      <c r="J46" s="278">
        <f>'04 - Veículos e Equipamentos'!I53*'01 - Dados de Entrada'!$C$57*'01 - Dados de Entrada'!$C$288</f>
        <v>1711.9</v>
      </c>
      <c r="K46" s="278">
        <f>'04 - Veículos e Equipamentos'!J53*'01 - Dados de Entrada'!$C$57*'01 - Dados de Entrada'!$C$288</f>
        <v>1711.9</v>
      </c>
      <c r="L46" s="278">
        <f>'04 - Veículos e Equipamentos'!K53*'01 - Dados de Entrada'!$C$57*'01 - Dados de Entrada'!$C$288</f>
        <v>1711.9</v>
      </c>
      <c r="M46" s="278">
        <f>'04 - Veículos e Equipamentos'!L53*'01 - Dados de Entrada'!$C$57*'01 - Dados de Entrada'!$C$288</f>
        <v>1711.9</v>
      </c>
      <c r="N46" s="278">
        <f>'04 - Veículos e Equipamentos'!M53*'01 - Dados de Entrada'!$C$57*'01 - Dados de Entrada'!$C$288</f>
        <v>1711.9</v>
      </c>
      <c r="O46" s="278">
        <f>'04 - Veículos e Equipamentos'!N53*'01 - Dados de Entrada'!$C$57*'01 - Dados de Entrada'!$C$288</f>
        <v>1711.9</v>
      </c>
      <c r="P46" s="278">
        <f>'04 - Veículos e Equipamentos'!O53*'01 - Dados de Entrada'!$C$57*'01 - Dados de Entrada'!$C$288</f>
        <v>1711.9</v>
      </c>
      <c r="Q46" s="278">
        <f>'04 - Veículos e Equipamentos'!P53*'01 - Dados de Entrada'!$C$57*'01 - Dados de Entrada'!$C$288</f>
        <v>1711.9</v>
      </c>
      <c r="R46" s="278">
        <f>'04 - Veículos e Equipamentos'!Q53*'01 - Dados de Entrada'!$C$57*'01 - Dados de Entrada'!$C$288</f>
        <v>1711.9</v>
      </c>
      <c r="S46" s="278">
        <f>'04 - Veículos e Equipamentos'!R53*'01 - Dados de Entrada'!$C$57*'01 - Dados de Entrada'!$C$288</f>
        <v>1711.9</v>
      </c>
      <c r="T46" s="278">
        <f>'04 - Veículos e Equipamentos'!S53*'01 - Dados de Entrada'!$C$57*'01 - Dados de Entrada'!$C$288</f>
        <v>1711.9</v>
      </c>
      <c r="U46" s="278">
        <f>'04 - Veículos e Equipamentos'!T53*'01 - Dados de Entrada'!$C$57*'01 - Dados de Entrada'!$C$288</f>
        <v>1711.9</v>
      </c>
      <c r="V46" s="278">
        <f>'04 - Veículos e Equipamentos'!U53*'01 - Dados de Entrada'!$C$57*'01 - Dados de Entrada'!$C$288</f>
        <v>1711.9</v>
      </c>
      <c r="W46" s="278">
        <f>'04 - Veículos e Equipamentos'!V53*'01 - Dados de Entrada'!$C$57*'01 - Dados de Entrada'!$C$288</f>
        <v>1711.9</v>
      </c>
      <c r="X46" s="278">
        <f>'04 - Veículos e Equipamentos'!W53*'01 - Dados de Entrada'!$C$57*'01 - Dados de Entrada'!$C$288</f>
        <v>1711.9</v>
      </c>
      <c r="Y46" s="278">
        <f>'04 - Veículos e Equipamentos'!X53*'01 - Dados de Entrada'!$C$57*'01 - Dados de Entrada'!$C$288</f>
        <v>1711.9</v>
      </c>
      <c r="Z46" s="278">
        <f>'04 - Veículos e Equipamentos'!Y53*'01 - Dados de Entrada'!$C$57*'01 - Dados de Entrada'!$C$288</f>
        <v>1711.9</v>
      </c>
      <c r="AA46" s="278">
        <f>'04 - Veículos e Equipamentos'!Z53*'01 - Dados de Entrada'!$C$57*'01 - Dados de Entrada'!$C$288</f>
        <v>1711.9</v>
      </c>
      <c r="AB46" s="278">
        <f>'04 - Veículos e Equipamentos'!AA53*'01 - Dados de Entrada'!$C$57*'01 - Dados de Entrada'!$C$288</f>
        <v>1711.9</v>
      </c>
      <c r="AC46" s="278">
        <f>'04 - Veículos e Equipamentos'!AB53*'01 - Dados de Entrada'!$C$57*'01 - Dados de Entrada'!$C$288</f>
        <v>1711.9</v>
      </c>
      <c r="AD46" s="278">
        <f>'04 - Veículos e Equipamentos'!AC53*'01 - Dados de Entrada'!$C$57*'01 - Dados de Entrada'!$C$288</f>
        <v>1711.9</v>
      </c>
      <c r="AE46" s="278">
        <f>'04 - Veículos e Equipamentos'!AD53*'01 - Dados de Entrada'!$C$57*'01 - Dados de Entrada'!$C$288</f>
        <v>1711.9</v>
      </c>
      <c r="AF46" s="278">
        <f>'04 - Veículos e Equipamentos'!AE53*'01 - Dados de Entrada'!$C$57*'01 - Dados de Entrada'!$C$288</f>
        <v>1711.9</v>
      </c>
      <c r="AG46" s="278">
        <f>'04 - Veículos e Equipamentos'!AF53*'01 - Dados de Entrada'!$C$57*'01 - Dados de Entrada'!$C$288</f>
        <v>1711.9</v>
      </c>
      <c r="AH46" s="278">
        <f>'04 - Veículos e Equipamentos'!AG53*'01 - Dados de Entrada'!$C$57*'01 - Dados de Entrada'!$C$288</f>
        <v>1711.9</v>
      </c>
      <c r="AI46" s="278">
        <f>'04 - Veículos e Equipamentos'!AH53*'01 - Dados de Entrada'!$C$57*'01 - Dados de Entrada'!$C$288</f>
        <v>1711.9</v>
      </c>
      <c r="AJ46" s="278">
        <f>'04 - Veículos e Equipamentos'!AI53*'01 - Dados de Entrada'!$C$57*'01 - Dados de Entrada'!$C$288</f>
        <v>1711.9</v>
      </c>
      <c r="AK46" s="278">
        <f>'04 - Veículos e Equipamentos'!AJ53*'01 - Dados de Entrada'!$C$57*'01 - Dados de Entrada'!$C$288</f>
        <v>1711.9</v>
      </c>
    </row>
    <row r="47" spans="1:38" ht="13.15" customHeight="1" x14ac:dyDescent="0.2">
      <c r="A47" s="323" t="s">
        <v>578</v>
      </c>
      <c r="B47" s="493"/>
      <c r="C47" s="493"/>
      <c r="D47" s="493"/>
      <c r="E47" s="493"/>
      <c r="F47" s="493"/>
      <c r="G47" s="493"/>
      <c r="H47" s="493"/>
      <c r="I47" s="493"/>
      <c r="J47" s="493"/>
      <c r="K47" s="493"/>
      <c r="L47" s="493"/>
      <c r="M47" s="493"/>
      <c r="N47" s="493"/>
      <c r="O47" s="493"/>
      <c r="P47" s="493"/>
      <c r="Q47" s="493"/>
      <c r="R47" s="493"/>
      <c r="S47" s="493"/>
      <c r="T47" s="493"/>
      <c r="U47" s="493"/>
      <c r="V47" s="493"/>
      <c r="W47" s="493"/>
      <c r="X47" s="493"/>
      <c r="Y47" s="493"/>
      <c r="Z47" s="493"/>
      <c r="AA47" s="493"/>
      <c r="AB47" s="493"/>
      <c r="AC47" s="493"/>
      <c r="AD47" s="493"/>
      <c r="AE47" s="493"/>
      <c r="AF47" s="493"/>
      <c r="AG47" s="493"/>
      <c r="AH47" s="493"/>
      <c r="AI47" s="493"/>
      <c r="AJ47" s="493"/>
      <c r="AK47" s="493"/>
      <c r="AL47" s="493"/>
    </row>
    <row r="48" spans="1:38" s="158" customFormat="1" ht="13.15" customHeight="1" x14ac:dyDescent="0.2">
      <c r="A48" s="34" t="s">
        <v>580</v>
      </c>
      <c r="B48" s="149">
        <f>SUM(C48:AK48)</f>
        <v>2166370.2550000018</v>
      </c>
      <c r="C48" s="278">
        <f>'04 - Veículos e Equipamentos'!B55*('01 - Dados de Entrada'!$C$65+'01 - Dados de Entrada'!$C$67)*'01 - Dados de Entrada'!$C$288</f>
        <v>61896.293000000005</v>
      </c>
      <c r="D48" s="278">
        <f>'04 - Veículos e Equipamentos'!C55*('01 - Dados de Entrada'!$C$65+'01 - Dados de Entrada'!$C$67)*'01 - Dados de Entrada'!$C$288</f>
        <v>61896.293000000005</v>
      </c>
      <c r="E48" s="278">
        <f>'04 - Veículos e Equipamentos'!D55*('01 - Dados de Entrada'!$C$65+'01 - Dados de Entrada'!$C$67)*'01 - Dados de Entrada'!$C$288</f>
        <v>61896.293000000005</v>
      </c>
      <c r="F48" s="278">
        <f>'04 - Veículos e Equipamentos'!E55*('01 - Dados de Entrada'!$C$65+'01 - Dados de Entrada'!$C$67)*'01 - Dados de Entrada'!$C$288</f>
        <v>61896.293000000005</v>
      </c>
      <c r="G48" s="278">
        <f>'04 - Veículos e Equipamentos'!F55*('01 - Dados de Entrada'!$C$65+'01 - Dados de Entrada'!$C$67)*'01 - Dados de Entrada'!$C$288</f>
        <v>61896.293000000005</v>
      </c>
      <c r="H48" s="278">
        <f>'04 - Veículos e Equipamentos'!G55*('01 - Dados de Entrada'!$C$65+'01 - Dados de Entrada'!$C$67)*'01 - Dados de Entrada'!$C$288</f>
        <v>61896.293000000005</v>
      </c>
      <c r="I48" s="278">
        <f>'04 - Veículos e Equipamentos'!H55*('01 - Dados de Entrada'!$C$65+'01 - Dados de Entrada'!$C$67)*'01 - Dados de Entrada'!$C$288</f>
        <v>61896.293000000005</v>
      </c>
      <c r="J48" s="278">
        <f>'04 - Veículos e Equipamentos'!I55*('01 - Dados de Entrada'!$C$65+'01 - Dados de Entrada'!$C$67)*'01 - Dados de Entrada'!$C$288</f>
        <v>61896.293000000005</v>
      </c>
      <c r="K48" s="278">
        <f>'04 - Veículos e Equipamentos'!J55*('01 - Dados de Entrada'!$C$65+'01 - Dados de Entrada'!$C$67)*'01 - Dados de Entrada'!$C$288</f>
        <v>61896.293000000005</v>
      </c>
      <c r="L48" s="278">
        <f>'04 - Veículos e Equipamentos'!K55*('01 - Dados de Entrada'!$C$65+'01 - Dados de Entrada'!$C$67)*'01 - Dados de Entrada'!$C$288</f>
        <v>61896.293000000005</v>
      </c>
      <c r="M48" s="278">
        <f>'04 - Veículos e Equipamentos'!L55*('01 - Dados de Entrada'!$C$65+'01 - Dados de Entrada'!$C$67)*'01 - Dados de Entrada'!$C$288</f>
        <v>61896.293000000005</v>
      </c>
      <c r="N48" s="278">
        <f>'04 - Veículos e Equipamentos'!M55*('01 - Dados de Entrada'!$C$65+'01 - Dados de Entrada'!$C$67)*'01 - Dados de Entrada'!$C$288</f>
        <v>61896.293000000005</v>
      </c>
      <c r="O48" s="278">
        <f>'04 - Veículos e Equipamentos'!N55*('01 - Dados de Entrada'!$C$65+'01 - Dados de Entrada'!$C$67)*'01 - Dados de Entrada'!$C$288</f>
        <v>61896.293000000005</v>
      </c>
      <c r="P48" s="278">
        <f>'04 - Veículos e Equipamentos'!O55*('01 - Dados de Entrada'!$C$65+'01 - Dados de Entrada'!$C$67)*'01 - Dados de Entrada'!$C$288</f>
        <v>61896.293000000005</v>
      </c>
      <c r="Q48" s="278">
        <f>'04 - Veículos e Equipamentos'!P55*('01 - Dados de Entrada'!$C$65+'01 - Dados de Entrada'!$C$67)*'01 - Dados de Entrada'!$C$288</f>
        <v>61896.293000000005</v>
      </c>
      <c r="R48" s="278">
        <f>'04 - Veículos e Equipamentos'!Q55*('01 - Dados de Entrada'!$C$65+'01 - Dados de Entrada'!$C$67)*'01 - Dados de Entrada'!$C$288</f>
        <v>61896.293000000005</v>
      </c>
      <c r="S48" s="278">
        <f>'04 - Veículos e Equipamentos'!R55*('01 - Dados de Entrada'!$C$65+'01 - Dados de Entrada'!$C$67)*'01 - Dados de Entrada'!$C$288</f>
        <v>61896.293000000005</v>
      </c>
      <c r="T48" s="278">
        <f>'04 - Veículos e Equipamentos'!S55*('01 - Dados de Entrada'!$C$65+'01 - Dados de Entrada'!$C$67)*'01 - Dados de Entrada'!$C$288</f>
        <v>61896.293000000005</v>
      </c>
      <c r="U48" s="278">
        <f>'04 - Veículos e Equipamentos'!T55*('01 - Dados de Entrada'!$C$65+'01 - Dados de Entrada'!$C$67)*'01 - Dados de Entrada'!$C$288</f>
        <v>61896.293000000005</v>
      </c>
      <c r="V48" s="278">
        <f>'04 - Veículos e Equipamentos'!U55*('01 - Dados de Entrada'!$C$65+'01 - Dados de Entrada'!$C$67)*'01 - Dados de Entrada'!$C$288</f>
        <v>61896.293000000005</v>
      </c>
      <c r="W48" s="278">
        <f>'04 - Veículos e Equipamentos'!V55*('01 - Dados de Entrada'!$C$65+'01 - Dados de Entrada'!$C$67)*'01 - Dados de Entrada'!$C$288</f>
        <v>61896.293000000005</v>
      </c>
      <c r="X48" s="278">
        <f>'04 - Veículos e Equipamentos'!W55*('01 - Dados de Entrada'!$C$65+'01 - Dados de Entrada'!$C$67)*'01 - Dados de Entrada'!$C$288</f>
        <v>61896.293000000005</v>
      </c>
      <c r="Y48" s="278">
        <f>'04 - Veículos e Equipamentos'!X55*('01 - Dados de Entrada'!$C$65+'01 - Dados de Entrada'!$C$67)*'01 - Dados de Entrada'!$C$288</f>
        <v>61896.293000000005</v>
      </c>
      <c r="Z48" s="278">
        <f>'04 - Veículos e Equipamentos'!Y55*('01 - Dados de Entrada'!$C$65+'01 - Dados de Entrada'!$C$67)*'01 - Dados de Entrada'!$C$288</f>
        <v>61896.293000000005</v>
      </c>
      <c r="AA48" s="278">
        <f>'04 - Veículos e Equipamentos'!Z55*('01 - Dados de Entrada'!$C$65+'01 - Dados de Entrada'!$C$67)*'01 - Dados de Entrada'!$C$288</f>
        <v>61896.293000000005</v>
      </c>
      <c r="AB48" s="278">
        <f>'04 - Veículos e Equipamentos'!AA55*('01 - Dados de Entrada'!$C$65+'01 - Dados de Entrada'!$C$67)*'01 - Dados de Entrada'!$C$288</f>
        <v>61896.293000000005</v>
      </c>
      <c r="AC48" s="278">
        <f>'04 - Veículos e Equipamentos'!AB55*('01 - Dados de Entrada'!$C$65+'01 - Dados de Entrada'!$C$67)*'01 - Dados de Entrada'!$C$288</f>
        <v>61896.293000000005</v>
      </c>
      <c r="AD48" s="278">
        <f>'04 - Veículos e Equipamentos'!AC55*('01 - Dados de Entrada'!$C$65+'01 - Dados de Entrada'!$C$67)*'01 - Dados de Entrada'!$C$288</f>
        <v>61896.293000000005</v>
      </c>
      <c r="AE48" s="278">
        <f>'04 - Veículos e Equipamentos'!AD55*('01 - Dados de Entrada'!$C$65+'01 - Dados de Entrada'!$C$67)*'01 - Dados de Entrada'!$C$288</f>
        <v>61896.293000000005</v>
      </c>
      <c r="AF48" s="278">
        <f>'04 - Veículos e Equipamentos'!AE55*('01 - Dados de Entrada'!$C$65+'01 - Dados de Entrada'!$C$67)*'01 - Dados de Entrada'!$C$288</f>
        <v>61896.293000000005</v>
      </c>
      <c r="AG48" s="278">
        <f>'04 - Veículos e Equipamentos'!AF55*('01 - Dados de Entrada'!$C$65+'01 - Dados de Entrada'!$C$67)*'01 - Dados de Entrada'!$C$288</f>
        <v>61896.293000000005</v>
      </c>
      <c r="AH48" s="278">
        <f>'04 - Veículos e Equipamentos'!AG55*('01 - Dados de Entrada'!$C$65+'01 - Dados de Entrada'!$C$67)*'01 - Dados de Entrada'!$C$288</f>
        <v>61896.293000000005</v>
      </c>
      <c r="AI48" s="278">
        <f>'04 - Veículos e Equipamentos'!AH55*('01 - Dados de Entrada'!$C$65+'01 - Dados de Entrada'!$C$67)*'01 - Dados de Entrada'!$C$288</f>
        <v>61896.293000000005</v>
      </c>
      <c r="AJ48" s="278">
        <f>'04 - Veículos e Equipamentos'!AI55*('01 - Dados de Entrada'!$C$65+'01 - Dados de Entrada'!$C$67)*'01 - Dados de Entrada'!$C$288</f>
        <v>61896.293000000005</v>
      </c>
      <c r="AK48" s="278">
        <f>'04 - Veículos e Equipamentos'!AJ55*('01 - Dados de Entrada'!$C$65+'01 - Dados de Entrada'!$C$67)*'01 - Dados de Entrada'!$C$288</f>
        <v>61896.293000000005</v>
      </c>
      <c r="AL48" s="403"/>
    </row>
    <row r="49" spans="1:37" s="158" customFormat="1" ht="13.15" customHeight="1" x14ac:dyDescent="0.2">
      <c r="A49" s="34" t="s">
        <v>582</v>
      </c>
      <c r="B49" s="149">
        <f>SUM(C49:AK49)</f>
        <v>637654.49999999988</v>
      </c>
      <c r="C49" s="278">
        <f>'04 - Veículos e Equipamentos'!B56*('01 - Dados de Entrada'!$C$75)*'01 - Dados de Entrada'!$C$288</f>
        <v>18218.7</v>
      </c>
      <c r="D49" s="278">
        <f>'04 - Veículos e Equipamentos'!C56*('01 - Dados de Entrada'!$C$75)*'01 - Dados de Entrada'!$C$288</f>
        <v>18218.7</v>
      </c>
      <c r="E49" s="278">
        <f>'04 - Veículos e Equipamentos'!D56*('01 - Dados de Entrada'!$C$75)*'01 - Dados de Entrada'!$C$288</f>
        <v>18218.7</v>
      </c>
      <c r="F49" s="278">
        <f>'04 - Veículos e Equipamentos'!E56*('01 - Dados de Entrada'!$C$75)*'01 - Dados de Entrada'!$C$288</f>
        <v>18218.7</v>
      </c>
      <c r="G49" s="278">
        <f>'04 - Veículos e Equipamentos'!F56*('01 - Dados de Entrada'!$C$75)*'01 - Dados de Entrada'!$C$288</f>
        <v>18218.7</v>
      </c>
      <c r="H49" s="278">
        <f>'04 - Veículos e Equipamentos'!G56*('01 - Dados de Entrada'!$C$75)*'01 - Dados de Entrada'!$C$288</f>
        <v>18218.7</v>
      </c>
      <c r="I49" s="278">
        <f>'04 - Veículos e Equipamentos'!H56*('01 - Dados de Entrada'!$C$75)*'01 - Dados de Entrada'!$C$288</f>
        <v>18218.7</v>
      </c>
      <c r="J49" s="278">
        <f>'04 - Veículos e Equipamentos'!I56*('01 - Dados de Entrada'!$C$75)*'01 - Dados de Entrada'!$C$288</f>
        <v>18218.7</v>
      </c>
      <c r="K49" s="278">
        <f>'04 - Veículos e Equipamentos'!J56*('01 - Dados de Entrada'!$C$75)*'01 - Dados de Entrada'!$C$288</f>
        <v>18218.7</v>
      </c>
      <c r="L49" s="278">
        <f>'04 - Veículos e Equipamentos'!K56*('01 - Dados de Entrada'!$C$75)*'01 - Dados de Entrada'!$C$288</f>
        <v>18218.7</v>
      </c>
      <c r="M49" s="278">
        <f>'04 - Veículos e Equipamentos'!L56*('01 - Dados de Entrada'!$C$75)*'01 - Dados de Entrada'!$C$288</f>
        <v>18218.7</v>
      </c>
      <c r="N49" s="278">
        <f>'04 - Veículos e Equipamentos'!M56*('01 - Dados de Entrada'!$C$75)*'01 - Dados de Entrada'!$C$288</f>
        <v>18218.7</v>
      </c>
      <c r="O49" s="278">
        <f>'04 - Veículos e Equipamentos'!N56*('01 - Dados de Entrada'!$C$75)*'01 - Dados de Entrada'!$C$288</f>
        <v>18218.7</v>
      </c>
      <c r="P49" s="278">
        <f>'04 - Veículos e Equipamentos'!O56*('01 - Dados de Entrada'!$C$75)*'01 - Dados de Entrada'!$C$288</f>
        <v>18218.7</v>
      </c>
      <c r="Q49" s="278">
        <f>'04 - Veículos e Equipamentos'!P56*('01 - Dados de Entrada'!$C$75)*'01 - Dados de Entrada'!$C$288</f>
        <v>18218.7</v>
      </c>
      <c r="R49" s="278">
        <f>'04 - Veículos e Equipamentos'!Q56*('01 - Dados de Entrada'!$C$75)*'01 - Dados de Entrada'!$C$288</f>
        <v>18218.7</v>
      </c>
      <c r="S49" s="278">
        <f>'04 - Veículos e Equipamentos'!R56*('01 - Dados de Entrada'!$C$75)*'01 - Dados de Entrada'!$C$288</f>
        <v>18218.7</v>
      </c>
      <c r="T49" s="278">
        <f>'04 - Veículos e Equipamentos'!S56*('01 - Dados de Entrada'!$C$75)*'01 - Dados de Entrada'!$C$288</f>
        <v>18218.7</v>
      </c>
      <c r="U49" s="278">
        <f>'04 - Veículos e Equipamentos'!T56*('01 - Dados de Entrada'!$C$75)*'01 - Dados de Entrada'!$C$288</f>
        <v>18218.7</v>
      </c>
      <c r="V49" s="278">
        <f>'04 - Veículos e Equipamentos'!U56*('01 - Dados de Entrada'!$C$75)*'01 - Dados de Entrada'!$C$288</f>
        <v>18218.7</v>
      </c>
      <c r="W49" s="278">
        <f>'04 - Veículos e Equipamentos'!V56*('01 - Dados de Entrada'!$C$75)*'01 - Dados de Entrada'!$C$288</f>
        <v>18218.7</v>
      </c>
      <c r="X49" s="278">
        <f>'04 - Veículos e Equipamentos'!W56*('01 - Dados de Entrada'!$C$75)*'01 - Dados de Entrada'!$C$288</f>
        <v>18218.7</v>
      </c>
      <c r="Y49" s="278">
        <f>'04 - Veículos e Equipamentos'!X56*('01 - Dados de Entrada'!$C$75)*'01 - Dados de Entrada'!$C$288</f>
        <v>18218.7</v>
      </c>
      <c r="Z49" s="278">
        <f>'04 - Veículos e Equipamentos'!Y56*('01 - Dados de Entrada'!$C$75)*'01 - Dados de Entrada'!$C$288</f>
        <v>18218.7</v>
      </c>
      <c r="AA49" s="278">
        <f>'04 - Veículos e Equipamentos'!Z56*('01 - Dados de Entrada'!$C$75)*'01 - Dados de Entrada'!$C$288</f>
        <v>18218.7</v>
      </c>
      <c r="AB49" s="278">
        <f>'04 - Veículos e Equipamentos'!AA56*('01 - Dados de Entrada'!$C$75)*'01 - Dados de Entrada'!$C$288</f>
        <v>18218.7</v>
      </c>
      <c r="AC49" s="278">
        <f>'04 - Veículos e Equipamentos'!AB56*('01 - Dados de Entrada'!$C$75)*'01 - Dados de Entrada'!$C$288</f>
        <v>18218.7</v>
      </c>
      <c r="AD49" s="278">
        <f>'04 - Veículos e Equipamentos'!AC56*('01 - Dados de Entrada'!$C$75)*'01 - Dados de Entrada'!$C$288</f>
        <v>18218.7</v>
      </c>
      <c r="AE49" s="278">
        <f>'04 - Veículos e Equipamentos'!AD56*('01 - Dados de Entrada'!$C$75)*'01 - Dados de Entrada'!$C$288</f>
        <v>18218.7</v>
      </c>
      <c r="AF49" s="278">
        <f>'04 - Veículos e Equipamentos'!AE56*('01 - Dados de Entrada'!$C$75)*'01 - Dados de Entrada'!$C$288</f>
        <v>18218.7</v>
      </c>
      <c r="AG49" s="278">
        <f>'04 - Veículos e Equipamentos'!AF56*('01 - Dados de Entrada'!$C$75)*'01 - Dados de Entrada'!$C$288</f>
        <v>18218.7</v>
      </c>
      <c r="AH49" s="278">
        <f>'04 - Veículos e Equipamentos'!AG56*('01 - Dados de Entrada'!$C$75)*'01 - Dados de Entrada'!$C$288</f>
        <v>18218.7</v>
      </c>
      <c r="AI49" s="278">
        <f>'04 - Veículos e Equipamentos'!AH56*('01 - Dados de Entrada'!$C$75)*'01 - Dados de Entrada'!$C$288</f>
        <v>18218.7</v>
      </c>
      <c r="AJ49" s="278">
        <f>'04 - Veículos e Equipamentos'!AI56*('01 - Dados de Entrada'!$C$75)*'01 - Dados de Entrada'!$C$288</f>
        <v>18218.7</v>
      </c>
      <c r="AK49" s="278">
        <f>'04 - Veículos e Equipamentos'!AJ56*('01 - Dados de Entrada'!$C$75)*'01 - Dados de Entrada'!$C$288</f>
        <v>18218.7</v>
      </c>
    </row>
    <row r="50" spans="1:37" s="158" customFormat="1" ht="13.15" customHeight="1" x14ac:dyDescent="0.2">
      <c r="A50" s="36" t="s">
        <v>819</v>
      </c>
      <c r="B50" s="149">
        <f>SUM(C50:AK50)</f>
        <v>59916.500000000036</v>
      </c>
      <c r="C50" s="278">
        <f>'04 - Veículos e Equipamentos'!B57*('01 - Dados de Entrada'!$C$57)*'01 - Dados de Entrada'!$C$288</f>
        <v>1711.9</v>
      </c>
      <c r="D50" s="278">
        <f>'04 - Veículos e Equipamentos'!C57*('01 - Dados de Entrada'!$C$57)*'01 - Dados de Entrada'!$C$288</f>
        <v>1711.9</v>
      </c>
      <c r="E50" s="278">
        <f>'04 - Veículos e Equipamentos'!D57*('01 - Dados de Entrada'!$C$57)*'01 - Dados de Entrada'!$C$288</f>
        <v>1711.9</v>
      </c>
      <c r="F50" s="278">
        <f>'04 - Veículos e Equipamentos'!E57*('01 - Dados de Entrada'!$C$57)*'01 - Dados de Entrada'!$C$288</f>
        <v>1711.9</v>
      </c>
      <c r="G50" s="278">
        <f>'04 - Veículos e Equipamentos'!F57*('01 - Dados de Entrada'!$C$57)*'01 - Dados de Entrada'!$C$288</f>
        <v>1711.9</v>
      </c>
      <c r="H50" s="278">
        <f>'04 - Veículos e Equipamentos'!G57*('01 - Dados de Entrada'!$C$57)*'01 - Dados de Entrada'!$C$288</f>
        <v>1711.9</v>
      </c>
      <c r="I50" s="278">
        <f>'04 - Veículos e Equipamentos'!H57*('01 - Dados de Entrada'!$C$57)*'01 - Dados de Entrada'!$C$288</f>
        <v>1711.9</v>
      </c>
      <c r="J50" s="278">
        <f>'04 - Veículos e Equipamentos'!I57*('01 - Dados de Entrada'!$C$57)*'01 - Dados de Entrada'!$C$288</f>
        <v>1711.9</v>
      </c>
      <c r="K50" s="278">
        <f>'04 - Veículos e Equipamentos'!J57*('01 - Dados de Entrada'!$C$57)*'01 - Dados de Entrada'!$C$288</f>
        <v>1711.9</v>
      </c>
      <c r="L50" s="278">
        <f>'04 - Veículos e Equipamentos'!K57*('01 - Dados de Entrada'!$C$57)*'01 - Dados de Entrada'!$C$288</f>
        <v>1711.9</v>
      </c>
      <c r="M50" s="278">
        <f>'04 - Veículos e Equipamentos'!L57*('01 - Dados de Entrada'!$C$57)*'01 - Dados de Entrada'!$C$288</f>
        <v>1711.9</v>
      </c>
      <c r="N50" s="278">
        <f>'04 - Veículos e Equipamentos'!M57*('01 - Dados de Entrada'!$C$57)*'01 - Dados de Entrada'!$C$288</f>
        <v>1711.9</v>
      </c>
      <c r="O50" s="278">
        <f>'04 - Veículos e Equipamentos'!N57*('01 - Dados de Entrada'!$C$57)*'01 - Dados de Entrada'!$C$288</f>
        <v>1711.9</v>
      </c>
      <c r="P50" s="278">
        <f>'04 - Veículos e Equipamentos'!O57*('01 - Dados de Entrada'!$C$57)*'01 - Dados de Entrada'!$C$288</f>
        <v>1711.9</v>
      </c>
      <c r="Q50" s="278">
        <f>'04 - Veículos e Equipamentos'!P57*('01 - Dados de Entrada'!$C$57)*'01 - Dados de Entrada'!$C$288</f>
        <v>1711.9</v>
      </c>
      <c r="R50" s="278">
        <f>'04 - Veículos e Equipamentos'!Q57*('01 - Dados de Entrada'!$C$57)*'01 - Dados de Entrada'!$C$288</f>
        <v>1711.9</v>
      </c>
      <c r="S50" s="278">
        <f>'04 - Veículos e Equipamentos'!R57*('01 - Dados de Entrada'!$C$57)*'01 - Dados de Entrada'!$C$288</f>
        <v>1711.9</v>
      </c>
      <c r="T50" s="278">
        <f>'04 - Veículos e Equipamentos'!S57*('01 - Dados de Entrada'!$C$57)*'01 - Dados de Entrada'!$C$288</f>
        <v>1711.9</v>
      </c>
      <c r="U50" s="278">
        <f>'04 - Veículos e Equipamentos'!T57*('01 - Dados de Entrada'!$C$57)*'01 - Dados de Entrada'!$C$288</f>
        <v>1711.9</v>
      </c>
      <c r="V50" s="278">
        <f>'04 - Veículos e Equipamentos'!U57*('01 - Dados de Entrada'!$C$57)*'01 - Dados de Entrada'!$C$288</f>
        <v>1711.9</v>
      </c>
      <c r="W50" s="278">
        <f>'04 - Veículos e Equipamentos'!V57*('01 - Dados de Entrada'!$C$57)*'01 - Dados de Entrada'!$C$288</f>
        <v>1711.9</v>
      </c>
      <c r="X50" s="278">
        <f>'04 - Veículos e Equipamentos'!W57*('01 - Dados de Entrada'!$C$57)*'01 - Dados de Entrada'!$C$288</f>
        <v>1711.9</v>
      </c>
      <c r="Y50" s="278">
        <f>'04 - Veículos e Equipamentos'!X57*('01 - Dados de Entrada'!$C$57)*'01 - Dados de Entrada'!$C$288</f>
        <v>1711.9</v>
      </c>
      <c r="Z50" s="278">
        <f>'04 - Veículos e Equipamentos'!Y57*('01 - Dados de Entrada'!$C$57)*'01 - Dados de Entrada'!$C$288</f>
        <v>1711.9</v>
      </c>
      <c r="AA50" s="278">
        <f>'04 - Veículos e Equipamentos'!Z57*('01 - Dados de Entrada'!$C$57)*'01 - Dados de Entrada'!$C$288</f>
        <v>1711.9</v>
      </c>
      <c r="AB50" s="278">
        <f>'04 - Veículos e Equipamentos'!AA57*('01 - Dados de Entrada'!$C$57)*'01 - Dados de Entrada'!$C$288</f>
        <v>1711.9</v>
      </c>
      <c r="AC50" s="278">
        <f>'04 - Veículos e Equipamentos'!AB57*('01 - Dados de Entrada'!$C$57)*'01 - Dados de Entrada'!$C$288</f>
        <v>1711.9</v>
      </c>
      <c r="AD50" s="278">
        <f>'04 - Veículos e Equipamentos'!AC57*('01 - Dados de Entrada'!$C$57)*'01 - Dados de Entrada'!$C$288</f>
        <v>1711.9</v>
      </c>
      <c r="AE50" s="278">
        <f>'04 - Veículos e Equipamentos'!AD57*('01 - Dados de Entrada'!$C$57)*'01 - Dados de Entrada'!$C$288</f>
        <v>1711.9</v>
      </c>
      <c r="AF50" s="278">
        <f>'04 - Veículos e Equipamentos'!AE57*('01 - Dados de Entrada'!$C$57)*'01 - Dados de Entrada'!$C$288</f>
        <v>1711.9</v>
      </c>
      <c r="AG50" s="278">
        <f>'04 - Veículos e Equipamentos'!AF57*('01 - Dados de Entrada'!$C$57)*'01 - Dados de Entrada'!$C$288</f>
        <v>1711.9</v>
      </c>
      <c r="AH50" s="278">
        <f>'04 - Veículos e Equipamentos'!AG57*('01 - Dados de Entrada'!$C$57)*'01 - Dados de Entrada'!$C$288</f>
        <v>1711.9</v>
      </c>
      <c r="AI50" s="278">
        <f>'04 - Veículos e Equipamentos'!AH57*('01 - Dados de Entrada'!$C$57)*'01 - Dados de Entrada'!$C$288</f>
        <v>1711.9</v>
      </c>
      <c r="AJ50" s="278">
        <f>'04 - Veículos e Equipamentos'!AI57*('01 - Dados de Entrada'!$C$57)*'01 - Dados de Entrada'!$C$288</f>
        <v>1711.9</v>
      </c>
      <c r="AK50" s="278">
        <f>'04 - Veículos e Equipamentos'!AJ57*('01 - Dados de Entrada'!$C$57)*'01 - Dados de Entrada'!$C$288</f>
        <v>1711.9</v>
      </c>
    </row>
    <row r="51" spans="1:37" s="158" customFormat="1" ht="13.15" customHeight="1" x14ac:dyDescent="0.2">
      <c r="A51" s="34" t="s">
        <v>141</v>
      </c>
      <c r="B51" s="149">
        <f t="shared" ref="B51:B53" si="4">SUM(C51:AK51)</f>
        <v>413000</v>
      </c>
      <c r="C51" s="278">
        <f>('04 - Veículos e Equipamentos'!B58+'04 - Veículos e Equipamentos'!B59)*'01 - Dados de Entrada'!$C$68*'01 - Dados de Entrada'!$C$288</f>
        <v>11800</v>
      </c>
      <c r="D51" s="278">
        <f>('04 - Veículos e Equipamentos'!C58+'04 - Veículos e Equipamentos'!C59)*'01 - Dados de Entrada'!$C$68*'01 - Dados de Entrada'!$C$288</f>
        <v>11800</v>
      </c>
      <c r="E51" s="278">
        <f>('04 - Veículos e Equipamentos'!D58+'04 - Veículos e Equipamentos'!D59)*'01 - Dados de Entrada'!$C$68*'01 - Dados de Entrada'!$C$288</f>
        <v>11800</v>
      </c>
      <c r="F51" s="278">
        <f>('04 - Veículos e Equipamentos'!E58+'04 - Veículos e Equipamentos'!E59)*'01 - Dados de Entrada'!$C$68*'01 - Dados de Entrada'!$C$288</f>
        <v>11800</v>
      </c>
      <c r="G51" s="278">
        <f>('04 - Veículos e Equipamentos'!F58+'04 - Veículos e Equipamentos'!F59)*'01 - Dados de Entrada'!$C$68*'01 - Dados de Entrada'!$C$288</f>
        <v>11800</v>
      </c>
      <c r="H51" s="278">
        <f>('04 - Veículos e Equipamentos'!G58+'04 - Veículos e Equipamentos'!G59)*'01 - Dados de Entrada'!$C$68*'01 - Dados de Entrada'!$C$288</f>
        <v>11800</v>
      </c>
      <c r="I51" s="278">
        <f>('04 - Veículos e Equipamentos'!H58+'04 - Veículos e Equipamentos'!H59)*'01 - Dados de Entrada'!$C$68*'01 - Dados de Entrada'!$C$288</f>
        <v>11800</v>
      </c>
      <c r="J51" s="278">
        <f>('04 - Veículos e Equipamentos'!I58+'04 - Veículos e Equipamentos'!I59)*'01 - Dados de Entrada'!$C$68*'01 - Dados de Entrada'!$C$288</f>
        <v>11800</v>
      </c>
      <c r="K51" s="278">
        <f>('04 - Veículos e Equipamentos'!J58+'04 - Veículos e Equipamentos'!J59)*'01 - Dados de Entrada'!$C$68*'01 - Dados de Entrada'!$C$288</f>
        <v>11800</v>
      </c>
      <c r="L51" s="278">
        <f>('04 - Veículos e Equipamentos'!K58+'04 - Veículos e Equipamentos'!K59)*'01 - Dados de Entrada'!$C$68*'01 - Dados de Entrada'!$C$288</f>
        <v>11800</v>
      </c>
      <c r="M51" s="278">
        <f>('04 - Veículos e Equipamentos'!L58+'04 - Veículos e Equipamentos'!L59)*'01 - Dados de Entrada'!$C$68*'01 - Dados de Entrada'!$C$288</f>
        <v>11800</v>
      </c>
      <c r="N51" s="278">
        <f>('04 - Veículos e Equipamentos'!M58+'04 - Veículos e Equipamentos'!M59)*'01 - Dados de Entrada'!$C$68*'01 - Dados de Entrada'!$C$288</f>
        <v>11800</v>
      </c>
      <c r="O51" s="278">
        <f>('04 - Veículos e Equipamentos'!N58+'04 - Veículos e Equipamentos'!N59)*'01 - Dados de Entrada'!$C$68*'01 - Dados de Entrada'!$C$288</f>
        <v>11800</v>
      </c>
      <c r="P51" s="278">
        <f>('04 - Veículos e Equipamentos'!O58+'04 - Veículos e Equipamentos'!O59)*'01 - Dados de Entrada'!$C$68*'01 - Dados de Entrada'!$C$288</f>
        <v>11800</v>
      </c>
      <c r="Q51" s="278">
        <f>('04 - Veículos e Equipamentos'!P58+'04 - Veículos e Equipamentos'!P59)*'01 - Dados de Entrada'!$C$68*'01 - Dados de Entrada'!$C$288</f>
        <v>11800</v>
      </c>
      <c r="R51" s="278">
        <f>('04 - Veículos e Equipamentos'!Q58+'04 - Veículos e Equipamentos'!Q59)*'01 - Dados de Entrada'!$C$68*'01 - Dados de Entrada'!$C$288</f>
        <v>11800</v>
      </c>
      <c r="S51" s="278">
        <f>('04 - Veículos e Equipamentos'!R58+'04 - Veículos e Equipamentos'!R59)*'01 - Dados de Entrada'!$C$68*'01 - Dados de Entrada'!$C$288</f>
        <v>11800</v>
      </c>
      <c r="T51" s="278">
        <f>('04 - Veículos e Equipamentos'!S58+'04 - Veículos e Equipamentos'!S59)*'01 - Dados de Entrada'!$C$68*'01 - Dados de Entrada'!$C$288</f>
        <v>11800</v>
      </c>
      <c r="U51" s="278">
        <f>('04 - Veículos e Equipamentos'!T58+'04 - Veículos e Equipamentos'!T59)*'01 - Dados de Entrada'!$C$68*'01 - Dados de Entrada'!$C$288</f>
        <v>11800</v>
      </c>
      <c r="V51" s="278">
        <f>('04 - Veículos e Equipamentos'!U58+'04 - Veículos e Equipamentos'!U59)*'01 - Dados de Entrada'!$C$68*'01 - Dados de Entrada'!$C$288</f>
        <v>11800</v>
      </c>
      <c r="W51" s="278">
        <f>('04 - Veículos e Equipamentos'!V58+'04 - Veículos e Equipamentos'!V59)*'01 - Dados de Entrada'!$C$68*'01 - Dados de Entrada'!$C$288</f>
        <v>11800</v>
      </c>
      <c r="X51" s="278">
        <f>('04 - Veículos e Equipamentos'!W58+'04 - Veículos e Equipamentos'!W59)*'01 - Dados de Entrada'!$C$68*'01 - Dados de Entrada'!$C$288</f>
        <v>11800</v>
      </c>
      <c r="Y51" s="278">
        <f>('04 - Veículos e Equipamentos'!X58+'04 - Veículos e Equipamentos'!X59)*'01 - Dados de Entrada'!$C$68*'01 - Dados de Entrada'!$C$288</f>
        <v>11800</v>
      </c>
      <c r="Z51" s="278">
        <f>('04 - Veículos e Equipamentos'!Y58+'04 - Veículos e Equipamentos'!Y59)*'01 - Dados de Entrada'!$C$68*'01 - Dados de Entrada'!$C$288</f>
        <v>11800</v>
      </c>
      <c r="AA51" s="278">
        <f>('04 - Veículos e Equipamentos'!Z58+'04 - Veículos e Equipamentos'!Z59)*'01 - Dados de Entrada'!$C$68*'01 - Dados de Entrada'!$C$288</f>
        <v>11800</v>
      </c>
      <c r="AB51" s="278">
        <f>('04 - Veículos e Equipamentos'!AA58+'04 - Veículos e Equipamentos'!AA59)*'01 - Dados de Entrada'!$C$68*'01 - Dados de Entrada'!$C$288</f>
        <v>11800</v>
      </c>
      <c r="AC51" s="278">
        <f>('04 - Veículos e Equipamentos'!AB58+'04 - Veículos e Equipamentos'!AB59)*'01 - Dados de Entrada'!$C$68*'01 - Dados de Entrada'!$C$288</f>
        <v>11800</v>
      </c>
      <c r="AD51" s="278">
        <f>('04 - Veículos e Equipamentos'!AC58+'04 - Veículos e Equipamentos'!AC59)*'01 - Dados de Entrada'!$C$68*'01 - Dados de Entrada'!$C$288</f>
        <v>11800</v>
      </c>
      <c r="AE51" s="278">
        <f>('04 - Veículos e Equipamentos'!AD58+'04 - Veículos e Equipamentos'!AD59)*'01 - Dados de Entrada'!$C$68*'01 - Dados de Entrada'!$C$288</f>
        <v>11800</v>
      </c>
      <c r="AF51" s="278">
        <f>('04 - Veículos e Equipamentos'!AE58+'04 - Veículos e Equipamentos'!AE59)*'01 - Dados de Entrada'!$C$68*'01 - Dados de Entrada'!$C$288</f>
        <v>11800</v>
      </c>
      <c r="AG51" s="278">
        <f>('04 - Veículos e Equipamentos'!AF58+'04 - Veículos e Equipamentos'!AF59)*'01 - Dados de Entrada'!$C$68*'01 - Dados de Entrada'!$C$288</f>
        <v>11800</v>
      </c>
      <c r="AH51" s="278">
        <f>('04 - Veículos e Equipamentos'!AG58+'04 - Veículos e Equipamentos'!AG59)*'01 - Dados de Entrada'!$C$68*'01 - Dados de Entrada'!$C$288</f>
        <v>11800</v>
      </c>
      <c r="AI51" s="278">
        <f>('04 - Veículos e Equipamentos'!AH58+'04 - Veículos e Equipamentos'!AH59)*'01 - Dados de Entrada'!$C$68*'01 - Dados de Entrada'!$C$288</f>
        <v>11800</v>
      </c>
      <c r="AJ51" s="278">
        <f>('04 - Veículos e Equipamentos'!AI58+'04 - Veículos e Equipamentos'!AI59)*'01 - Dados de Entrada'!$C$68*'01 - Dados de Entrada'!$C$288</f>
        <v>11800</v>
      </c>
      <c r="AK51" s="278">
        <f>('04 - Veículos e Equipamentos'!AJ58+'04 - Veículos e Equipamentos'!AJ59)*'01 - Dados de Entrada'!$C$68*'01 - Dados de Entrada'!$C$288</f>
        <v>11800</v>
      </c>
    </row>
    <row r="52" spans="1:37" s="158" customFormat="1" ht="13.15" customHeight="1" x14ac:dyDescent="0.2">
      <c r="A52" s="34" t="s">
        <v>149</v>
      </c>
      <c r="B52" s="149">
        <f t="shared" si="4"/>
        <v>157321.49999999991</v>
      </c>
      <c r="C52" s="278">
        <f>('04 - Veículos e Equipamentos'!B60+'04 - Veículos e Equipamentos'!B61)*'01 - Dados de Entrada'!$C$72*'01 - Dados de Entrada'!$C$288</f>
        <v>4494.9000000000005</v>
      </c>
      <c r="D52" s="278">
        <f>('04 - Veículos e Equipamentos'!C60+'04 - Veículos e Equipamentos'!C61)*'01 - Dados de Entrada'!$C$72*'01 - Dados de Entrada'!$C$288</f>
        <v>4494.9000000000005</v>
      </c>
      <c r="E52" s="278">
        <f>('04 - Veículos e Equipamentos'!D60+'04 - Veículos e Equipamentos'!D61)*'01 - Dados de Entrada'!$C$72*'01 - Dados de Entrada'!$C$288</f>
        <v>4494.9000000000005</v>
      </c>
      <c r="F52" s="278">
        <f>('04 - Veículos e Equipamentos'!E60+'04 - Veículos e Equipamentos'!E61)*'01 - Dados de Entrada'!$C$72*'01 - Dados de Entrada'!$C$288</f>
        <v>4494.9000000000005</v>
      </c>
      <c r="G52" s="278">
        <f>('04 - Veículos e Equipamentos'!F60+'04 - Veículos e Equipamentos'!F61)*'01 - Dados de Entrada'!$C$72*'01 - Dados de Entrada'!$C$288</f>
        <v>4494.9000000000005</v>
      </c>
      <c r="H52" s="278">
        <f>('04 - Veículos e Equipamentos'!G60+'04 - Veículos e Equipamentos'!G61)*'01 - Dados de Entrada'!$C$72*'01 - Dados de Entrada'!$C$288</f>
        <v>4494.9000000000005</v>
      </c>
      <c r="I52" s="278">
        <f>('04 - Veículos e Equipamentos'!H60+'04 - Veículos e Equipamentos'!H61)*'01 - Dados de Entrada'!$C$72*'01 - Dados de Entrada'!$C$288</f>
        <v>4494.9000000000005</v>
      </c>
      <c r="J52" s="278">
        <f>('04 - Veículos e Equipamentos'!I60+'04 - Veículos e Equipamentos'!I61)*'01 - Dados de Entrada'!$C$72*'01 - Dados de Entrada'!$C$288</f>
        <v>4494.9000000000005</v>
      </c>
      <c r="K52" s="278">
        <f>('04 - Veículos e Equipamentos'!J60+'04 - Veículos e Equipamentos'!J61)*'01 - Dados de Entrada'!$C$72*'01 - Dados de Entrada'!$C$288</f>
        <v>4494.9000000000005</v>
      </c>
      <c r="L52" s="278">
        <f>('04 - Veículos e Equipamentos'!K60+'04 - Veículos e Equipamentos'!K61)*'01 - Dados de Entrada'!$C$72*'01 - Dados de Entrada'!$C$288</f>
        <v>4494.9000000000005</v>
      </c>
      <c r="M52" s="278">
        <f>('04 - Veículos e Equipamentos'!L60+'04 - Veículos e Equipamentos'!L61)*'01 - Dados de Entrada'!$C$72*'01 - Dados de Entrada'!$C$288</f>
        <v>4494.9000000000005</v>
      </c>
      <c r="N52" s="278">
        <f>('04 - Veículos e Equipamentos'!M60+'04 - Veículos e Equipamentos'!M61)*'01 - Dados de Entrada'!$C$72*'01 - Dados de Entrada'!$C$288</f>
        <v>4494.9000000000005</v>
      </c>
      <c r="O52" s="278">
        <f>('04 - Veículos e Equipamentos'!N60+'04 - Veículos e Equipamentos'!N61)*'01 - Dados de Entrada'!$C$72*'01 - Dados de Entrada'!$C$288</f>
        <v>4494.9000000000005</v>
      </c>
      <c r="P52" s="278">
        <f>('04 - Veículos e Equipamentos'!O60+'04 - Veículos e Equipamentos'!O61)*'01 - Dados de Entrada'!$C$72*'01 - Dados de Entrada'!$C$288</f>
        <v>4494.9000000000005</v>
      </c>
      <c r="Q52" s="278">
        <f>('04 - Veículos e Equipamentos'!P60+'04 - Veículos e Equipamentos'!P61)*'01 - Dados de Entrada'!$C$72*'01 - Dados de Entrada'!$C$288</f>
        <v>4494.9000000000005</v>
      </c>
      <c r="R52" s="278">
        <f>('04 - Veículos e Equipamentos'!Q60+'04 - Veículos e Equipamentos'!Q61)*'01 - Dados de Entrada'!$C$72*'01 - Dados de Entrada'!$C$288</f>
        <v>4494.9000000000005</v>
      </c>
      <c r="S52" s="278">
        <f>('04 - Veículos e Equipamentos'!R60+'04 - Veículos e Equipamentos'!R61)*'01 - Dados de Entrada'!$C$72*'01 - Dados de Entrada'!$C$288</f>
        <v>4494.9000000000005</v>
      </c>
      <c r="T52" s="278">
        <f>('04 - Veículos e Equipamentos'!S60+'04 - Veículos e Equipamentos'!S61)*'01 - Dados de Entrada'!$C$72*'01 - Dados de Entrada'!$C$288</f>
        <v>4494.9000000000005</v>
      </c>
      <c r="U52" s="278">
        <f>('04 - Veículos e Equipamentos'!T60+'04 - Veículos e Equipamentos'!T61)*'01 - Dados de Entrada'!$C$72*'01 - Dados de Entrada'!$C$288</f>
        <v>4494.9000000000005</v>
      </c>
      <c r="V52" s="278">
        <f>('04 - Veículos e Equipamentos'!U60+'04 - Veículos e Equipamentos'!U61)*'01 - Dados de Entrada'!$C$72*'01 - Dados de Entrada'!$C$288</f>
        <v>4494.9000000000005</v>
      </c>
      <c r="W52" s="278">
        <f>('04 - Veículos e Equipamentos'!V60+'04 - Veículos e Equipamentos'!V61)*'01 - Dados de Entrada'!$C$72*'01 - Dados de Entrada'!$C$288</f>
        <v>4494.9000000000005</v>
      </c>
      <c r="X52" s="278">
        <f>('04 - Veículos e Equipamentos'!W60+'04 - Veículos e Equipamentos'!W61)*'01 - Dados de Entrada'!$C$72*'01 - Dados de Entrada'!$C$288</f>
        <v>4494.9000000000005</v>
      </c>
      <c r="Y52" s="278">
        <f>('04 - Veículos e Equipamentos'!X60+'04 - Veículos e Equipamentos'!X61)*'01 - Dados de Entrada'!$C$72*'01 - Dados de Entrada'!$C$288</f>
        <v>4494.9000000000005</v>
      </c>
      <c r="Z52" s="278">
        <f>('04 - Veículos e Equipamentos'!Y60+'04 - Veículos e Equipamentos'!Y61)*'01 - Dados de Entrada'!$C$72*'01 - Dados de Entrada'!$C$288</f>
        <v>4494.9000000000005</v>
      </c>
      <c r="AA52" s="278">
        <f>('04 - Veículos e Equipamentos'!Z60+'04 - Veículos e Equipamentos'!Z61)*'01 - Dados de Entrada'!$C$72*'01 - Dados de Entrada'!$C$288</f>
        <v>4494.9000000000005</v>
      </c>
      <c r="AB52" s="278">
        <f>('04 - Veículos e Equipamentos'!AA60+'04 - Veículos e Equipamentos'!AA61)*'01 - Dados de Entrada'!$C$72*'01 - Dados de Entrada'!$C$288</f>
        <v>4494.9000000000005</v>
      </c>
      <c r="AC52" s="278">
        <f>('04 - Veículos e Equipamentos'!AB60+'04 - Veículos e Equipamentos'!AB61)*'01 - Dados de Entrada'!$C$72*'01 - Dados de Entrada'!$C$288</f>
        <v>4494.9000000000005</v>
      </c>
      <c r="AD52" s="278">
        <f>('04 - Veículos e Equipamentos'!AC60+'04 - Veículos e Equipamentos'!AC61)*'01 - Dados de Entrada'!$C$72*'01 - Dados de Entrada'!$C$288</f>
        <v>4494.9000000000005</v>
      </c>
      <c r="AE52" s="278">
        <f>('04 - Veículos e Equipamentos'!AD60+'04 - Veículos e Equipamentos'!AD61)*'01 - Dados de Entrada'!$C$72*'01 - Dados de Entrada'!$C$288</f>
        <v>4494.9000000000005</v>
      </c>
      <c r="AF52" s="278">
        <f>('04 - Veículos e Equipamentos'!AE60+'04 - Veículos e Equipamentos'!AE61)*'01 - Dados de Entrada'!$C$72*'01 - Dados de Entrada'!$C$288</f>
        <v>4494.9000000000005</v>
      </c>
      <c r="AG52" s="278">
        <f>('04 - Veículos e Equipamentos'!AF60+'04 - Veículos e Equipamentos'!AF61)*'01 - Dados de Entrada'!$C$72*'01 - Dados de Entrada'!$C$288</f>
        <v>4494.9000000000005</v>
      </c>
      <c r="AH52" s="278">
        <f>('04 - Veículos e Equipamentos'!AG60+'04 - Veículos e Equipamentos'!AG61)*'01 - Dados de Entrada'!$C$72*'01 - Dados de Entrada'!$C$288</f>
        <v>4494.9000000000005</v>
      </c>
      <c r="AI52" s="278">
        <f>('04 - Veículos e Equipamentos'!AH60+'04 - Veículos e Equipamentos'!AH61)*'01 - Dados de Entrada'!$C$72*'01 - Dados de Entrada'!$C$288</f>
        <v>4494.9000000000005</v>
      </c>
      <c r="AJ52" s="278">
        <f>('04 - Veículos e Equipamentos'!AI60+'04 - Veículos e Equipamentos'!AI61)*'01 - Dados de Entrada'!$C$72*'01 - Dados de Entrada'!$C$288</f>
        <v>4494.9000000000005</v>
      </c>
      <c r="AK52" s="278">
        <f>('04 - Veículos e Equipamentos'!AJ60+'04 - Veículos e Equipamentos'!AJ61)*'01 - Dados de Entrada'!$C$72*'01 - Dados de Entrada'!$C$288</f>
        <v>4494.9000000000005</v>
      </c>
    </row>
    <row r="53" spans="1:37" s="158" customFormat="1" ht="13.15" customHeight="1" x14ac:dyDescent="0.2">
      <c r="A53" s="34" t="s">
        <v>151</v>
      </c>
      <c r="B53" s="149">
        <f t="shared" si="4"/>
        <v>31160.324999999975</v>
      </c>
      <c r="C53" s="278">
        <f>('04 - Veículos e Equipamentos'!B62+'04 - Veículos e Equipamentos'!B63)*'01 - Dados de Entrada'!$C$73*'01 - Dados de Entrada'!$C$288</f>
        <v>890.29500000000007</v>
      </c>
      <c r="D53" s="278">
        <f>('04 - Veículos e Equipamentos'!C62+'04 - Veículos e Equipamentos'!C63)*'01 - Dados de Entrada'!$C$73*'01 - Dados de Entrada'!$C$288</f>
        <v>890.29500000000007</v>
      </c>
      <c r="E53" s="278">
        <f>('04 - Veículos e Equipamentos'!D62+'04 - Veículos e Equipamentos'!D63)*'01 - Dados de Entrada'!$C$73*'01 - Dados de Entrada'!$C$288</f>
        <v>890.29500000000007</v>
      </c>
      <c r="F53" s="278">
        <f>('04 - Veículos e Equipamentos'!E62+'04 - Veículos e Equipamentos'!E63)*'01 - Dados de Entrada'!$C$73*'01 - Dados de Entrada'!$C$288</f>
        <v>890.29500000000007</v>
      </c>
      <c r="G53" s="278">
        <f>('04 - Veículos e Equipamentos'!F62+'04 - Veículos e Equipamentos'!F63)*'01 - Dados de Entrada'!$C$73*'01 - Dados de Entrada'!$C$288</f>
        <v>890.29500000000007</v>
      </c>
      <c r="H53" s="278">
        <f>('04 - Veículos e Equipamentos'!G62+'04 - Veículos e Equipamentos'!G63)*'01 - Dados de Entrada'!$C$73*'01 - Dados de Entrada'!$C$288</f>
        <v>890.29500000000007</v>
      </c>
      <c r="I53" s="278">
        <f>('04 - Veículos e Equipamentos'!H62+'04 - Veículos e Equipamentos'!H63)*'01 - Dados de Entrada'!$C$73*'01 - Dados de Entrada'!$C$288</f>
        <v>890.29500000000007</v>
      </c>
      <c r="J53" s="278">
        <f>('04 - Veículos e Equipamentos'!I62+'04 - Veículos e Equipamentos'!I63)*'01 - Dados de Entrada'!$C$73*'01 - Dados de Entrada'!$C$288</f>
        <v>890.29500000000007</v>
      </c>
      <c r="K53" s="278">
        <f>('04 - Veículos e Equipamentos'!J62+'04 - Veículos e Equipamentos'!J63)*'01 - Dados de Entrada'!$C$73*'01 - Dados de Entrada'!$C$288</f>
        <v>890.29500000000007</v>
      </c>
      <c r="L53" s="278">
        <f>('04 - Veículos e Equipamentos'!K62+'04 - Veículos e Equipamentos'!K63)*'01 - Dados de Entrada'!$C$73*'01 - Dados de Entrada'!$C$288</f>
        <v>890.29500000000007</v>
      </c>
      <c r="M53" s="278">
        <f>('04 - Veículos e Equipamentos'!L62+'04 - Veículos e Equipamentos'!L63)*'01 - Dados de Entrada'!$C$73*'01 - Dados de Entrada'!$C$288</f>
        <v>890.29500000000007</v>
      </c>
      <c r="N53" s="278">
        <f>('04 - Veículos e Equipamentos'!M62+'04 - Veículos e Equipamentos'!M63)*'01 - Dados de Entrada'!$C$73*'01 - Dados de Entrada'!$C$288</f>
        <v>890.29500000000007</v>
      </c>
      <c r="O53" s="278">
        <f>('04 - Veículos e Equipamentos'!N62+'04 - Veículos e Equipamentos'!N63)*'01 - Dados de Entrada'!$C$73*'01 - Dados de Entrada'!$C$288</f>
        <v>890.29500000000007</v>
      </c>
      <c r="P53" s="278">
        <f>('04 - Veículos e Equipamentos'!O62+'04 - Veículos e Equipamentos'!O63)*'01 - Dados de Entrada'!$C$73*'01 - Dados de Entrada'!$C$288</f>
        <v>890.29500000000007</v>
      </c>
      <c r="Q53" s="278">
        <f>('04 - Veículos e Equipamentos'!P62+'04 - Veículos e Equipamentos'!P63)*'01 - Dados de Entrada'!$C$73*'01 - Dados de Entrada'!$C$288</f>
        <v>890.29500000000007</v>
      </c>
      <c r="R53" s="278">
        <f>('04 - Veículos e Equipamentos'!Q62+'04 - Veículos e Equipamentos'!Q63)*'01 - Dados de Entrada'!$C$73*'01 - Dados de Entrada'!$C$288</f>
        <v>890.29500000000007</v>
      </c>
      <c r="S53" s="278">
        <f>('04 - Veículos e Equipamentos'!R62+'04 - Veículos e Equipamentos'!R63)*'01 - Dados de Entrada'!$C$73*'01 - Dados de Entrada'!$C$288</f>
        <v>890.29500000000007</v>
      </c>
      <c r="T53" s="278">
        <f>('04 - Veículos e Equipamentos'!S62+'04 - Veículos e Equipamentos'!S63)*'01 - Dados de Entrada'!$C$73*'01 - Dados de Entrada'!$C$288</f>
        <v>890.29500000000007</v>
      </c>
      <c r="U53" s="278">
        <f>('04 - Veículos e Equipamentos'!T62+'04 - Veículos e Equipamentos'!T63)*'01 - Dados de Entrada'!$C$73*'01 - Dados de Entrada'!$C$288</f>
        <v>890.29500000000007</v>
      </c>
      <c r="V53" s="278">
        <f>('04 - Veículos e Equipamentos'!U62+'04 - Veículos e Equipamentos'!U63)*'01 - Dados de Entrada'!$C$73*'01 - Dados de Entrada'!$C$288</f>
        <v>890.29500000000007</v>
      </c>
      <c r="W53" s="278">
        <f>('04 - Veículos e Equipamentos'!V62+'04 - Veículos e Equipamentos'!V63)*'01 - Dados de Entrada'!$C$73*'01 - Dados de Entrada'!$C$288</f>
        <v>890.29500000000007</v>
      </c>
      <c r="X53" s="278">
        <f>('04 - Veículos e Equipamentos'!W62+'04 - Veículos e Equipamentos'!W63)*'01 - Dados de Entrada'!$C$73*'01 - Dados de Entrada'!$C$288</f>
        <v>890.29500000000007</v>
      </c>
      <c r="Y53" s="278">
        <f>('04 - Veículos e Equipamentos'!X62+'04 - Veículos e Equipamentos'!X63)*'01 - Dados de Entrada'!$C$73*'01 - Dados de Entrada'!$C$288</f>
        <v>890.29500000000007</v>
      </c>
      <c r="Z53" s="278">
        <f>('04 - Veículos e Equipamentos'!Y62+'04 - Veículos e Equipamentos'!Y63)*'01 - Dados de Entrada'!$C$73*'01 - Dados de Entrada'!$C$288</f>
        <v>890.29500000000007</v>
      </c>
      <c r="AA53" s="278">
        <f>('04 - Veículos e Equipamentos'!Z62+'04 - Veículos e Equipamentos'!Z63)*'01 - Dados de Entrada'!$C$73*'01 - Dados de Entrada'!$C$288</f>
        <v>890.29500000000007</v>
      </c>
      <c r="AB53" s="278">
        <f>('04 - Veículos e Equipamentos'!AA62+'04 - Veículos e Equipamentos'!AA63)*'01 - Dados de Entrada'!$C$73*'01 - Dados de Entrada'!$C$288</f>
        <v>890.29500000000007</v>
      </c>
      <c r="AC53" s="278">
        <f>('04 - Veículos e Equipamentos'!AB62+'04 - Veículos e Equipamentos'!AB63)*'01 - Dados de Entrada'!$C$73*'01 - Dados de Entrada'!$C$288</f>
        <v>890.29500000000007</v>
      </c>
      <c r="AD53" s="278">
        <f>('04 - Veículos e Equipamentos'!AC62+'04 - Veículos e Equipamentos'!AC63)*'01 - Dados de Entrada'!$C$73*'01 - Dados de Entrada'!$C$288</f>
        <v>890.29500000000007</v>
      </c>
      <c r="AE53" s="278">
        <f>('04 - Veículos e Equipamentos'!AD62+'04 - Veículos e Equipamentos'!AD63)*'01 - Dados de Entrada'!$C$73*'01 - Dados de Entrada'!$C$288</f>
        <v>890.29500000000007</v>
      </c>
      <c r="AF53" s="278">
        <f>('04 - Veículos e Equipamentos'!AE62+'04 - Veículos e Equipamentos'!AE63)*'01 - Dados de Entrada'!$C$73*'01 - Dados de Entrada'!$C$288</f>
        <v>890.29500000000007</v>
      </c>
      <c r="AG53" s="278">
        <f>('04 - Veículos e Equipamentos'!AF62+'04 - Veículos e Equipamentos'!AF63)*'01 - Dados de Entrada'!$C$73*'01 - Dados de Entrada'!$C$288</f>
        <v>890.29500000000007</v>
      </c>
      <c r="AH53" s="278">
        <f>('04 - Veículos e Equipamentos'!AG62+'04 - Veículos e Equipamentos'!AG63)*'01 - Dados de Entrada'!$C$73*'01 - Dados de Entrada'!$C$288</f>
        <v>890.29500000000007</v>
      </c>
      <c r="AI53" s="278">
        <f>('04 - Veículos e Equipamentos'!AH62+'04 - Veículos e Equipamentos'!AH63)*'01 - Dados de Entrada'!$C$73*'01 - Dados de Entrada'!$C$288</f>
        <v>890.29500000000007</v>
      </c>
      <c r="AJ53" s="278">
        <f>('04 - Veículos e Equipamentos'!AI62+'04 - Veículos e Equipamentos'!AI63)*'01 - Dados de Entrada'!$C$73*'01 - Dados de Entrada'!$C$288</f>
        <v>890.29500000000007</v>
      </c>
      <c r="AK53" s="278">
        <f>('04 - Veículos e Equipamentos'!AJ62+'04 - Veículos e Equipamentos'!AJ63)*'01 - Dados de Entrada'!$C$73*'01 - Dados de Entrada'!$C$288</f>
        <v>890.29500000000007</v>
      </c>
    </row>
    <row r="54" spans="1:37" s="158" customFormat="1" ht="13.15" customHeight="1" x14ac:dyDescent="0.2">
      <c r="A54" s="323" t="s">
        <v>884</v>
      </c>
      <c r="B54" s="149"/>
      <c r="C54" s="403"/>
      <c r="D54" s="403"/>
      <c r="E54" s="403"/>
      <c r="F54" s="403"/>
      <c r="G54" s="403"/>
      <c r="H54" s="403"/>
      <c r="I54" s="403"/>
      <c r="J54" s="403"/>
      <c r="K54" s="403"/>
      <c r="L54" s="403"/>
      <c r="M54" s="403"/>
      <c r="N54" s="403"/>
      <c r="O54" s="403"/>
      <c r="P54" s="403"/>
      <c r="Q54" s="403"/>
      <c r="R54" s="403"/>
      <c r="S54" s="403"/>
      <c r="T54" s="403"/>
      <c r="U54" s="403"/>
      <c r="V54" s="403"/>
      <c r="W54" s="403"/>
      <c r="X54" s="403"/>
      <c r="Y54" s="403"/>
      <c r="Z54" s="403"/>
      <c r="AA54" s="403"/>
      <c r="AB54" s="403"/>
      <c r="AC54" s="403"/>
      <c r="AD54" s="403"/>
      <c r="AE54" s="403"/>
      <c r="AF54" s="403"/>
      <c r="AG54" s="403"/>
      <c r="AH54" s="403"/>
      <c r="AI54" s="403"/>
      <c r="AJ54" s="403"/>
      <c r="AK54" s="403"/>
    </row>
    <row r="55" spans="1:37" s="158" customFormat="1" ht="13.15" customHeight="1" x14ac:dyDescent="0.2">
      <c r="A55" s="34" t="s">
        <v>816</v>
      </c>
      <c r="B55" s="149">
        <f>SUM(C55:AK55)</f>
        <v>2266783.9600000014</v>
      </c>
      <c r="C55" s="278">
        <f>'04 - Veículos e Equipamentos'!B65*('01 - Dados de Entrada'!$C$65+'01 - Dados de Entrada'!$C$66)*'01 - Dados de Entrada'!$C$288</f>
        <v>64765.256000000008</v>
      </c>
      <c r="D55" s="278">
        <f>'04 - Veículos e Equipamentos'!C65*('01 - Dados de Entrada'!$C$65+'01 - Dados de Entrada'!$C$66)*'01 - Dados de Entrada'!$C$288</f>
        <v>64765.256000000008</v>
      </c>
      <c r="E55" s="278">
        <f>'04 - Veículos e Equipamentos'!D65*('01 - Dados de Entrada'!$C$65+'01 - Dados de Entrada'!$C$66)*'01 - Dados de Entrada'!$C$288</f>
        <v>64765.256000000008</v>
      </c>
      <c r="F55" s="278">
        <f>'04 - Veículos e Equipamentos'!E65*('01 - Dados de Entrada'!$C$65+'01 - Dados de Entrada'!$C$66)*'01 - Dados de Entrada'!$C$288</f>
        <v>64765.256000000008</v>
      </c>
      <c r="G55" s="278">
        <f>'04 - Veículos e Equipamentos'!F65*('01 - Dados de Entrada'!$C$65+'01 - Dados de Entrada'!$C$66)*'01 - Dados de Entrada'!$C$288</f>
        <v>64765.256000000008</v>
      </c>
      <c r="H55" s="278">
        <f>'04 - Veículos e Equipamentos'!G65*('01 - Dados de Entrada'!$C$65+'01 - Dados de Entrada'!$C$66)*'01 - Dados de Entrada'!$C$288</f>
        <v>64765.256000000008</v>
      </c>
      <c r="I55" s="278">
        <f>'04 - Veículos e Equipamentos'!H65*('01 - Dados de Entrada'!$C$65+'01 - Dados de Entrada'!$C$66)*'01 - Dados de Entrada'!$C$288</f>
        <v>64765.256000000008</v>
      </c>
      <c r="J55" s="278">
        <f>'04 - Veículos e Equipamentos'!I65*('01 - Dados de Entrada'!$C$65+'01 - Dados de Entrada'!$C$66)*'01 - Dados de Entrada'!$C$288</f>
        <v>64765.256000000008</v>
      </c>
      <c r="K55" s="278">
        <f>'04 - Veículos e Equipamentos'!J65*('01 - Dados de Entrada'!$C$65+'01 - Dados de Entrada'!$C$66)*'01 - Dados de Entrada'!$C$288</f>
        <v>64765.256000000008</v>
      </c>
      <c r="L55" s="278">
        <f>'04 - Veículos e Equipamentos'!K65*('01 - Dados de Entrada'!$C$65+'01 - Dados de Entrada'!$C$66)*'01 - Dados de Entrada'!$C$288</f>
        <v>64765.256000000008</v>
      </c>
      <c r="M55" s="278">
        <f>'04 - Veículos e Equipamentos'!L65*('01 - Dados de Entrada'!$C$65+'01 - Dados de Entrada'!$C$66)*'01 - Dados de Entrada'!$C$288</f>
        <v>64765.256000000008</v>
      </c>
      <c r="N55" s="278">
        <f>'04 - Veículos e Equipamentos'!M65*('01 - Dados de Entrada'!$C$65+'01 - Dados de Entrada'!$C$66)*'01 - Dados de Entrada'!$C$288</f>
        <v>64765.256000000008</v>
      </c>
      <c r="O55" s="278">
        <f>'04 - Veículos e Equipamentos'!N65*('01 - Dados de Entrada'!$C$65+'01 - Dados de Entrada'!$C$66)*'01 - Dados de Entrada'!$C$288</f>
        <v>64765.256000000008</v>
      </c>
      <c r="P55" s="278">
        <f>'04 - Veículos e Equipamentos'!O65*('01 - Dados de Entrada'!$C$65+'01 - Dados de Entrada'!$C$66)*'01 - Dados de Entrada'!$C$288</f>
        <v>64765.256000000008</v>
      </c>
      <c r="Q55" s="278">
        <f>'04 - Veículos e Equipamentos'!P65*('01 - Dados de Entrada'!$C$65+'01 - Dados de Entrada'!$C$66)*'01 - Dados de Entrada'!$C$288</f>
        <v>64765.256000000008</v>
      </c>
      <c r="R55" s="278">
        <f>'04 - Veículos e Equipamentos'!Q65*('01 - Dados de Entrada'!$C$65+'01 - Dados de Entrada'!$C$66)*'01 - Dados de Entrada'!$C$288</f>
        <v>64765.256000000008</v>
      </c>
      <c r="S55" s="278">
        <f>'04 - Veículos e Equipamentos'!R65*('01 - Dados de Entrada'!$C$65+'01 - Dados de Entrada'!$C$66)*'01 - Dados de Entrada'!$C$288</f>
        <v>64765.256000000008</v>
      </c>
      <c r="T55" s="278">
        <f>'04 - Veículos e Equipamentos'!S65*('01 - Dados de Entrada'!$C$65+'01 - Dados de Entrada'!$C$66)*'01 - Dados de Entrada'!$C$288</f>
        <v>64765.256000000008</v>
      </c>
      <c r="U55" s="278">
        <f>'04 - Veículos e Equipamentos'!T65*('01 - Dados de Entrada'!$C$65+'01 - Dados de Entrada'!$C$66)*'01 - Dados de Entrada'!$C$288</f>
        <v>64765.256000000008</v>
      </c>
      <c r="V55" s="278">
        <f>'04 - Veículos e Equipamentos'!U65*('01 - Dados de Entrada'!$C$65+'01 - Dados de Entrada'!$C$66)*'01 - Dados de Entrada'!$C$288</f>
        <v>64765.256000000008</v>
      </c>
      <c r="W55" s="278">
        <f>'04 - Veículos e Equipamentos'!V65*('01 - Dados de Entrada'!$C$65+'01 - Dados de Entrada'!$C$66)*'01 - Dados de Entrada'!$C$288</f>
        <v>64765.256000000008</v>
      </c>
      <c r="X55" s="278">
        <f>'04 - Veículos e Equipamentos'!W65*('01 - Dados de Entrada'!$C$65+'01 - Dados de Entrada'!$C$66)*'01 - Dados de Entrada'!$C$288</f>
        <v>64765.256000000008</v>
      </c>
      <c r="Y55" s="278">
        <f>'04 - Veículos e Equipamentos'!X65*('01 - Dados de Entrada'!$C$65+'01 - Dados de Entrada'!$C$66)*'01 - Dados de Entrada'!$C$288</f>
        <v>64765.256000000008</v>
      </c>
      <c r="Z55" s="278">
        <f>'04 - Veículos e Equipamentos'!Y65*('01 - Dados de Entrada'!$C$65+'01 - Dados de Entrada'!$C$66)*'01 - Dados de Entrada'!$C$288</f>
        <v>64765.256000000008</v>
      </c>
      <c r="AA55" s="278">
        <f>'04 - Veículos e Equipamentos'!Z65*('01 - Dados de Entrada'!$C$65+'01 - Dados de Entrada'!$C$66)*'01 - Dados de Entrada'!$C$288</f>
        <v>64765.256000000008</v>
      </c>
      <c r="AB55" s="278">
        <f>'04 - Veículos e Equipamentos'!AA65*('01 - Dados de Entrada'!$C$65+'01 - Dados de Entrada'!$C$66)*'01 - Dados de Entrada'!$C$288</f>
        <v>64765.256000000008</v>
      </c>
      <c r="AC55" s="278">
        <f>'04 - Veículos e Equipamentos'!AB65*('01 - Dados de Entrada'!$C$65+'01 - Dados de Entrada'!$C$66)*'01 - Dados de Entrada'!$C$288</f>
        <v>64765.256000000008</v>
      </c>
      <c r="AD55" s="278">
        <f>'04 - Veículos e Equipamentos'!AC65*('01 - Dados de Entrada'!$C$65+'01 - Dados de Entrada'!$C$66)*'01 - Dados de Entrada'!$C$288</f>
        <v>64765.256000000008</v>
      </c>
      <c r="AE55" s="278">
        <f>'04 - Veículos e Equipamentos'!AD65*('01 - Dados de Entrada'!$C$65+'01 - Dados de Entrada'!$C$66)*'01 - Dados de Entrada'!$C$288</f>
        <v>64765.256000000008</v>
      </c>
      <c r="AF55" s="278">
        <f>'04 - Veículos e Equipamentos'!AE65*('01 - Dados de Entrada'!$C$65+'01 - Dados de Entrada'!$C$66)*'01 - Dados de Entrada'!$C$288</f>
        <v>64765.256000000008</v>
      </c>
      <c r="AG55" s="278">
        <f>'04 - Veículos e Equipamentos'!AF65*('01 - Dados de Entrada'!$C$65+'01 - Dados de Entrada'!$C$66)*'01 - Dados de Entrada'!$C$288</f>
        <v>64765.256000000008</v>
      </c>
      <c r="AH55" s="278">
        <f>'04 - Veículos e Equipamentos'!AG65*('01 - Dados de Entrada'!$C$65+'01 - Dados de Entrada'!$C$66)*'01 - Dados de Entrada'!$C$288</f>
        <v>64765.256000000008</v>
      </c>
      <c r="AI55" s="278">
        <f>'04 - Veículos e Equipamentos'!AH65*('01 - Dados de Entrada'!$C$65+'01 - Dados de Entrada'!$C$66)*'01 - Dados de Entrada'!$C$288</f>
        <v>64765.256000000008</v>
      </c>
      <c r="AJ55" s="278">
        <f>'04 - Veículos e Equipamentos'!AI65*('01 - Dados de Entrada'!$C$65+'01 - Dados de Entrada'!$C$66)*'01 - Dados de Entrada'!$C$288</f>
        <v>64765.256000000008</v>
      </c>
      <c r="AK55" s="278">
        <f>'04 - Veículos e Equipamentos'!AJ65*('01 - Dados de Entrada'!$C$65+'01 - Dados de Entrada'!$C$66)*'01 - Dados de Entrada'!$C$288</f>
        <v>64765.256000000008</v>
      </c>
    </row>
    <row r="56" spans="1:37" s="158" customFormat="1" ht="13.15" customHeight="1" x14ac:dyDescent="0.2">
      <c r="A56" s="36" t="s">
        <v>819</v>
      </c>
      <c r="B56" s="149">
        <f>SUM(C56:AK56)</f>
        <v>59916.500000000036</v>
      </c>
      <c r="C56" s="278">
        <f>'04 - Veículos e Equipamentos'!B66*('01 - Dados de Entrada'!$C$57)*'01 - Dados de Entrada'!$C$288</f>
        <v>1711.9</v>
      </c>
      <c r="D56" s="278">
        <f>'04 - Veículos e Equipamentos'!C66*('01 - Dados de Entrada'!$C$57)*'01 - Dados de Entrada'!$C$288</f>
        <v>1711.9</v>
      </c>
      <c r="E56" s="278">
        <f>'04 - Veículos e Equipamentos'!D66*('01 - Dados de Entrada'!$C$57)*'01 - Dados de Entrada'!$C$288</f>
        <v>1711.9</v>
      </c>
      <c r="F56" s="278">
        <f>'04 - Veículos e Equipamentos'!E66*('01 - Dados de Entrada'!$C$57)*'01 - Dados de Entrada'!$C$288</f>
        <v>1711.9</v>
      </c>
      <c r="G56" s="278">
        <f>'04 - Veículos e Equipamentos'!F66*('01 - Dados de Entrada'!$C$57)*'01 - Dados de Entrada'!$C$288</f>
        <v>1711.9</v>
      </c>
      <c r="H56" s="278">
        <f>'04 - Veículos e Equipamentos'!G66*('01 - Dados de Entrada'!$C$57)*'01 - Dados de Entrada'!$C$288</f>
        <v>1711.9</v>
      </c>
      <c r="I56" s="278">
        <f>'04 - Veículos e Equipamentos'!H66*('01 - Dados de Entrada'!$C$57)*'01 - Dados de Entrada'!$C$288</f>
        <v>1711.9</v>
      </c>
      <c r="J56" s="278">
        <f>'04 - Veículos e Equipamentos'!I66*('01 - Dados de Entrada'!$C$57)*'01 - Dados de Entrada'!$C$288</f>
        <v>1711.9</v>
      </c>
      <c r="K56" s="278">
        <f>'04 - Veículos e Equipamentos'!J66*('01 - Dados de Entrada'!$C$57)*'01 - Dados de Entrada'!$C$288</f>
        <v>1711.9</v>
      </c>
      <c r="L56" s="278">
        <f>'04 - Veículos e Equipamentos'!K66*('01 - Dados de Entrada'!$C$57)*'01 - Dados de Entrada'!$C$288</f>
        <v>1711.9</v>
      </c>
      <c r="M56" s="278">
        <f>'04 - Veículos e Equipamentos'!L66*('01 - Dados de Entrada'!$C$57)*'01 - Dados de Entrada'!$C$288</f>
        <v>1711.9</v>
      </c>
      <c r="N56" s="278">
        <f>'04 - Veículos e Equipamentos'!M66*('01 - Dados de Entrada'!$C$57)*'01 - Dados de Entrada'!$C$288</f>
        <v>1711.9</v>
      </c>
      <c r="O56" s="278">
        <f>'04 - Veículos e Equipamentos'!N66*('01 - Dados de Entrada'!$C$57)*'01 - Dados de Entrada'!$C$288</f>
        <v>1711.9</v>
      </c>
      <c r="P56" s="278">
        <f>'04 - Veículos e Equipamentos'!O66*('01 - Dados de Entrada'!$C$57)*'01 - Dados de Entrada'!$C$288</f>
        <v>1711.9</v>
      </c>
      <c r="Q56" s="278">
        <f>'04 - Veículos e Equipamentos'!P66*('01 - Dados de Entrada'!$C$57)*'01 - Dados de Entrada'!$C$288</f>
        <v>1711.9</v>
      </c>
      <c r="R56" s="278">
        <f>'04 - Veículos e Equipamentos'!Q66*('01 - Dados de Entrada'!$C$57)*'01 - Dados de Entrada'!$C$288</f>
        <v>1711.9</v>
      </c>
      <c r="S56" s="278">
        <f>'04 - Veículos e Equipamentos'!R66*('01 - Dados de Entrada'!$C$57)*'01 - Dados de Entrada'!$C$288</f>
        <v>1711.9</v>
      </c>
      <c r="T56" s="278">
        <f>'04 - Veículos e Equipamentos'!S66*('01 - Dados de Entrada'!$C$57)*'01 - Dados de Entrada'!$C$288</f>
        <v>1711.9</v>
      </c>
      <c r="U56" s="278">
        <f>'04 - Veículos e Equipamentos'!T66*('01 - Dados de Entrada'!$C$57)*'01 - Dados de Entrada'!$C$288</f>
        <v>1711.9</v>
      </c>
      <c r="V56" s="278">
        <f>'04 - Veículos e Equipamentos'!U66*('01 - Dados de Entrada'!$C$57)*'01 - Dados de Entrada'!$C$288</f>
        <v>1711.9</v>
      </c>
      <c r="W56" s="278">
        <f>'04 - Veículos e Equipamentos'!V66*('01 - Dados de Entrada'!$C$57)*'01 - Dados de Entrada'!$C$288</f>
        <v>1711.9</v>
      </c>
      <c r="X56" s="278">
        <f>'04 - Veículos e Equipamentos'!W66*('01 - Dados de Entrada'!$C$57)*'01 - Dados de Entrada'!$C$288</f>
        <v>1711.9</v>
      </c>
      <c r="Y56" s="278">
        <f>'04 - Veículos e Equipamentos'!X66*('01 - Dados de Entrada'!$C$57)*'01 - Dados de Entrada'!$C$288</f>
        <v>1711.9</v>
      </c>
      <c r="Z56" s="278">
        <f>'04 - Veículos e Equipamentos'!Y66*('01 - Dados de Entrada'!$C$57)*'01 - Dados de Entrada'!$C$288</f>
        <v>1711.9</v>
      </c>
      <c r="AA56" s="278">
        <f>'04 - Veículos e Equipamentos'!Z66*('01 - Dados de Entrada'!$C$57)*'01 - Dados de Entrada'!$C$288</f>
        <v>1711.9</v>
      </c>
      <c r="AB56" s="278">
        <f>'04 - Veículos e Equipamentos'!AA66*('01 - Dados de Entrada'!$C$57)*'01 - Dados de Entrada'!$C$288</f>
        <v>1711.9</v>
      </c>
      <c r="AC56" s="278">
        <f>'04 - Veículos e Equipamentos'!AB66*('01 - Dados de Entrada'!$C$57)*'01 - Dados de Entrada'!$C$288</f>
        <v>1711.9</v>
      </c>
      <c r="AD56" s="278">
        <f>'04 - Veículos e Equipamentos'!AC66*('01 - Dados de Entrada'!$C$57)*'01 - Dados de Entrada'!$C$288</f>
        <v>1711.9</v>
      </c>
      <c r="AE56" s="278">
        <f>'04 - Veículos e Equipamentos'!AD66*('01 - Dados de Entrada'!$C$57)*'01 - Dados de Entrada'!$C$288</f>
        <v>1711.9</v>
      </c>
      <c r="AF56" s="278">
        <f>'04 - Veículos e Equipamentos'!AE66*('01 - Dados de Entrada'!$C$57)*'01 - Dados de Entrada'!$C$288</f>
        <v>1711.9</v>
      </c>
      <c r="AG56" s="278">
        <f>'04 - Veículos e Equipamentos'!AF66*('01 - Dados de Entrada'!$C$57)*'01 - Dados de Entrada'!$C$288</f>
        <v>1711.9</v>
      </c>
      <c r="AH56" s="278">
        <f>'04 - Veículos e Equipamentos'!AG66*('01 - Dados de Entrada'!$C$57)*'01 - Dados de Entrada'!$C$288</f>
        <v>1711.9</v>
      </c>
      <c r="AI56" s="278">
        <f>'04 - Veículos e Equipamentos'!AH66*('01 - Dados de Entrada'!$C$57)*'01 - Dados de Entrada'!$C$288</f>
        <v>1711.9</v>
      </c>
      <c r="AJ56" s="278">
        <f>'04 - Veículos e Equipamentos'!AI66*('01 - Dados de Entrada'!$C$57)*'01 - Dados de Entrada'!$C$288</f>
        <v>1711.9</v>
      </c>
      <c r="AK56" s="278">
        <f>'04 - Veículos e Equipamentos'!AJ66*('01 - Dados de Entrada'!$C$57)*'01 - Dados de Entrada'!$C$288</f>
        <v>1711.9</v>
      </c>
    </row>
    <row r="57" spans="1:37" s="158" customFormat="1" ht="13.15" customHeight="1" x14ac:dyDescent="0.2">
      <c r="A57" s="36" t="s">
        <v>439</v>
      </c>
      <c r="B57" s="149">
        <f>SUM(C57:AK57)</f>
        <v>1120000</v>
      </c>
      <c r="C57" s="278">
        <f>('04 - Veículos e Equipamentos'!B67+'04 - Veículos e Equipamentos'!B68)*('01 - Dados de Entrada'!$C$78)*'01 - Dados de Entrada'!$C$288</f>
        <v>32000</v>
      </c>
      <c r="D57" s="278">
        <f>('04 - Veículos e Equipamentos'!C67+'04 - Veículos e Equipamentos'!C68)*('01 - Dados de Entrada'!$C$78)*'01 - Dados de Entrada'!$C$288</f>
        <v>32000</v>
      </c>
      <c r="E57" s="278">
        <f>('04 - Veículos e Equipamentos'!D67+'04 - Veículos e Equipamentos'!D68)*('01 - Dados de Entrada'!$C$78)*'01 - Dados de Entrada'!$C$288</f>
        <v>32000</v>
      </c>
      <c r="F57" s="278">
        <f>('04 - Veículos e Equipamentos'!E67+'04 - Veículos e Equipamentos'!E68)*('01 - Dados de Entrada'!$C$78)*'01 - Dados de Entrada'!$C$288</f>
        <v>32000</v>
      </c>
      <c r="G57" s="278">
        <f>('04 - Veículos e Equipamentos'!F67+'04 - Veículos e Equipamentos'!F68)*('01 - Dados de Entrada'!$C$78)*'01 - Dados de Entrada'!$C$288</f>
        <v>32000</v>
      </c>
      <c r="H57" s="278">
        <f>('04 - Veículos e Equipamentos'!G67+'04 - Veículos e Equipamentos'!G68)*('01 - Dados de Entrada'!$C$78)*'01 - Dados de Entrada'!$C$288</f>
        <v>32000</v>
      </c>
      <c r="I57" s="278">
        <f>('04 - Veículos e Equipamentos'!H67+'04 - Veículos e Equipamentos'!H68)*('01 - Dados de Entrada'!$C$78)*'01 - Dados de Entrada'!$C$288</f>
        <v>32000</v>
      </c>
      <c r="J57" s="278">
        <f>('04 - Veículos e Equipamentos'!I67+'04 - Veículos e Equipamentos'!I68)*('01 - Dados de Entrada'!$C$78)*'01 - Dados de Entrada'!$C$288</f>
        <v>32000</v>
      </c>
      <c r="K57" s="278">
        <f>('04 - Veículos e Equipamentos'!J67+'04 - Veículos e Equipamentos'!J68)*('01 - Dados de Entrada'!$C$78)*'01 - Dados de Entrada'!$C$288</f>
        <v>32000</v>
      </c>
      <c r="L57" s="278">
        <f>('04 - Veículos e Equipamentos'!K67+'04 - Veículos e Equipamentos'!K68)*('01 - Dados de Entrada'!$C$78)*'01 - Dados de Entrada'!$C$288</f>
        <v>32000</v>
      </c>
      <c r="M57" s="278">
        <f>('04 - Veículos e Equipamentos'!L67+'04 - Veículos e Equipamentos'!L68)*('01 - Dados de Entrada'!$C$78)*'01 - Dados de Entrada'!$C$288</f>
        <v>32000</v>
      </c>
      <c r="N57" s="278">
        <f>('04 - Veículos e Equipamentos'!M67+'04 - Veículos e Equipamentos'!M68)*('01 - Dados de Entrada'!$C$78)*'01 - Dados de Entrada'!$C$288</f>
        <v>32000</v>
      </c>
      <c r="O57" s="278">
        <f>('04 - Veículos e Equipamentos'!N67+'04 - Veículos e Equipamentos'!N68)*('01 - Dados de Entrada'!$C$78)*'01 - Dados de Entrada'!$C$288</f>
        <v>32000</v>
      </c>
      <c r="P57" s="278">
        <f>('04 - Veículos e Equipamentos'!O67+'04 - Veículos e Equipamentos'!O68)*('01 - Dados de Entrada'!$C$78)*'01 - Dados de Entrada'!$C$288</f>
        <v>32000</v>
      </c>
      <c r="Q57" s="278">
        <f>('04 - Veículos e Equipamentos'!P67+'04 - Veículos e Equipamentos'!P68)*('01 - Dados de Entrada'!$C$78)*'01 - Dados de Entrada'!$C$288</f>
        <v>32000</v>
      </c>
      <c r="R57" s="278">
        <f>('04 - Veículos e Equipamentos'!Q67+'04 - Veículos e Equipamentos'!Q68)*('01 - Dados de Entrada'!$C$78)*'01 - Dados de Entrada'!$C$288</f>
        <v>32000</v>
      </c>
      <c r="S57" s="278">
        <f>('04 - Veículos e Equipamentos'!R67+'04 - Veículos e Equipamentos'!R68)*('01 - Dados de Entrada'!$C$78)*'01 - Dados de Entrada'!$C$288</f>
        <v>32000</v>
      </c>
      <c r="T57" s="278">
        <f>('04 - Veículos e Equipamentos'!S67+'04 - Veículos e Equipamentos'!S68)*('01 - Dados de Entrada'!$C$78)*'01 - Dados de Entrada'!$C$288</f>
        <v>32000</v>
      </c>
      <c r="U57" s="278">
        <f>('04 - Veículos e Equipamentos'!T67+'04 - Veículos e Equipamentos'!T68)*('01 - Dados de Entrada'!$C$78)*'01 - Dados de Entrada'!$C$288</f>
        <v>32000</v>
      </c>
      <c r="V57" s="278">
        <f>('04 - Veículos e Equipamentos'!U67+'04 - Veículos e Equipamentos'!U68)*('01 - Dados de Entrada'!$C$78)*'01 - Dados de Entrada'!$C$288</f>
        <v>32000</v>
      </c>
      <c r="W57" s="278">
        <f>('04 - Veículos e Equipamentos'!V67+'04 - Veículos e Equipamentos'!V68)*('01 - Dados de Entrada'!$C$78)*'01 - Dados de Entrada'!$C$288</f>
        <v>32000</v>
      </c>
      <c r="X57" s="278">
        <f>('04 - Veículos e Equipamentos'!W67+'04 - Veículos e Equipamentos'!W68)*('01 - Dados de Entrada'!$C$78)*'01 - Dados de Entrada'!$C$288</f>
        <v>32000</v>
      </c>
      <c r="Y57" s="278">
        <f>('04 - Veículos e Equipamentos'!X67+'04 - Veículos e Equipamentos'!X68)*('01 - Dados de Entrada'!$C$78)*'01 - Dados de Entrada'!$C$288</f>
        <v>32000</v>
      </c>
      <c r="Z57" s="278">
        <f>('04 - Veículos e Equipamentos'!Y67+'04 - Veículos e Equipamentos'!Y68)*('01 - Dados de Entrada'!$C$78)*'01 - Dados de Entrada'!$C$288</f>
        <v>32000</v>
      </c>
      <c r="AA57" s="278">
        <f>('04 - Veículos e Equipamentos'!Z67+'04 - Veículos e Equipamentos'!Z68)*('01 - Dados de Entrada'!$C$78)*'01 - Dados de Entrada'!$C$288</f>
        <v>32000</v>
      </c>
      <c r="AB57" s="278">
        <f>('04 - Veículos e Equipamentos'!AA67+'04 - Veículos e Equipamentos'!AA68)*('01 - Dados de Entrada'!$C$78)*'01 - Dados de Entrada'!$C$288</f>
        <v>32000</v>
      </c>
      <c r="AC57" s="278">
        <f>('04 - Veículos e Equipamentos'!AB67+'04 - Veículos e Equipamentos'!AB68)*('01 - Dados de Entrada'!$C$78)*'01 - Dados de Entrada'!$C$288</f>
        <v>32000</v>
      </c>
      <c r="AD57" s="278">
        <f>('04 - Veículos e Equipamentos'!AC67+'04 - Veículos e Equipamentos'!AC68)*('01 - Dados de Entrada'!$C$78)*'01 - Dados de Entrada'!$C$288</f>
        <v>32000</v>
      </c>
      <c r="AE57" s="278">
        <f>('04 - Veículos e Equipamentos'!AD67+'04 - Veículos e Equipamentos'!AD68)*('01 - Dados de Entrada'!$C$78)*'01 - Dados de Entrada'!$C$288</f>
        <v>32000</v>
      </c>
      <c r="AF57" s="278">
        <f>('04 - Veículos e Equipamentos'!AE67+'04 - Veículos e Equipamentos'!AE68)*('01 - Dados de Entrada'!$C$78)*'01 - Dados de Entrada'!$C$288</f>
        <v>32000</v>
      </c>
      <c r="AG57" s="278">
        <f>('04 - Veículos e Equipamentos'!AF67+'04 - Veículos e Equipamentos'!AF68)*('01 - Dados de Entrada'!$C$78)*'01 - Dados de Entrada'!$C$288</f>
        <v>32000</v>
      </c>
      <c r="AH57" s="278">
        <f>('04 - Veículos e Equipamentos'!AG67+'04 - Veículos e Equipamentos'!AG68)*('01 - Dados de Entrada'!$C$78)*'01 - Dados de Entrada'!$C$288</f>
        <v>32000</v>
      </c>
      <c r="AI57" s="278">
        <f>('04 - Veículos e Equipamentos'!AH67+'04 - Veículos e Equipamentos'!AH68)*('01 - Dados de Entrada'!$C$78)*'01 - Dados de Entrada'!$C$288</f>
        <v>32000</v>
      </c>
      <c r="AJ57" s="278">
        <f>('04 - Veículos e Equipamentos'!AI67+'04 - Veículos e Equipamentos'!AI68)*('01 - Dados de Entrada'!$C$78)*'01 - Dados de Entrada'!$C$288</f>
        <v>32000</v>
      </c>
      <c r="AK57" s="278">
        <f>('04 - Veículos e Equipamentos'!AJ67+'04 - Veículos e Equipamentos'!AJ68)*('01 - Dados de Entrada'!$C$78)*'01 - Dados de Entrada'!$C$288</f>
        <v>32000</v>
      </c>
    </row>
    <row r="58" spans="1:37" s="158" customFormat="1" ht="13.15" customHeight="1" x14ac:dyDescent="0.2">
      <c r="A58" s="36" t="s">
        <v>163</v>
      </c>
      <c r="B58" s="149">
        <f>SUM(C58:AK58)</f>
        <v>38850</v>
      </c>
      <c r="C58" s="278">
        <f>('04 - Veículos e Equipamentos'!B69+'04 - Veículos e Equipamentos'!B70)*('01 - Dados de Entrada'!$C$79)*'01 - Dados de Entrada'!$C$288</f>
        <v>1110</v>
      </c>
      <c r="D58" s="278">
        <f>('04 - Veículos e Equipamentos'!C69+'04 - Veículos e Equipamentos'!C70)*('01 - Dados de Entrada'!$C$79)*'01 - Dados de Entrada'!$C$288</f>
        <v>1110</v>
      </c>
      <c r="E58" s="278">
        <f>('04 - Veículos e Equipamentos'!D69+'04 - Veículos e Equipamentos'!D70)*('01 - Dados de Entrada'!$C$79)*'01 - Dados de Entrada'!$C$288</f>
        <v>1110</v>
      </c>
      <c r="F58" s="278">
        <f>('04 - Veículos e Equipamentos'!E69+'04 - Veículos e Equipamentos'!E70)*('01 - Dados de Entrada'!$C$79)*'01 - Dados de Entrada'!$C$288</f>
        <v>1110</v>
      </c>
      <c r="G58" s="278">
        <f>('04 - Veículos e Equipamentos'!F69+'04 - Veículos e Equipamentos'!F70)*('01 - Dados de Entrada'!$C$79)*'01 - Dados de Entrada'!$C$288</f>
        <v>1110</v>
      </c>
      <c r="H58" s="278">
        <f>('04 - Veículos e Equipamentos'!G69+'04 - Veículos e Equipamentos'!G70)*('01 - Dados de Entrada'!$C$79)*'01 - Dados de Entrada'!$C$288</f>
        <v>1110</v>
      </c>
      <c r="I58" s="278">
        <f>('04 - Veículos e Equipamentos'!H69+'04 - Veículos e Equipamentos'!H70)*('01 - Dados de Entrada'!$C$79)*'01 - Dados de Entrada'!$C$288</f>
        <v>1110</v>
      </c>
      <c r="J58" s="278">
        <f>('04 - Veículos e Equipamentos'!I69+'04 - Veículos e Equipamentos'!I70)*('01 - Dados de Entrada'!$C$79)*'01 - Dados de Entrada'!$C$288</f>
        <v>1110</v>
      </c>
      <c r="K58" s="278">
        <f>('04 - Veículos e Equipamentos'!J69+'04 - Veículos e Equipamentos'!J70)*('01 - Dados de Entrada'!$C$79)*'01 - Dados de Entrada'!$C$288</f>
        <v>1110</v>
      </c>
      <c r="L58" s="278">
        <f>('04 - Veículos e Equipamentos'!K69+'04 - Veículos e Equipamentos'!K70)*('01 - Dados de Entrada'!$C$79)*'01 - Dados de Entrada'!$C$288</f>
        <v>1110</v>
      </c>
      <c r="M58" s="278">
        <f>('04 - Veículos e Equipamentos'!L69+'04 - Veículos e Equipamentos'!L70)*('01 - Dados de Entrada'!$C$79)*'01 - Dados de Entrada'!$C$288</f>
        <v>1110</v>
      </c>
      <c r="N58" s="278">
        <f>('04 - Veículos e Equipamentos'!M69+'04 - Veículos e Equipamentos'!M70)*('01 - Dados de Entrada'!$C$79)*'01 - Dados de Entrada'!$C$288</f>
        <v>1110</v>
      </c>
      <c r="O58" s="278">
        <f>('04 - Veículos e Equipamentos'!N69+'04 - Veículos e Equipamentos'!N70)*('01 - Dados de Entrada'!$C$79)*'01 - Dados de Entrada'!$C$288</f>
        <v>1110</v>
      </c>
      <c r="P58" s="278">
        <f>('04 - Veículos e Equipamentos'!O69+'04 - Veículos e Equipamentos'!O70)*('01 - Dados de Entrada'!$C$79)*'01 - Dados de Entrada'!$C$288</f>
        <v>1110</v>
      </c>
      <c r="Q58" s="278">
        <f>('04 - Veículos e Equipamentos'!P69+'04 - Veículos e Equipamentos'!P70)*('01 - Dados de Entrada'!$C$79)*'01 - Dados de Entrada'!$C$288</f>
        <v>1110</v>
      </c>
      <c r="R58" s="278">
        <f>('04 - Veículos e Equipamentos'!Q69+'04 - Veículos e Equipamentos'!Q70)*('01 - Dados de Entrada'!$C$79)*'01 - Dados de Entrada'!$C$288</f>
        <v>1110</v>
      </c>
      <c r="S58" s="278">
        <f>('04 - Veículos e Equipamentos'!R69+'04 - Veículos e Equipamentos'!R70)*('01 - Dados de Entrada'!$C$79)*'01 - Dados de Entrada'!$C$288</f>
        <v>1110</v>
      </c>
      <c r="T58" s="278">
        <f>('04 - Veículos e Equipamentos'!S69+'04 - Veículos e Equipamentos'!S70)*('01 - Dados de Entrada'!$C$79)*'01 - Dados de Entrada'!$C$288</f>
        <v>1110</v>
      </c>
      <c r="U58" s="278">
        <f>('04 - Veículos e Equipamentos'!T69+'04 - Veículos e Equipamentos'!T70)*('01 - Dados de Entrada'!$C$79)*'01 - Dados de Entrada'!$C$288</f>
        <v>1110</v>
      </c>
      <c r="V58" s="278">
        <f>('04 - Veículos e Equipamentos'!U69+'04 - Veículos e Equipamentos'!U70)*('01 - Dados de Entrada'!$C$79)*'01 - Dados de Entrada'!$C$288</f>
        <v>1110</v>
      </c>
      <c r="W58" s="278">
        <f>('04 - Veículos e Equipamentos'!V69+'04 - Veículos e Equipamentos'!V70)*('01 - Dados de Entrada'!$C$79)*'01 - Dados de Entrada'!$C$288</f>
        <v>1110</v>
      </c>
      <c r="X58" s="278">
        <f>('04 - Veículos e Equipamentos'!W69+'04 - Veículos e Equipamentos'!W70)*('01 - Dados de Entrada'!$C$79)*'01 - Dados de Entrada'!$C$288</f>
        <v>1110</v>
      </c>
      <c r="Y58" s="278">
        <f>('04 - Veículos e Equipamentos'!X69+'04 - Veículos e Equipamentos'!X70)*('01 - Dados de Entrada'!$C$79)*'01 - Dados de Entrada'!$C$288</f>
        <v>1110</v>
      </c>
      <c r="Z58" s="278">
        <f>('04 - Veículos e Equipamentos'!Y69+'04 - Veículos e Equipamentos'!Y70)*('01 - Dados de Entrada'!$C$79)*'01 - Dados de Entrada'!$C$288</f>
        <v>1110</v>
      </c>
      <c r="AA58" s="278">
        <f>('04 - Veículos e Equipamentos'!Z69+'04 - Veículos e Equipamentos'!Z70)*('01 - Dados de Entrada'!$C$79)*'01 - Dados de Entrada'!$C$288</f>
        <v>1110</v>
      </c>
      <c r="AB58" s="278">
        <f>('04 - Veículos e Equipamentos'!AA69+'04 - Veículos e Equipamentos'!AA70)*('01 - Dados de Entrada'!$C$79)*'01 - Dados de Entrada'!$C$288</f>
        <v>1110</v>
      </c>
      <c r="AC58" s="278">
        <f>('04 - Veículos e Equipamentos'!AB69+'04 - Veículos e Equipamentos'!AB70)*('01 - Dados de Entrada'!$C$79)*'01 - Dados de Entrada'!$C$288</f>
        <v>1110</v>
      </c>
      <c r="AD58" s="278">
        <f>('04 - Veículos e Equipamentos'!AC69+'04 - Veículos e Equipamentos'!AC70)*('01 - Dados de Entrada'!$C$79)*'01 - Dados de Entrada'!$C$288</f>
        <v>1110</v>
      </c>
      <c r="AE58" s="278">
        <f>('04 - Veículos e Equipamentos'!AD69+'04 - Veículos e Equipamentos'!AD70)*('01 - Dados de Entrada'!$C$79)*'01 - Dados de Entrada'!$C$288</f>
        <v>1110</v>
      </c>
      <c r="AF58" s="278">
        <f>('04 - Veículos e Equipamentos'!AE69+'04 - Veículos e Equipamentos'!AE70)*('01 - Dados de Entrada'!$C$79)*'01 - Dados de Entrada'!$C$288</f>
        <v>1110</v>
      </c>
      <c r="AG58" s="278">
        <f>('04 - Veículos e Equipamentos'!AF69+'04 - Veículos e Equipamentos'!AF70)*('01 - Dados de Entrada'!$C$79)*'01 - Dados de Entrada'!$C$288</f>
        <v>1110</v>
      </c>
      <c r="AH58" s="278">
        <f>('04 - Veículos e Equipamentos'!AG69+'04 - Veículos e Equipamentos'!AG70)*('01 - Dados de Entrada'!$C$79)*'01 - Dados de Entrada'!$C$288</f>
        <v>1110</v>
      </c>
      <c r="AI58" s="278">
        <f>('04 - Veículos e Equipamentos'!AH69+'04 - Veículos e Equipamentos'!AH70)*('01 - Dados de Entrada'!$C$79)*'01 - Dados de Entrada'!$C$288</f>
        <v>1110</v>
      </c>
      <c r="AJ58" s="278">
        <f>('04 - Veículos e Equipamentos'!AI69+'04 - Veículos e Equipamentos'!AI70)*('01 - Dados de Entrada'!$C$79)*'01 - Dados de Entrada'!$C$288</f>
        <v>1110</v>
      </c>
      <c r="AK58" s="278">
        <f>('04 - Veículos e Equipamentos'!AJ69+'04 - Veículos e Equipamentos'!AJ70)*('01 - Dados de Entrada'!$C$79)*'01 - Dados de Entrada'!$C$288</f>
        <v>1110</v>
      </c>
    </row>
    <row r="59" spans="1:37" s="158" customFormat="1" ht="13.15" customHeight="1" x14ac:dyDescent="0.2">
      <c r="A59" s="36" t="s">
        <v>165</v>
      </c>
      <c r="B59" s="149">
        <f>SUM(C59:AK59)</f>
        <v>34648.950000000019</v>
      </c>
      <c r="C59" s="278">
        <f>('04 - Veículos e Equipamentos'!B71+'04 - Veículos e Equipamentos'!B72)*('01 - Dados de Entrada'!$C$80)*'01 - Dados de Entrada'!$C$288</f>
        <v>989.97000000000014</v>
      </c>
      <c r="D59" s="278">
        <f>('04 - Veículos e Equipamentos'!C71+'04 - Veículos e Equipamentos'!C72)*('01 - Dados de Entrada'!$C$80)*'01 - Dados de Entrada'!$C$288</f>
        <v>989.97000000000014</v>
      </c>
      <c r="E59" s="278">
        <f>('04 - Veículos e Equipamentos'!D71+'04 - Veículos e Equipamentos'!D72)*('01 - Dados de Entrada'!$C$80)*'01 - Dados de Entrada'!$C$288</f>
        <v>989.97000000000014</v>
      </c>
      <c r="F59" s="278">
        <f>('04 - Veículos e Equipamentos'!E71+'04 - Veículos e Equipamentos'!E72)*('01 - Dados de Entrada'!$C$80)*'01 - Dados de Entrada'!$C$288</f>
        <v>989.97000000000014</v>
      </c>
      <c r="G59" s="278">
        <f>('04 - Veículos e Equipamentos'!F71+'04 - Veículos e Equipamentos'!F72)*('01 - Dados de Entrada'!$C$80)*'01 - Dados de Entrada'!$C$288</f>
        <v>989.97000000000014</v>
      </c>
      <c r="H59" s="278">
        <f>('04 - Veículos e Equipamentos'!G71+'04 - Veículos e Equipamentos'!G72)*('01 - Dados de Entrada'!$C$80)*'01 - Dados de Entrada'!$C$288</f>
        <v>989.97000000000014</v>
      </c>
      <c r="I59" s="278">
        <f>('04 - Veículos e Equipamentos'!H71+'04 - Veículos e Equipamentos'!H72)*('01 - Dados de Entrada'!$C$80)*'01 - Dados de Entrada'!$C$288</f>
        <v>989.97000000000014</v>
      </c>
      <c r="J59" s="278">
        <f>('04 - Veículos e Equipamentos'!I71+'04 - Veículos e Equipamentos'!I72)*('01 - Dados de Entrada'!$C$80)*'01 - Dados de Entrada'!$C$288</f>
        <v>989.97000000000014</v>
      </c>
      <c r="K59" s="278">
        <f>('04 - Veículos e Equipamentos'!J71+'04 - Veículos e Equipamentos'!J72)*('01 - Dados de Entrada'!$C$80)*'01 - Dados de Entrada'!$C$288</f>
        <v>989.97000000000014</v>
      </c>
      <c r="L59" s="278">
        <f>('04 - Veículos e Equipamentos'!K71+'04 - Veículos e Equipamentos'!K72)*('01 - Dados de Entrada'!$C$80)*'01 - Dados de Entrada'!$C$288</f>
        <v>989.97000000000014</v>
      </c>
      <c r="M59" s="278">
        <f>('04 - Veículos e Equipamentos'!L71+'04 - Veículos e Equipamentos'!L72)*('01 - Dados de Entrada'!$C$80)*'01 - Dados de Entrada'!$C$288</f>
        <v>989.97000000000014</v>
      </c>
      <c r="N59" s="278">
        <f>('04 - Veículos e Equipamentos'!M71+'04 - Veículos e Equipamentos'!M72)*('01 - Dados de Entrada'!$C$80)*'01 - Dados de Entrada'!$C$288</f>
        <v>989.97000000000014</v>
      </c>
      <c r="O59" s="278">
        <f>('04 - Veículos e Equipamentos'!N71+'04 - Veículos e Equipamentos'!N72)*('01 - Dados de Entrada'!$C$80)*'01 - Dados de Entrada'!$C$288</f>
        <v>989.97000000000014</v>
      </c>
      <c r="P59" s="278">
        <f>('04 - Veículos e Equipamentos'!O71+'04 - Veículos e Equipamentos'!O72)*('01 - Dados de Entrada'!$C$80)*'01 - Dados de Entrada'!$C$288</f>
        <v>989.97000000000014</v>
      </c>
      <c r="Q59" s="278">
        <f>('04 - Veículos e Equipamentos'!P71+'04 - Veículos e Equipamentos'!P72)*('01 - Dados de Entrada'!$C$80)*'01 - Dados de Entrada'!$C$288</f>
        <v>989.97000000000014</v>
      </c>
      <c r="R59" s="278">
        <f>('04 - Veículos e Equipamentos'!Q71+'04 - Veículos e Equipamentos'!Q72)*('01 - Dados de Entrada'!$C$80)*'01 - Dados de Entrada'!$C$288</f>
        <v>989.97000000000014</v>
      </c>
      <c r="S59" s="278">
        <f>('04 - Veículos e Equipamentos'!R71+'04 - Veículos e Equipamentos'!R72)*('01 - Dados de Entrada'!$C$80)*'01 - Dados de Entrada'!$C$288</f>
        <v>989.97000000000014</v>
      </c>
      <c r="T59" s="278">
        <f>('04 - Veículos e Equipamentos'!S71+'04 - Veículos e Equipamentos'!S72)*('01 - Dados de Entrada'!$C$80)*'01 - Dados de Entrada'!$C$288</f>
        <v>989.97000000000014</v>
      </c>
      <c r="U59" s="278">
        <f>('04 - Veículos e Equipamentos'!T71+'04 - Veículos e Equipamentos'!T72)*('01 - Dados de Entrada'!$C$80)*'01 - Dados de Entrada'!$C$288</f>
        <v>989.97000000000014</v>
      </c>
      <c r="V59" s="278">
        <f>('04 - Veículos e Equipamentos'!U71+'04 - Veículos e Equipamentos'!U72)*('01 - Dados de Entrada'!$C$80)*'01 - Dados de Entrada'!$C$288</f>
        <v>989.97000000000014</v>
      </c>
      <c r="W59" s="278">
        <f>('04 - Veículos e Equipamentos'!V71+'04 - Veículos e Equipamentos'!V72)*('01 - Dados de Entrada'!$C$80)*'01 - Dados de Entrada'!$C$288</f>
        <v>989.97000000000014</v>
      </c>
      <c r="X59" s="278">
        <f>('04 - Veículos e Equipamentos'!W71+'04 - Veículos e Equipamentos'!W72)*('01 - Dados de Entrada'!$C$80)*'01 - Dados de Entrada'!$C$288</f>
        <v>989.97000000000014</v>
      </c>
      <c r="Y59" s="278">
        <f>('04 - Veículos e Equipamentos'!X71+'04 - Veículos e Equipamentos'!X72)*('01 - Dados de Entrada'!$C$80)*'01 - Dados de Entrada'!$C$288</f>
        <v>989.97000000000014</v>
      </c>
      <c r="Z59" s="278">
        <f>('04 - Veículos e Equipamentos'!Y71+'04 - Veículos e Equipamentos'!Y72)*('01 - Dados de Entrada'!$C$80)*'01 - Dados de Entrada'!$C$288</f>
        <v>989.97000000000014</v>
      </c>
      <c r="AA59" s="278">
        <f>('04 - Veículos e Equipamentos'!Z71+'04 - Veículos e Equipamentos'!Z72)*('01 - Dados de Entrada'!$C$80)*'01 - Dados de Entrada'!$C$288</f>
        <v>989.97000000000014</v>
      </c>
      <c r="AB59" s="278">
        <f>('04 - Veículos e Equipamentos'!AA71+'04 - Veículos e Equipamentos'!AA72)*('01 - Dados de Entrada'!$C$80)*'01 - Dados de Entrada'!$C$288</f>
        <v>989.97000000000014</v>
      </c>
      <c r="AC59" s="278">
        <f>('04 - Veículos e Equipamentos'!AB71+'04 - Veículos e Equipamentos'!AB72)*('01 - Dados de Entrada'!$C$80)*'01 - Dados de Entrada'!$C$288</f>
        <v>989.97000000000014</v>
      </c>
      <c r="AD59" s="278">
        <f>('04 - Veículos e Equipamentos'!AC71+'04 - Veículos e Equipamentos'!AC72)*('01 - Dados de Entrada'!$C$80)*'01 - Dados de Entrada'!$C$288</f>
        <v>989.97000000000014</v>
      </c>
      <c r="AE59" s="278">
        <f>('04 - Veículos e Equipamentos'!AD71+'04 - Veículos e Equipamentos'!AD72)*('01 - Dados de Entrada'!$C$80)*'01 - Dados de Entrada'!$C$288</f>
        <v>989.97000000000014</v>
      </c>
      <c r="AF59" s="278">
        <f>('04 - Veículos e Equipamentos'!AE71+'04 - Veículos e Equipamentos'!AE72)*('01 - Dados de Entrada'!$C$80)*'01 - Dados de Entrada'!$C$288</f>
        <v>989.97000000000014</v>
      </c>
      <c r="AG59" s="278">
        <f>('04 - Veículos e Equipamentos'!AF71+'04 - Veículos e Equipamentos'!AF72)*('01 - Dados de Entrada'!$C$80)*'01 - Dados de Entrada'!$C$288</f>
        <v>989.97000000000014</v>
      </c>
      <c r="AH59" s="278">
        <f>('04 - Veículos e Equipamentos'!AG71+'04 - Veículos e Equipamentos'!AG72)*('01 - Dados de Entrada'!$C$80)*'01 - Dados de Entrada'!$C$288</f>
        <v>989.97000000000014</v>
      </c>
      <c r="AI59" s="278">
        <f>('04 - Veículos e Equipamentos'!AH71+'04 - Veículos e Equipamentos'!AH72)*('01 - Dados de Entrada'!$C$80)*'01 - Dados de Entrada'!$C$288</f>
        <v>989.97000000000014</v>
      </c>
      <c r="AJ59" s="278">
        <f>('04 - Veículos e Equipamentos'!AI71+'04 - Veículos e Equipamentos'!AI72)*('01 - Dados de Entrada'!$C$80)*'01 - Dados de Entrada'!$C$288</f>
        <v>989.97000000000014</v>
      </c>
      <c r="AK59" s="278">
        <f>('04 - Veículos e Equipamentos'!AJ71+'04 - Veículos e Equipamentos'!AJ72)*('01 - Dados de Entrada'!$C$80)*'01 - Dados de Entrada'!$C$288</f>
        <v>989.97000000000014</v>
      </c>
    </row>
    <row r="60" spans="1:37" s="35" customFormat="1" ht="13.15" customHeight="1" x14ac:dyDescent="0.2">
      <c r="A60" s="263" t="s">
        <v>885</v>
      </c>
      <c r="B60" s="263"/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8"/>
      <c r="O60" s="278"/>
      <c r="P60" s="278"/>
      <c r="Q60" s="278"/>
      <c r="R60" s="278"/>
      <c r="S60" s="278"/>
      <c r="T60" s="278"/>
      <c r="U60" s="278"/>
      <c r="V60" s="278"/>
      <c r="W60" s="278"/>
      <c r="X60" s="278"/>
      <c r="Y60" s="278"/>
      <c r="Z60" s="278"/>
      <c r="AA60" s="278"/>
      <c r="AB60" s="278"/>
      <c r="AC60" s="278"/>
      <c r="AD60" s="278"/>
      <c r="AE60" s="278"/>
      <c r="AF60" s="278"/>
      <c r="AG60" s="278"/>
      <c r="AH60" s="278"/>
      <c r="AI60" s="278"/>
      <c r="AJ60" s="278"/>
      <c r="AK60" s="278"/>
    </row>
    <row r="61" spans="1:37" s="152" customFormat="1" ht="13.15" customHeight="1" x14ac:dyDescent="0.2">
      <c r="A61" s="34" t="s">
        <v>794</v>
      </c>
      <c r="B61" s="149">
        <f>SUM(C61:AK61)</f>
        <v>119833.00000000007</v>
      </c>
      <c r="C61" s="278">
        <f>'04 - Veículos e Equipamentos'!B74*'01 - Dados de Entrada'!$C$57*'01 - Dados de Entrada'!$C$288</f>
        <v>3423.8</v>
      </c>
      <c r="D61" s="278">
        <f>'04 - Veículos e Equipamentos'!C74*'01 - Dados de Entrada'!$C$57*'01 - Dados de Entrada'!$C$288</f>
        <v>3423.8</v>
      </c>
      <c r="E61" s="278">
        <f>'04 - Veículos e Equipamentos'!D74*'01 - Dados de Entrada'!$C$57*'01 - Dados de Entrada'!$C$288</f>
        <v>3423.8</v>
      </c>
      <c r="F61" s="278">
        <f>'04 - Veículos e Equipamentos'!E74*'01 - Dados de Entrada'!$C$57*'01 - Dados de Entrada'!$C$288</f>
        <v>3423.8</v>
      </c>
      <c r="G61" s="278">
        <f>'04 - Veículos e Equipamentos'!F74*'01 - Dados de Entrada'!$C$57*'01 - Dados de Entrada'!$C$288</f>
        <v>3423.8</v>
      </c>
      <c r="H61" s="278">
        <f>'04 - Veículos e Equipamentos'!G74*'01 - Dados de Entrada'!$C$57*'01 - Dados de Entrada'!$C$288</f>
        <v>3423.8</v>
      </c>
      <c r="I61" s="278">
        <f>'04 - Veículos e Equipamentos'!H74*'01 - Dados de Entrada'!$C$57*'01 - Dados de Entrada'!$C$288</f>
        <v>3423.8</v>
      </c>
      <c r="J61" s="278">
        <f>'04 - Veículos e Equipamentos'!I74*'01 - Dados de Entrada'!$C$57*'01 - Dados de Entrada'!$C$288</f>
        <v>3423.8</v>
      </c>
      <c r="K61" s="278">
        <f>'04 - Veículos e Equipamentos'!J74*'01 - Dados de Entrada'!$C$57*'01 - Dados de Entrada'!$C$288</f>
        <v>3423.8</v>
      </c>
      <c r="L61" s="278">
        <f>'04 - Veículos e Equipamentos'!K74*'01 - Dados de Entrada'!$C$57*'01 - Dados de Entrada'!$C$288</f>
        <v>3423.8</v>
      </c>
      <c r="M61" s="278">
        <f>'04 - Veículos e Equipamentos'!L74*'01 - Dados de Entrada'!$C$57*'01 - Dados de Entrada'!$C$288</f>
        <v>3423.8</v>
      </c>
      <c r="N61" s="278">
        <f>'04 - Veículos e Equipamentos'!M74*'01 - Dados de Entrada'!$C$57*'01 - Dados de Entrada'!$C$288</f>
        <v>3423.8</v>
      </c>
      <c r="O61" s="278">
        <f>'04 - Veículos e Equipamentos'!N74*'01 - Dados de Entrada'!$C$57*'01 - Dados de Entrada'!$C$288</f>
        <v>3423.8</v>
      </c>
      <c r="P61" s="278">
        <f>'04 - Veículos e Equipamentos'!O74*'01 - Dados de Entrada'!$C$57*'01 - Dados de Entrada'!$C$288</f>
        <v>3423.8</v>
      </c>
      <c r="Q61" s="278">
        <f>'04 - Veículos e Equipamentos'!P74*'01 - Dados de Entrada'!$C$57*'01 - Dados de Entrada'!$C$288</f>
        <v>3423.8</v>
      </c>
      <c r="R61" s="278">
        <f>'04 - Veículos e Equipamentos'!Q74*'01 - Dados de Entrada'!$C$57*'01 - Dados de Entrada'!$C$288</f>
        <v>3423.8</v>
      </c>
      <c r="S61" s="278">
        <f>'04 - Veículos e Equipamentos'!R74*'01 - Dados de Entrada'!$C$57*'01 - Dados de Entrada'!$C$288</f>
        <v>3423.8</v>
      </c>
      <c r="T61" s="278">
        <f>'04 - Veículos e Equipamentos'!S74*'01 - Dados de Entrada'!$C$57*'01 - Dados de Entrada'!$C$288</f>
        <v>3423.8</v>
      </c>
      <c r="U61" s="278">
        <f>'04 - Veículos e Equipamentos'!T74*'01 - Dados de Entrada'!$C$57*'01 - Dados de Entrada'!$C$288</f>
        <v>3423.8</v>
      </c>
      <c r="V61" s="278">
        <f>'04 - Veículos e Equipamentos'!U74*'01 - Dados de Entrada'!$C$57*'01 - Dados de Entrada'!$C$288</f>
        <v>3423.8</v>
      </c>
      <c r="W61" s="278">
        <f>'04 - Veículos e Equipamentos'!V74*'01 - Dados de Entrada'!$C$57*'01 - Dados de Entrada'!$C$288</f>
        <v>3423.8</v>
      </c>
      <c r="X61" s="278">
        <f>'04 - Veículos e Equipamentos'!W74*'01 - Dados de Entrada'!$C$57*'01 - Dados de Entrada'!$C$288</f>
        <v>3423.8</v>
      </c>
      <c r="Y61" s="278">
        <f>'04 - Veículos e Equipamentos'!X74*'01 - Dados de Entrada'!$C$57*'01 - Dados de Entrada'!$C$288</f>
        <v>3423.8</v>
      </c>
      <c r="Z61" s="278">
        <f>'04 - Veículos e Equipamentos'!Y74*'01 - Dados de Entrada'!$C$57*'01 - Dados de Entrada'!$C$288</f>
        <v>3423.8</v>
      </c>
      <c r="AA61" s="278">
        <f>'04 - Veículos e Equipamentos'!Z74*'01 - Dados de Entrada'!$C$57*'01 - Dados de Entrada'!$C$288</f>
        <v>3423.8</v>
      </c>
      <c r="AB61" s="278">
        <f>'04 - Veículos e Equipamentos'!AA74*'01 - Dados de Entrada'!$C$57*'01 - Dados de Entrada'!$C$288</f>
        <v>3423.8</v>
      </c>
      <c r="AC61" s="278">
        <f>'04 - Veículos e Equipamentos'!AB74*'01 - Dados de Entrada'!$C$57*'01 - Dados de Entrada'!$C$288</f>
        <v>3423.8</v>
      </c>
      <c r="AD61" s="278">
        <f>'04 - Veículos e Equipamentos'!AC74*'01 - Dados de Entrada'!$C$57*'01 - Dados de Entrada'!$C$288</f>
        <v>3423.8</v>
      </c>
      <c r="AE61" s="278">
        <f>'04 - Veículos e Equipamentos'!AD74*'01 - Dados de Entrada'!$C$57*'01 - Dados de Entrada'!$C$288</f>
        <v>3423.8</v>
      </c>
      <c r="AF61" s="278">
        <f>'04 - Veículos e Equipamentos'!AE74*'01 - Dados de Entrada'!$C$57*'01 - Dados de Entrada'!$C$288</f>
        <v>3423.8</v>
      </c>
      <c r="AG61" s="278">
        <f>'04 - Veículos e Equipamentos'!AF74*'01 - Dados de Entrada'!$C$57*'01 - Dados de Entrada'!$C$288</f>
        <v>3423.8</v>
      </c>
      <c r="AH61" s="278">
        <f>'04 - Veículos e Equipamentos'!AG74*'01 - Dados de Entrada'!$C$57*'01 - Dados de Entrada'!$C$288</f>
        <v>3423.8</v>
      </c>
      <c r="AI61" s="278">
        <f>'04 - Veículos e Equipamentos'!AH74*'01 - Dados de Entrada'!$C$57*'01 - Dados de Entrada'!$C$288</f>
        <v>3423.8</v>
      </c>
      <c r="AJ61" s="278">
        <f>'04 - Veículos e Equipamentos'!AI74*'01 - Dados de Entrada'!$C$57*'01 - Dados de Entrada'!$C$288</f>
        <v>3423.8</v>
      </c>
      <c r="AK61" s="278">
        <f>'04 - Veículos e Equipamentos'!AJ74*'01 - Dados de Entrada'!$C$57*'01 - Dados de Entrada'!$C$288</f>
        <v>3423.8</v>
      </c>
    </row>
    <row r="62" spans="1:37" s="158" customFormat="1" ht="13.15" customHeight="1" x14ac:dyDescent="0.2">
      <c r="A62" s="36" t="s">
        <v>157</v>
      </c>
      <c r="B62" s="149">
        <f>SUM(C62:AK62)</f>
        <v>51362.899999999994</v>
      </c>
      <c r="C62" s="278">
        <f>'04 - Veículos e Equipamentos'!B76*'01 - Dados de Entrada'!$C$76*'01 - Dados de Entrada'!$C$288</f>
        <v>1406.4</v>
      </c>
      <c r="D62" s="278">
        <f>'04 - Veículos e Equipamentos'!C76*'01 - Dados de Entrada'!$C$76*'01 - Dados de Entrada'!$C$288</f>
        <v>1406.4</v>
      </c>
      <c r="E62" s="278">
        <f>'04 - Veículos e Equipamentos'!D76*'01 - Dados de Entrada'!$C$76*'01 - Dados de Entrada'!$C$288</f>
        <v>1406.4</v>
      </c>
      <c r="F62" s="278">
        <f>'04 - Veículos e Equipamentos'!E76*'01 - Dados de Entrada'!$C$76*'01 - Dados de Entrada'!$C$288</f>
        <v>1435.7</v>
      </c>
      <c r="G62" s="278">
        <f>'04 - Veículos e Equipamentos'!F76*'01 - Dados de Entrada'!$C$76*'01 - Dados de Entrada'!$C$288</f>
        <v>1435.7</v>
      </c>
      <c r="H62" s="278">
        <f>'04 - Veículos e Equipamentos'!G76*'01 - Dados de Entrada'!$C$76*'01 - Dados de Entrada'!$C$288</f>
        <v>1435.7</v>
      </c>
      <c r="I62" s="278">
        <f>'04 - Veículos e Equipamentos'!H76*'01 - Dados de Entrada'!$C$76*'01 - Dados de Entrada'!$C$288</f>
        <v>1465</v>
      </c>
      <c r="J62" s="278">
        <f>'04 - Veículos e Equipamentos'!I76*'01 - Dados de Entrada'!$C$76*'01 - Dados de Entrada'!$C$288</f>
        <v>1465</v>
      </c>
      <c r="K62" s="278">
        <f>'04 - Veículos e Equipamentos'!J76*'01 - Dados de Entrada'!$C$76*'01 - Dados de Entrada'!$C$288</f>
        <v>1465</v>
      </c>
      <c r="L62" s="278">
        <f>'04 - Veículos e Equipamentos'!K76*'01 - Dados de Entrada'!$C$76*'01 - Dados de Entrada'!$C$288</f>
        <v>1465</v>
      </c>
      <c r="M62" s="278">
        <f>'04 - Veículos e Equipamentos'!L76*'01 - Dados de Entrada'!$C$76*'01 - Dados de Entrada'!$C$288</f>
        <v>1465</v>
      </c>
      <c r="N62" s="278">
        <f>'04 - Veículos e Equipamentos'!M76*'01 - Dados de Entrada'!$C$76*'01 - Dados de Entrada'!$C$288</f>
        <v>1494.3000000000002</v>
      </c>
      <c r="O62" s="278">
        <f>'04 - Veículos e Equipamentos'!N76*'01 - Dados de Entrada'!$C$76*'01 - Dados de Entrada'!$C$288</f>
        <v>1494.3000000000002</v>
      </c>
      <c r="P62" s="278">
        <f>'04 - Veículos e Equipamentos'!O76*'01 - Dados de Entrada'!$C$76*'01 - Dados de Entrada'!$C$288</f>
        <v>1494.3000000000002</v>
      </c>
      <c r="Q62" s="278">
        <f>'04 - Veículos e Equipamentos'!P76*'01 - Dados de Entrada'!$C$76*'01 - Dados de Entrada'!$C$288</f>
        <v>1494.3000000000002</v>
      </c>
      <c r="R62" s="278">
        <f>'04 - Veículos e Equipamentos'!Q76*'01 - Dados de Entrada'!$C$76*'01 - Dados de Entrada'!$C$288</f>
        <v>1494.3000000000002</v>
      </c>
      <c r="S62" s="278">
        <f>'04 - Veículos e Equipamentos'!R76*'01 - Dados de Entrada'!$C$76*'01 - Dados de Entrada'!$C$288</f>
        <v>1494.3000000000002</v>
      </c>
      <c r="T62" s="278">
        <f>'04 - Veículos e Equipamentos'!S76*'01 - Dados de Entrada'!$C$76*'01 - Dados de Entrada'!$C$288</f>
        <v>1494.3000000000002</v>
      </c>
      <c r="U62" s="278">
        <f>'04 - Veículos e Equipamentos'!T76*'01 - Dados de Entrada'!$C$76*'01 - Dados de Entrada'!$C$288</f>
        <v>1494.3000000000002</v>
      </c>
      <c r="V62" s="278">
        <f>'04 - Veículos e Equipamentos'!U76*'01 - Dados de Entrada'!$C$76*'01 - Dados de Entrada'!$C$288</f>
        <v>1494.3000000000002</v>
      </c>
      <c r="W62" s="278">
        <f>'04 - Veículos e Equipamentos'!V76*'01 - Dados de Entrada'!$C$76*'01 - Dados de Entrada'!$C$288</f>
        <v>1494.3000000000002</v>
      </c>
      <c r="X62" s="278">
        <f>'04 - Veículos e Equipamentos'!W76*'01 - Dados de Entrada'!$C$76*'01 - Dados de Entrada'!$C$288</f>
        <v>1494.3000000000002</v>
      </c>
      <c r="Y62" s="278">
        <f>'04 - Veículos e Equipamentos'!X76*'01 - Dados de Entrada'!$C$76*'01 - Dados de Entrada'!$C$288</f>
        <v>1494.3000000000002</v>
      </c>
      <c r="Z62" s="278">
        <f>'04 - Veículos e Equipamentos'!Y76*'01 - Dados de Entrada'!$C$76*'01 - Dados de Entrada'!$C$288</f>
        <v>1494.3000000000002</v>
      </c>
      <c r="AA62" s="278">
        <f>'04 - Veículos e Equipamentos'!Z76*'01 - Dados de Entrada'!$C$76*'01 - Dados de Entrada'!$C$288</f>
        <v>1494.3000000000002</v>
      </c>
      <c r="AB62" s="278">
        <f>'04 - Veículos e Equipamentos'!AA76*'01 - Dados de Entrada'!$C$76*'01 - Dados de Entrada'!$C$288</f>
        <v>1494.3000000000002</v>
      </c>
      <c r="AC62" s="278">
        <f>'04 - Veículos e Equipamentos'!AB76*'01 - Dados de Entrada'!$C$76*'01 - Dados de Entrada'!$C$288</f>
        <v>1465</v>
      </c>
      <c r="AD62" s="278">
        <f>'04 - Veículos e Equipamentos'!AC76*'01 - Dados de Entrada'!$C$76*'01 - Dados de Entrada'!$C$288</f>
        <v>1465</v>
      </c>
      <c r="AE62" s="278">
        <f>'04 - Veículos e Equipamentos'!AD76*'01 - Dados de Entrada'!$C$76*'01 - Dados de Entrada'!$C$288</f>
        <v>1465</v>
      </c>
      <c r="AF62" s="278">
        <f>'04 - Veículos e Equipamentos'!AE76*'01 - Dados de Entrada'!$C$76*'01 - Dados de Entrada'!$C$288</f>
        <v>1465</v>
      </c>
      <c r="AG62" s="278">
        <f>'04 - Veículos e Equipamentos'!AF76*'01 - Dados de Entrada'!$C$76*'01 - Dados de Entrada'!$C$288</f>
        <v>1465</v>
      </c>
      <c r="AH62" s="278">
        <f>'04 - Veículos e Equipamentos'!AG76*'01 - Dados de Entrada'!$C$76*'01 - Dados de Entrada'!$C$288</f>
        <v>1465</v>
      </c>
      <c r="AI62" s="278">
        <f>'04 - Veículos e Equipamentos'!AH76*'01 - Dados de Entrada'!$C$76*'01 - Dados de Entrada'!$C$288</f>
        <v>1435.7</v>
      </c>
      <c r="AJ62" s="278">
        <f>'04 - Veículos e Equipamentos'!AI76*'01 - Dados de Entrada'!$C$76*'01 - Dados de Entrada'!$C$288</f>
        <v>1435.7</v>
      </c>
      <c r="AK62" s="278">
        <f>'04 - Veículos e Equipamentos'!AJ76*'01 - Dados de Entrada'!$C$76*'01 - Dados de Entrada'!$C$288</f>
        <v>1435.7</v>
      </c>
    </row>
  </sheetData>
  <pageMargins left="0.511811024" right="0.511811024" top="0.78740157499999996" bottom="0.78740157499999996" header="0.31496062000000002" footer="0.31496062000000002"/>
  <pageSetup paperSize="9" scale="2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2"/>
  <dimension ref="A1:AL39"/>
  <sheetViews>
    <sheetView showGridLines="0" zoomScale="85" zoomScaleNormal="85" workbookViewId="0">
      <pane xSplit="1" ySplit="5" topLeftCell="B6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9.28515625" defaultRowHeight="13.15" customHeight="1" x14ac:dyDescent="0.2"/>
  <cols>
    <col min="1" max="1" width="66.42578125" style="60" customWidth="1"/>
    <col min="2" max="2" width="22.28515625" style="112" customWidth="1"/>
    <col min="3" max="3" width="14.42578125" style="60" bestFit="1" customWidth="1"/>
    <col min="4" max="4" width="13.7109375" style="76" customWidth="1"/>
    <col min="5" max="5" width="15" style="76" bestFit="1" customWidth="1"/>
    <col min="6" max="8" width="12.28515625" style="76" bestFit="1" customWidth="1"/>
    <col min="9" max="33" width="11.28515625" style="76" customWidth="1"/>
    <col min="34" max="38" width="11.28515625" style="60" customWidth="1"/>
    <col min="39" max="16384" width="9.28515625" style="396"/>
  </cols>
  <sheetData>
    <row r="1" spans="1:38" s="152" customFormat="1" ht="13.15" customHeight="1" x14ac:dyDescent="0.2">
      <c r="A1" s="38" t="s">
        <v>0</v>
      </c>
      <c r="B1" s="71"/>
      <c r="C1" s="74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</row>
    <row r="2" spans="1:38" s="152" customFormat="1" ht="13.15" customHeight="1" x14ac:dyDescent="0.2">
      <c r="A2" s="38" t="s">
        <v>1</v>
      </c>
      <c r="B2" s="71"/>
      <c r="C2" s="74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</row>
    <row r="3" spans="1:38" s="152" customFormat="1" ht="13.15" customHeight="1" x14ac:dyDescent="0.2">
      <c r="A3" s="38" t="s">
        <v>1002</v>
      </c>
      <c r="B3" s="71"/>
      <c r="C3" s="74"/>
      <c r="D3" s="432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38" ht="13.15" customHeight="1" x14ac:dyDescent="0.2">
      <c r="A4" s="56"/>
      <c r="B4" s="111"/>
      <c r="C4" s="57"/>
      <c r="D4" s="57"/>
      <c r="E4" s="57"/>
      <c r="F4" s="57"/>
      <c r="G4" s="57"/>
      <c r="H4" s="57"/>
      <c r="I4" s="103"/>
      <c r="J4" s="57"/>
      <c r="K4" s="57"/>
      <c r="L4" s="57"/>
      <c r="M4" s="104"/>
      <c r="N4" s="103"/>
      <c r="O4" s="103"/>
      <c r="P4" s="103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</row>
    <row r="5" spans="1:38" ht="13.15" customHeight="1" x14ac:dyDescent="0.2">
      <c r="A5" s="667" t="s">
        <v>1003</v>
      </c>
      <c r="B5" s="668"/>
      <c r="C5" s="102" t="s">
        <v>1004</v>
      </c>
      <c r="D5" s="46" t="s">
        <v>1005</v>
      </c>
      <c r="E5" s="46" t="s">
        <v>1006</v>
      </c>
      <c r="F5" s="46" t="s">
        <v>1007</v>
      </c>
      <c r="G5" s="46" t="s">
        <v>1008</v>
      </c>
      <c r="H5" s="46" t="s">
        <v>1009</v>
      </c>
      <c r="I5" s="46" t="s">
        <v>1010</v>
      </c>
      <c r="J5" s="46" t="s">
        <v>1011</v>
      </c>
      <c r="K5" s="46" t="s">
        <v>1012</v>
      </c>
      <c r="L5" s="46" t="s">
        <v>1013</v>
      </c>
      <c r="M5" s="46" t="s">
        <v>1014</v>
      </c>
      <c r="N5" s="46" t="s">
        <v>1015</v>
      </c>
      <c r="O5" s="46" t="s">
        <v>1016</v>
      </c>
      <c r="P5" s="46" t="s">
        <v>1017</v>
      </c>
      <c r="Q5" s="46" t="s">
        <v>1018</v>
      </c>
      <c r="R5" s="46" t="s">
        <v>1019</v>
      </c>
      <c r="S5" s="46" t="s">
        <v>1020</v>
      </c>
      <c r="T5" s="46" t="s">
        <v>1021</v>
      </c>
      <c r="U5" s="46" t="s">
        <v>1022</v>
      </c>
      <c r="V5" s="46" t="s">
        <v>1023</v>
      </c>
      <c r="W5" s="46" t="s">
        <v>1024</v>
      </c>
      <c r="X5" s="46" t="s">
        <v>1025</v>
      </c>
      <c r="Y5" s="46" t="s">
        <v>1026</v>
      </c>
      <c r="Z5" s="46" t="s">
        <v>1027</v>
      </c>
      <c r="AA5" s="46" t="s">
        <v>1028</v>
      </c>
      <c r="AB5" s="46" t="s">
        <v>1029</v>
      </c>
      <c r="AC5" s="46" t="s">
        <v>1030</v>
      </c>
      <c r="AD5" s="46" t="s">
        <v>1031</v>
      </c>
      <c r="AE5" s="46" t="s">
        <v>1032</v>
      </c>
      <c r="AF5" s="46" t="s">
        <v>1033</v>
      </c>
      <c r="AG5" s="46" t="s">
        <v>1034</v>
      </c>
      <c r="AH5" s="46" t="s">
        <v>1035</v>
      </c>
      <c r="AI5" s="46" t="s">
        <v>1036</v>
      </c>
      <c r="AJ5" s="46" t="s">
        <v>1037</v>
      </c>
      <c r="AK5" s="46" t="s">
        <v>1038</v>
      </c>
      <c r="AL5" s="46" t="s">
        <v>1039</v>
      </c>
    </row>
    <row r="6" spans="1:38" ht="13.15" customHeight="1" x14ac:dyDescent="0.2">
      <c r="A6" s="86" t="s">
        <v>1040</v>
      </c>
      <c r="B6" s="165" t="s">
        <v>28</v>
      </c>
      <c r="C6" s="105">
        <f>SUM(D6:AL6)</f>
        <v>5772450.6000000024</v>
      </c>
      <c r="D6" s="88">
        <f>(D7+D14+D19+D26+D38+D24+D31+D35)</f>
        <v>155076.52000000002</v>
      </c>
      <c r="E6" s="88">
        <f t="shared" ref="E6:AL6" si="0">(E7+E14+E19+E26+E38+E24+E31+E35)</f>
        <v>155076.52000000002</v>
      </c>
      <c r="F6" s="88">
        <f t="shared" si="0"/>
        <v>155076.52000000002</v>
      </c>
      <c r="G6" s="88">
        <f t="shared" si="0"/>
        <v>155076.52000000002</v>
      </c>
      <c r="H6" s="88">
        <f t="shared" si="0"/>
        <v>155076.52000000002</v>
      </c>
      <c r="I6" s="88">
        <f t="shared" si="0"/>
        <v>161172.40000000002</v>
      </c>
      <c r="J6" s="88">
        <f t="shared" si="0"/>
        <v>161172.40000000002</v>
      </c>
      <c r="K6" s="88">
        <f t="shared" si="0"/>
        <v>166954.40000000002</v>
      </c>
      <c r="L6" s="88">
        <f t="shared" si="0"/>
        <v>166954.40000000002</v>
      </c>
      <c r="M6" s="88">
        <f t="shared" si="0"/>
        <v>166954.40000000002</v>
      </c>
      <c r="N6" s="88">
        <f t="shared" si="0"/>
        <v>166954.40000000002</v>
      </c>
      <c r="O6" s="88">
        <f t="shared" si="0"/>
        <v>166954.40000000002</v>
      </c>
      <c r="P6" s="88">
        <f t="shared" si="0"/>
        <v>166954.40000000002</v>
      </c>
      <c r="Q6" s="88">
        <f t="shared" si="0"/>
        <v>166954.40000000002</v>
      </c>
      <c r="R6" s="88">
        <f t="shared" si="0"/>
        <v>166954.40000000002</v>
      </c>
      <c r="S6" s="88">
        <f t="shared" si="0"/>
        <v>166954.40000000002</v>
      </c>
      <c r="T6" s="88">
        <f t="shared" si="0"/>
        <v>166954.40000000002</v>
      </c>
      <c r="U6" s="88">
        <f t="shared" si="0"/>
        <v>166954.40000000002</v>
      </c>
      <c r="V6" s="88">
        <f t="shared" si="0"/>
        <v>166954.40000000002</v>
      </c>
      <c r="W6" s="88">
        <f t="shared" si="0"/>
        <v>166954.40000000002</v>
      </c>
      <c r="X6" s="88">
        <f t="shared" si="0"/>
        <v>166954.40000000002</v>
      </c>
      <c r="Y6" s="88">
        <f t="shared" si="0"/>
        <v>166954.40000000002</v>
      </c>
      <c r="Z6" s="88">
        <f t="shared" si="0"/>
        <v>166954.40000000002</v>
      </c>
      <c r="AA6" s="88">
        <f t="shared" si="0"/>
        <v>166954.40000000002</v>
      </c>
      <c r="AB6" s="88">
        <f t="shared" si="0"/>
        <v>166954.40000000002</v>
      </c>
      <c r="AC6" s="88">
        <f t="shared" si="0"/>
        <v>166954.40000000002</v>
      </c>
      <c r="AD6" s="88">
        <f t="shared" si="0"/>
        <v>166954.40000000002</v>
      </c>
      <c r="AE6" s="88">
        <f t="shared" si="0"/>
        <v>166954.40000000002</v>
      </c>
      <c r="AF6" s="88">
        <f t="shared" si="0"/>
        <v>166954.40000000002</v>
      </c>
      <c r="AG6" s="88">
        <f t="shared" si="0"/>
        <v>166954.40000000002</v>
      </c>
      <c r="AH6" s="88">
        <f t="shared" si="0"/>
        <v>166954.40000000002</v>
      </c>
      <c r="AI6" s="88">
        <f t="shared" si="0"/>
        <v>166954.40000000002</v>
      </c>
      <c r="AJ6" s="88">
        <f t="shared" si="0"/>
        <v>166954.40000000002</v>
      </c>
      <c r="AK6" s="88">
        <f t="shared" si="0"/>
        <v>166954.40000000002</v>
      </c>
      <c r="AL6" s="88">
        <f t="shared" si="0"/>
        <v>166954.40000000002</v>
      </c>
    </row>
    <row r="7" spans="1:38" s="397" customFormat="1" ht="13.15" customHeight="1" x14ac:dyDescent="0.2">
      <c r="A7" s="59" t="s">
        <v>864</v>
      </c>
      <c r="B7" s="512"/>
      <c r="C7" s="58">
        <f>SUM(D7:AL7)</f>
        <v>1877559.949999999</v>
      </c>
      <c r="D7" s="58">
        <f t="shared" ref="D7:AL7" si="1">SUM(D8:D13)</f>
        <v>48419.53</v>
      </c>
      <c r="E7" s="58">
        <f t="shared" si="1"/>
        <v>48419.53</v>
      </c>
      <c r="F7" s="58">
        <f t="shared" si="1"/>
        <v>48419.53</v>
      </c>
      <c r="G7" s="58">
        <f t="shared" si="1"/>
        <v>48419.53</v>
      </c>
      <c r="H7" s="58">
        <f t="shared" si="1"/>
        <v>48419.53</v>
      </c>
      <c r="I7" s="58">
        <f t="shared" si="1"/>
        <v>54515.41</v>
      </c>
      <c r="J7" s="58">
        <f t="shared" si="1"/>
        <v>54515.41</v>
      </c>
      <c r="K7" s="58">
        <f t="shared" si="1"/>
        <v>54515.41</v>
      </c>
      <c r="L7" s="58">
        <f t="shared" si="1"/>
        <v>54515.41</v>
      </c>
      <c r="M7" s="58">
        <f t="shared" si="1"/>
        <v>54515.41</v>
      </c>
      <c r="N7" s="58">
        <f t="shared" si="1"/>
        <v>54515.41</v>
      </c>
      <c r="O7" s="58">
        <f t="shared" si="1"/>
        <v>54515.41</v>
      </c>
      <c r="P7" s="58">
        <f t="shared" si="1"/>
        <v>54515.41</v>
      </c>
      <c r="Q7" s="58">
        <f t="shared" si="1"/>
        <v>54515.41</v>
      </c>
      <c r="R7" s="58">
        <f t="shared" si="1"/>
        <v>54515.41</v>
      </c>
      <c r="S7" s="58">
        <f t="shared" si="1"/>
        <v>54515.41</v>
      </c>
      <c r="T7" s="58">
        <f t="shared" si="1"/>
        <v>54515.41</v>
      </c>
      <c r="U7" s="58">
        <f t="shared" si="1"/>
        <v>54515.41</v>
      </c>
      <c r="V7" s="58">
        <f t="shared" si="1"/>
        <v>54515.41</v>
      </c>
      <c r="W7" s="58">
        <f t="shared" si="1"/>
        <v>54515.41</v>
      </c>
      <c r="X7" s="58">
        <f t="shared" si="1"/>
        <v>54515.41</v>
      </c>
      <c r="Y7" s="58">
        <f t="shared" si="1"/>
        <v>54515.41</v>
      </c>
      <c r="Z7" s="58">
        <f t="shared" si="1"/>
        <v>54515.41</v>
      </c>
      <c r="AA7" s="58">
        <f t="shared" si="1"/>
        <v>54515.41</v>
      </c>
      <c r="AB7" s="58">
        <f t="shared" si="1"/>
        <v>54515.41</v>
      </c>
      <c r="AC7" s="58">
        <f t="shared" si="1"/>
        <v>54515.41</v>
      </c>
      <c r="AD7" s="58">
        <f t="shared" si="1"/>
        <v>54515.41</v>
      </c>
      <c r="AE7" s="58">
        <f t="shared" si="1"/>
        <v>54515.41</v>
      </c>
      <c r="AF7" s="58">
        <f t="shared" si="1"/>
        <v>54515.41</v>
      </c>
      <c r="AG7" s="58">
        <f t="shared" si="1"/>
        <v>54515.41</v>
      </c>
      <c r="AH7" s="58">
        <f t="shared" si="1"/>
        <v>54515.41</v>
      </c>
      <c r="AI7" s="58">
        <f t="shared" si="1"/>
        <v>54515.41</v>
      </c>
      <c r="AJ7" s="58">
        <f t="shared" si="1"/>
        <v>54515.41</v>
      </c>
      <c r="AK7" s="58">
        <f t="shared" si="1"/>
        <v>54515.41</v>
      </c>
      <c r="AL7" s="58">
        <f t="shared" si="1"/>
        <v>54515.41</v>
      </c>
    </row>
    <row r="8" spans="1:38" ht="13.15" customHeight="1" x14ac:dyDescent="0.2">
      <c r="A8" s="400" t="s">
        <v>1041</v>
      </c>
      <c r="B8" s="314">
        <f>'01 - Dados de Entrada'!$C$107*'01 - Dados de Entrada'!$C$104</f>
        <v>0.01</v>
      </c>
      <c r="C8" s="106">
        <f>SUM(D8:AL8)</f>
        <v>202370</v>
      </c>
      <c r="D8" s="45">
        <f>('04 - Veículos e Equipamentos'!B7+'04 - Veículos e Equipamentos'!B8)*'01 - Dados de Entrada'!$C$44*$B$8+('04 - Veículos e Equipamentos'!B7+'04 - Veículos e Equipamentos'!B8)*'01 - Dados de Entrada'!$C$108</f>
        <v>5782</v>
      </c>
      <c r="E8" s="45">
        <f>('04 - Veículos e Equipamentos'!C7+'04 - Veículos e Equipamentos'!C8)*'01 - Dados de Entrada'!$C$44*$B$8+('04 - Veículos e Equipamentos'!C7+'04 - Veículos e Equipamentos'!C8)*'01 - Dados de Entrada'!$C$108</f>
        <v>5782</v>
      </c>
      <c r="F8" s="45">
        <f>('04 - Veículos e Equipamentos'!D7+'04 - Veículos e Equipamentos'!D8)*'01 - Dados de Entrada'!$C$44*$B$8+('04 - Veículos e Equipamentos'!D7+'04 - Veículos e Equipamentos'!D8)*'01 - Dados de Entrada'!$C$108</f>
        <v>5782</v>
      </c>
      <c r="G8" s="45">
        <f>('04 - Veículos e Equipamentos'!E7+'04 - Veículos e Equipamentos'!E8)*'01 - Dados de Entrada'!$C$44*$B$8+('04 - Veículos e Equipamentos'!E7+'04 - Veículos e Equipamentos'!E8)*'01 - Dados de Entrada'!$C$108</f>
        <v>5782</v>
      </c>
      <c r="H8" s="45">
        <f>('04 - Veículos e Equipamentos'!F7+'04 - Veículos e Equipamentos'!F8)*'01 - Dados de Entrada'!$C$44*$B$8+('04 - Veículos e Equipamentos'!F7+'04 - Veículos e Equipamentos'!F8)*'01 - Dados de Entrada'!$C$108</f>
        <v>5782</v>
      </c>
      <c r="I8" s="45">
        <f>('04 - Veículos e Equipamentos'!G7+'04 - Veículos e Equipamentos'!G8)*'01 - Dados de Entrada'!$C$44*$B$8+('04 - Veículos e Equipamentos'!G7+'04 - Veículos e Equipamentos'!G8)*'01 - Dados de Entrada'!$C$108</f>
        <v>5782</v>
      </c>
      <c r="J8" s="45">
        <f>('04 - Veículos e Equipamentos'!H7+'04 - Veículos e Equipamentos'!H8)*'01 - Dados de Entrada'!$C$44*$B$8+('04 - Veículos e Equipamentos'!H7+'04 - Veículos e Equipamentos'!H8)*'01 - Dados de Entrada'!$C$108</f>
        <v>5782</v>
      </c>
      <c r="K8" s="45">
        <f>('04 - Veículos e Equipamentos'!I7+'04 - Veículos e Equipamentos'!I8)*'01 - Dados de Entrada'!$C$44*$B$8+('04 - Veículos e Equipamentos'!I7+'04 - Veículos e Equipamentos'!I8)*'01 - Dados de Entrada'!$C$108</f>
        <v>5782</v>
      </c>
      <c r="L8" s="45">
        <f>('04 - Veículos e Equipamentos'!J7+'04 - Veículos e Equipamentos'!J8)*'01 - Dados de Entrada'!$C$44*$B$8+('04 - Veículos e Equipamentos'!J7+'04 - Veículos e Equipamentos'!J8)*'01 - Dados de Entrada'!$C$108</f>
        <v>5782</v>
      </c>
      <c r="M8" s="45">
        <f>('04 - Veículos e Equipamentos'!K7+'04 - Veículos e Equipamentos'!K8)*'01 - Dados de Entrada'!$C$44*$B$8+('04 - Veículos e Equipamentos'!K7+'04 - Veículos e Equipamentos'!K8)*'01 - Dados de Entrada'!$C$108</f>
        <v>5782</v>
      </c>
      <c r="N8" s="45">
        <f>('04 - Veículos e Equipamentos'!L7+'04 - Veículos e Equipamentos'!L8)*'01 - Dados de Entrada'!$C$44*$B$8+('04 - Veículos e Equipamentos'!L7+'04 - Veículos e Equipamentos'!L8)*'01 - Dados de Entrada'!$C$108</f>
        <v>5782</v>
      </c>
      <c r="O8" s="45">
        <f>('04 - Veículos e Equipamentos'!M7+'04 - Veículos e Equipamentos'!M8)*'01 - Dados de Entrada'!$C$44*$B$8+('04 - Veículos e Equipamentos'!M7+'04 - Veículos e Equipamentos'!M8)*'01 - Dados de Entrada'!$C$108</f>
        <v>5782</v>
      </c>
      <c r="P8" s="45">
        <f>('04 - Veículos e Equipamentos'!N7+'04 - Veículos e Equipamentos'!N8)*'01 - Dados de Entrada'!$C$44*$B$8+('04 - Veículos e Equipamentos'!N7+'04 - Veículos e Equipamentos'!N8)*'01 - Dados de Entrada'!$C$108</f>
        <v>5782</v>
      </c>
      <c r="Q8" s="45">
        <f>('04 - Veículos e Equipamentos'!O7+'04 - Veículos e Equipamentos'!O8)*'01 - Dados de Entrada'!$C$44*$B$8+('04 - Veículos e Equipamentos'!O7+'04 - Veículos e Equipamentos'!O8)*'01 - Dados de Entrada'!$C$108</f>
        <v>5782</v>
      </c>
      <c r="R8" s="45">
        <f>('04 - Veículos e Equipamentos'!P7+'04 - Veículos e Equipamentos'!P8)*'01 - Dados de Entrada'!$C$44*$B$8+('04 - Veículos e Equipamentos'!P7+'04 - Veículos e Equipamentos'!P8)*'01 - Dados de Entrada'!$C$108</f>
        <v>5782</v>
      </c>
      <c r="S8" s="45">
        <f>('04 - Veículos e Equipamentos'!Q7+'04 - Veículos e Equipamentos'!Q8)*'01 - Dados de Entrada'!$C$44*$B$8+('04 - Veículos e Equipamentos'!Q7+'04 - Veículos e Equipamentos'!Q8)*'01 - Dados de Entrada'!$C$108</f>
        <v>5782</v>
      </c>
      <c r="T8" s="45">
        <f>('04 - Veículos e Equipamentos'!R7+'04 - Veículos e Equipamentos'!R8)*'01 - Dados de Entrada'!$C$44*$B$8+('04 - Veículos e Equipamentos'!R7+'04 - Veículos e Equipamentos'!R8)*'01 - Dados de Entrada'!$C$108</f>
        <v>5782</v>
      </c>
      <c r="U8" s="45">
        <f>('04 - Veículos e Equipamentos'!S7+'04 - Veículos e Equipamentos'!S8)*'01 - Dados de Entrada'!$C$44*$B$8+('04 - Veículos e Equipamentos'!S7+'04 - Veículos e Equipamentos'!S8)*'01 - Dados de Entrada'!$C$108</f>
        <v>5782</v>
      </c>
      <c r="V8" s="45">
        <f>('04 - Veículos e Equipamentos'!T7+'04 - Veículos e Equipamentos'!T8)*'01 - Dados de Entrada'!$C$44*$B$8+('04 - Veículos e Equipamentos'!T7+'04 - Veículos e Equipamentos'!T8)*'01 - Dados de Entrada'!$C$108</f>
        <v>5782</v>
      </c>
      <c r="W8" s="45">
        <f>('04 - Veículos e Equipamentos'!U7+'04 - Veículos e Equipamentos'!U8)*'01 - Dados de Entrada'!$C$44*$B$8+('04 - Veículos e Equipamentos'!U7+'04 - Veículos e Equipamentos'!U8)*'01 - Dados de Entrada'!$C$108</f>
        <v>5782</v>
      </c>
      <c r="X8" s="45">
        <f>('04 - Veículos e Equipamentos'!V7+'04 - Veículos e Equipamentos'!V8)*'01 - Dados de Entrada'!$C$44*$B$8+('04 - Veículos e Equipamentos'!V7+'04 - Veículos e Equipamentos'!V8)*'01 - Dados de Entrada'!$C$108</f>
        <v>5782</v>
      </c>
      <c r="Y8" s="45">
        <f>('04 - Veículos e Equipamentos'!W7+'04 - Veículos e Equipamentos'!W8)*'01 - Dados de Entrada'!$C$44*$B$8+('04 - Veículos e Equipamentos'!W7+'04 - Veículos e Equipamentos'!W8)*'01 - Dados de Entrada'!$C$108</f>
        <v>5782</v>
      </c>
      <c r="Z8" s="45">
        <f>('04 - Veículos e Equipamentos'!X7+'04 - Veículos e Equipamentos'!X8)*'01 - Dados de Entrada'!$C$44*$B$8+('04 - Veículos e Equipamentos'!X7+'04 - Veículos e Equipamentos'!X8)*'01 - Dados de Entrada'!$C$108</f>
        <v>5782</v>
      </c>
      <c r="AA8" s="45">
        <f>('04 - Veículos e Equipamentos'!Y7+'04 - Veículos e Equipamentos'!Y8)*'01 - Dados de Entrada'!$C$44*$B$8+('04 - Veículos e Equipamentos'!Y7+'04 - Veículos e Equipamentos'!Y8)*'01 - Dados de Entrada'!$C$108</f>
        <v>5782</v>
      </c>
      <c r="AB8" s="45">
        <f>('04 - Veículos e Equipamentos'!Z7+'04 - Veículos e Equipamentos'!Z8)*'01 - Dados de Entrada'!$C$44*$B$8+('04 - Veículos e Equipamentos'!Z7+'04 - Veículos e Equipamentos'!Z8)*'01 - Dados de Entrada'!$C$108</f>
        <v>5782</v>
      </c>
      <c r="AC8" s="45">
        <f>('04 - Veículos e Equipamentos'!AA7+'04 - Veículos e Equipamentos'!AA8)*'01 - Dados de Entrada'!$C$44*$B$8+('04 - Veículos e Equipamentos'!AA7+'04 - Veículos e Equipamentos'!AA8)*'01 - Dados de Entrada'!$C$108</f>
        <v>5782</v>
      </c>
      <c r="AD8" s="45">
        <f>('04 - Veículos e Equipamentos'!AB7+'04 - Veículos e Equipamentos'!AB8)*'01 - Dados de Entrada'!$C$44*$B$8+('04 - Veículos e Equipamentos'!AB7+'04 - Veículos e Equipamentos'!AB8)*'01 - Dados de Entrada'!$C$108</f>
        <v>5782</v>
      </c>
      <c r="AE8" s="45">
        <f>('04 - Veículos e Equipamentos'!AC7+'04 - Veículos e Equipamentos'!AC8)*'01 - Dados de Entrada'!$C$44*$B$8+('04 - Veículos e Equipamentos'!AC7+'04 - Veículos e Equipamentos'!AC8)*'01 - Dados de Entrada'!$C$108</f>
        <v>5782</v>
      </c>
      <c r="AF8" s="45">
        <f>('04 - Veículos e Equipamentos'!AD7+'04 - Veículos e Equipamentos'!AD8)*'01 - Dados de Entrada'!$C$44*$B$8+('04 - Veículos e Equipamentos'!AD7+'04 - Veículos e Equipamentos'!AD8)*'01 - Dados de Entrada'!$C$108</f>
        <v>5782</v>
      </c>
      <c r="AG8" s="45">
        <f>('04 - Veículos e Equipamentos'!AE7+'04 - Veículos e Equipamentos'!AE8)*'01 - Dados de Entrada'!$C$44*$B$8+('04 - Veículos e Equipamentos'!AE7+'04 - Veículos e Equipamentos'!AE8)*'01 - Dados de Entrada'!$C$108</f>
        <v>5782</v>
      </c>
      <c r="AH8" s="45">
        <f>('04 - Veículos e Equipamentos'!AF7+'04 - Veículos e Equipamentos'!AF8)*'01 - Dados de Entrada'!$C$44*$B$8+('04 - Veículos e Equipamentos'!AF7+'04 - Veículos e Equipamentos'!AF8)*'01 - Dados de Entrada'!$C$108</f>
        <v>5782</v>
      </c>
      <c r="AI8" s="45">
        <f>('04 - Veículos e Equipamentos'!AG7+'04 - Veículos e Equipamentos'!AG8)*'01 - Dados de Entrada'!$C$44*$B$8+('04 - Veículos e Equipamentos'!AG7+'04 - Veículos e Equipamentos'!AG8)*'01 - Dados de Entrada'!$C$108</f>
        <v>5782</v>
      </c>
      <c r="AJ8" s="45">
        <f>('04 - Veículos e Equipamentos'!AH7+'04 - Veículos e Equipamentos'!AH8)*'01 - Dados de Entrada'!$C$44*$B$8+('04 - Veículos e Equipamentos'!AH7+'04 - Veículos e Equipamentos'!AH8)*'01 - Dados de Entrada'!$C$108</f>
        <v>5782</v>
      </c>
      <c r="AK8" s="45">
        <f>('04 - Veículos e Equipamentos'!AI7+'04 - Veículos e Equipamentos'!AI8)*'01 - Dados de Entrada'!$C$44*$B$8+('04 - Veículos e Equipamentos'!AI7+'04 - Veículos e Equipamentos'!AI8)*'01 - Dados de Entrada'!$C$108</f>
        <v>5782</v>
      </c>
      <c r="AL8" s="45">
        <f>('04 - Veículos e Equipamentos'!AJ7+'04 - Veículos e Equipamentos'!AJ8)*'01 - Dados de Entrada'!$C$44*$B$8+('04 - Veículos e Equipamentos'!AJ7+'04 - Veículos e Equipamentos'!AJ8)*'01 - Dados de Entrada'!$C$108</f>
        <v>5782</v>
      </c>
    </row>
    <row r="9" spans="1:38" s="398" customFormat="1" ht="13.15" customHeight="1" x14ac:dyDescent="0.2">
      <c r="A9" s="36" t="s">
        <v>1042</v>
      </c>
      <c r="B9" s="314">
        <f>'01 - Dados de Entrada'!$C$107*'01 - Dados de Entrada'!$C$104</f>
        <v>0.01</v>
      </c>
      <c r="C9" s="106">
        <f t="shared" ref="C9:C38" si="2">SUM(D9:AL9)</f>
        <v>393913.09999999974</v>
      </c>
      <c r="D9" s="45">
        <f>'04 - Veículos e Equipamentos'!B10*'01 - Dados de Entrada'!$C$47*$B$9+'04 - Veículos e Equipamentos'!B10*'01 - Dados de Entrada'!$C$108</f>
        <v>11254.66</v>
      </c>
      <c r="E9" s="45">
        <f>'04 - Veículos e Equipamentos'!C10*'01 - Dados de Entrada'!$C$47*$B$9+'04 - Veículos e Equipamentos'!C10*'01 - Dados de Entrada'!$C$108</f>
        <v>11254.66</v>
      </c>
      <c r="F9" s="45">
        <f>'04 - Veículos e Equipamentos'!D10*'01 - Dados de Entrada'!$C$47*$B$9+'04 - Veículos e Equipamentos'!D10*'01 - Dados de Entrada'!$C$108</f>
        <v>11254.66</v>
      </c>
      <c r="G9" s="45">
        <f>'04 - Veículos e Equipamentos'!E10*'01 - Dados de Entrada'!$C$47*$B$9+'04 - Veículos e Equipamentos'!E10*'01 - Dados de Entrada'!$C$108</f>
        <v>11254.66</v>
      </c>
      <c r="H9" s="45">
        <f>'04 - Veículos e Equipamentos'!F10*'01 - Dados de Entrada'!$C$47*$B$9+'04 - Veículos e Equipamentos'!F10*'01 - Dados de Entrada'!$C$108</f>
        <v>11254.66</v>
      </c>
      <c r="I9" s="45">
        <f>'04 - Veículos e Equipamentos'!G10*'01 - Dados de Entrada'!$C$47*$B$9+'04 - Veículos e Equipamentos'!G10*'01 - Dados de Entrada'!$C$108</f>
        <v>11254.66</v>
      </c>
      <c r="J9" s="45">
        <f>'04 - Veículos e Equipamentos'!H10*'01 - Dados de Entrada'!$C$47*$B$9+'04 - Veículos e Equipamentos'!H10*'01 - Dados de Entrada'!$C$108</f>
        <v>11254.66</v>
      </c>
      <c r="K9" s="45">
        <f>'04 - Veículos e Equipamentos'!I10*'01 - Dados de Entrada'!$C$47*$B$9+'04 - Veículos e Equipamentos'!I10*'01 - Dados de Entrada'!$C$108</f>
        <v>11254.66</v>
      </c>
      <c r="L9" s="45">
        <f>'04 - Veículos e Equipamentos'!J10*'01 - Dados de Entrada'!$C$47*$B$9+'04 - Veículos e Equipamentos'!J10*'01 - Dados de Entrada'!$C$108</f>
        <v>11254.66</v>
      </c>
      <c r="M9" s="45">
        <f>'04 - Veículos e Equipamentos'!K10*'01 - Dados de Entrada'!$C$47*$B$9+'04 - Veículos e Equipamentos'!K10*'01 - Dados de Entrada'!$C$108</f>
        <v>11254.66</v>
      </c>
      <c r="N9" s="45">
        <f>'04 - Veículos e Equipamentos'!L10*'01 - Dados de Entrada'!$C$47*$B$9+'04 - Veículos e Equipamentos'!L10*'01 - Dados de Entrada'!$C$108</f>
        <v>11254.66</v>
      </c>
      <c r="O9" s="45">
        <f>'04 - Veículos e Equipamentos'!M10*'01 - Dados de Entrada'!$C$47*$B$9+'04 - Veículos e Equipamentos'!M10*'01 - Dados de Entrada'!$C$108</f>
        <v>11254.66</v>
      </c>
      <c r="P9" s="45">
        <f>'04 - Veículos e Equipamentos'!N10*'01 - Dados de Entrada'!$C$47*$B$9+'04 - Veículos e Equipamentos'!N10*'01 - Dados de Entrada'!$C$108</f>
        <v>11254.66</v>
      </c>
      <c r="Q9" s="45">
        <f>'04 - Veículos e Equipamentos'!O10*'01 - Dados de Entrada'!$C$47*$B$9+'04 - Veículos e Equipamentos'!O10*'01 - Dados de Entrada'!$C$108</f>
        <v>11254.66</v>
      </c>
      <c r="R9" s="45">
        <f>'04 - Veículos e Equipamentos'!P10*'01 - Dados de Entrada'!$C$47*$B$9+'04 - Veículos e Equipamentos'!P10*'01 - Dados de Entrada'!$C$108</f>
        <v>11254.66</v>
      </c>
      <c r="S9" s="45">
        <f>'04 - Veículos e Equipamentos'!Q10*'01 - Dados de Entrada'!$C$47*$B$9+'04 - Veículos e Equipamentos'!Q10*'01 - Dados de Entrada'!$C$108</f>
        <v>11254.66</v>
      </c>
      <c r="T9" s="45">
        <f>'04 - Veículos e Equipamentos'!R10*'01 - Dados de Entrada'!$C$47*$B$9+'04 - Veículos e Equipamentos'!R10*'01 - Dados de Entrada'!$C$108</f>
        <v>11254.66</v>
      </c>
      <c r="U9" s="45">
        <f>'04 - Veículos e Equipamentos'!S10*'01 - Dados de Entrada'!$C$47*$B$9+'04 - Veículos e Equipamentos'!S10*'01 - Dados de Entrada'!$C$108</f>
        <v>11254.66</v>
      </c>
      <c r="V9" s="45">
        <f>'04 - Veículos e Equipamentos'!T10*'01 - Dados de Entrada'!$C$47*$B$9+'04 - Veículos e Equipamentos'!T10*'01 - Dados de Entrada'!$C$108</f>
        <v>11254.66</v>
      </c>
      <c r="W9" s="45">
        <f>'04 - Veículos e Equipamentos'!U10*'01 - Dados de Entrada'!$C$47*$B$9+'04 - Veículos e Equipamentos'!U10*'01 - Dados de Entrada'!$C$108</f>
        <v>11254.66</v>
      </c>
      <c r="X9" s="45">
        <f>'04 - Veículos e Equipamentos'!V10*'01 - Dados de Entrada'!$C$47*$B$9+'04 - Veículos e Equipamentos'!V10*'01 - Dados de Entrada'!$C$108</f>
        <v>11254.66</v>
      </c>
      <c r="Y9" s="45">
        <f>'04 - Veículos e Equipamentos'!W10*'01 - Dados de Entrada'!$C$47*$B$9+'04 - Veículos e Equipamentos'!W10*'01 - Dados de Entrada'!$C$108</f>
        <v>11254.66</v>
      </c>
      <c r="Z9" s="45">
        <f>'04 - Veículos e Equipamentos'!X10*'01 - Dados de Entrada'!$C$47*$B$9+'04 - Veículos e Equipamentos'!X10*'01 - Dados de Entrada'!$C$108</f>
        <v>11254.66</v>
      </c>
      <c r="AA9" s="45">
        <f>'04 - Veículos e Equipamentos'!Y10*'01 - Dados de Entrada'!$C$47*$B$9+'04 - Veículos e Equipamentos'!Y10*'01 - Dados de Entrada'!$C$108</f>
        <v>11254.66</v>
      </c>
      <c r="AB9" s="45">
        <f>'04 - Veículos e Equipamentos'!Z10*'01 - Dados de Entrada'!$C$47*$B$9+'04 - Veículos e Equipamentos'!Z10*'01 - Dados de Entrada'!$C$108</f>
        <v>11254.66</v>
      </c>
      <c r="AC9" s="45">
        <f>'04 - Veículos e Equipamentos'!AA10*'01 - Dados de Entrada'!$C$47*$B$9+'04 - Veículos e Equipamentos'!AA10*'01 - Dados de Entrada'!$C$108</f>
        <v>11254.66</v>
      </c>
      <c r="AD9" s="45">
        <f>'04 - Veículos e Equipamentos'!AB10*'01 - Dados de Entrada'!$C$47*$B$9+'04 - Veículos e Equipamentos'!AB10*'01 - Dados de Entrada'!$C$108</f>
        <v>11254.66</v>
      </c>
      <c r="AE9" s="45">
        <f>'04 - Veículos e Equipamentos'!AC10*'01 - Dados de Entrada'!$C$47*$B$9+'04 - Veículos e Equipamentos'!AC10*'01 - Dados de Entrada'!$C$108</f>
        <v>11254.66</v>
      </c>
      <c r="AF9" s="45">
        <f>'04 - Veículos e Equipamentos'!AD10*'01 - Dados de Entrada'!$C$47*$B$9+'04 - Veículos e Equipamentos'!AD10*'01 - Dados de Entrada'!$C$108</f>
        <v>11254.66</v>
      </c>
      <c r="AG9" s="45">
        <f>'04 - Veículos e Equipamentos'!AE10*'01 - Dados de Entrada'!$C$47*$B$9+'04 - Veículos e Equipamentos'!AE10*'01 - Dados de Entrada'!$C$108</f>
        <v>11254.66</v>
      </c>
      <c r="AH9" s="45">
        <f>'04 - Veículos e Equipamentos'!AF10*'01 - Dados de Entrada'!$C$47*$B$9+'04 - Veículos e Equipamentos'!AF10*'01 - Dados de Entrada'!$C$108</f>
        <v>11254.66</v>
      </c>
      <c r="AI9" s="45">
        <f>'04 - Veículos e Equipamentos'!AG10*'01 - Dados de Entrada'!$C$47*$B$9+'04 - Veículos e Equipamentos'!AG10*'01 - Dados de Entrada'!$C$108</f>
        <v>11254.66</v>
      </c>
      <c r="AJ9" s="45">
        <f>'04 - Veículos e Equipamentos'!AH10*'01 - Dados de Entrada'!$C$47*$B$9+'04 - Veículos e Equipamentos'!AH10*'01 - Dados de Entrada'!$C$108</f>
        <v>11254.66</v>
      </c>
      <c r="AK9" s="45">
        <f>'04 - Veículos e Equipamentos'!AI10*'01 - Dados de Entrada'!$C$47*$B$9+'04 - Veículos e Equipamentos'!AI10*'01 - Dados de Entrada'!$C$108</f>
        <v>11254.66</v>
      </c>
      <c r="AL9" s="45">
        <f>'04 - Veículos e Equipamentos'!AJ10*'01 - Dados de Entrada'!$C$47*$B$9+'04 - Veículos e Equipamentos'!AJ10*'01 - Dados de Entrada'!$C$108</f>
        <v>11254.66</v>
      </c>
    </row>
    <row r="10" spans="1:38" ht="13.15" customHeight="1" x14ac:dyDescent="0.2">
      <c r="A10" s="36" t="s">
        <v>1043</v>
      </c>
      <c r="B10" s="314">
        <f>'01 - Dados de Entrada'!$C$107*'01 - Dados de Entrada'!$C$104</f>
        <v>0.01</v>
      </c>
      <c r="C10" s="106">
        <f t="shared" si="2"/>
        <v>982940</v>
      </c>
      <c r="D10" s="45">
        <f>$B$10*'04 - Veículos e Equipamentos'!B9*'01 - Dados de Entrada'!$C$45+'04 - Veículos e Equipamentos'!B9*'01 - Dados de Entrada'!$C$108</f>
        <v>23128</v>
      </c>
      <c r="E10" s="45">
        <f>$B$10*'04 - Veículos e Equipamentos'!C9*'01 - Dados de Entrada'!$C$45+'04 - Veículos e Equipamentos'!C9*'01 - Dados de Entrada'!$C$108</f>
        <v>23128</v>
      </c>
      <c r="F10" s="45">
        <f>$B$10*'04 - Veículos e Equipamentos'!D9*'01 - Dados de Entrada'!$C$45+'04 - Veículos e Equipamentos'!D9*'01 - Dados de Entrada'!$C$108</f>
        <v>23128</v>
      </c>
      <c r="G10" s="45">
        <f>$B$10*'04 - Veículos e Equipamentos'!E9*'01 - Dados de Entrada'!$C$45+'04 - Veículos e Equipamentos'!E9*'01 - Dados de Entrada'!$C$108</f>
        <v>23128</v>
      </c>
      <c r="H10" s="45">
        <f>$B$10*'04 - Veículos e Equipamentos'!F9*'01 - Dados de Entrada'!$C$45+'04 - Veículos e Equipamentos'!F9*'01 - Dados de Entrada'!$C$108</f>
        <v>23128</v>
      </c>
      <c r="I10" s="45">
        <f>$B$10*'04 - Veículos e Equipamentos'!G9*'01 - Dados de Entrada'!$C$45+'04 - Veículos e Equipamentos'!G9*'01 - Dados de Entrada'!$C$108</f>
        <v>28910</v>
      </c>
      <c r="J10" s="45">
        <f>$B$10*'04 - Veículos e Equipamentos'!H9*'01 - Dados de Entrada'!$C$45+'04 - Veículos e Equipamentos'!H9*'01 - Dados de Entrada'!$C$108</f>
        <v>28910</v>
      </c>
      <c r="K10" s="45">
        <f>$B$10*'04 - Veículos e Equipamentos'!I9*'01 - Dados de Entrada'!$C$45+'04 - Veículos e Equipamentos'!I9*'01 - Dados de Entrada'!$C$108</f>
        <v>28910</v>
      </c>
      <c r="L10" s="45">
        <f>$B$10*'04 - Veículos e Equipamentos'!J9*'01 - Dados de Entrada'!$C$45+'04 - Veículos e Equipamentos'!J9*'01 - Dados de Entrada'!$C$108</f>
        <v>28910</v>
      </c>
      <c r="M10" s="45">
        <f>$B$10*'04 - Veículos e Equipamentos'!K9*'01 - Dados de Entrada'!$C$45+'04 - Veículos e Equipamentos'!K9*'01 - Dados de Entrada'!$C$108</f>
        <v>28910</v>
      </c>
      <c r="N10" s="45">
        <f>$B$10*'04 - Veículos e Equipamentos'!L9*'01 - Dados de Entrada'!$C$45+'04 - Veículos e Equipamentos'!L9*'01 - Dados de Entrada'!$C$108</f>
        <v>28910</v>
      </c>
      <c r="O10" s="45">
        <f>$B$10*'04 - Veículos e Equipamentos'!M9*'01 - Dados de Entrada'!$C$45+'04 - Veículos e Equipamentos'!M9*'01 - Dados de Entrada'!$C$108</f>
        <v>28910</v>
      </c>
      <c r="P10" s="45">
        <f>$B$10*'04 - Veículos e Equipamentos'!N9*'01 - Dados de Entrada'!$C$45+'04 - Veículos e Equipamentos'!N9*'01 - Dados de Entrada'!$C$108</f>
        <v>28910</v>
      </c>
      <c r="Q10" s="45">
        <f>$B$10*'04 - Veículos e Equipamentos'!O9*'01 - Dados de Entrada'!$C$45+'04 - Veículos e Equipamentos'!O9*'01 - Dados de Entrada'!$C$108</f>
        <v>28910</v>
      </c>
      <c r="R10" s="45">
        <f>$B$10*'04 - Veículos e Equipamentos'!P9*'01 - Dados de Entrada'!$C$45+'04 - Veículos e Equipamentos'!P9*'01 - Dados de Entrada'!$C$108</f>
        <v>28910</v>
      </c>
      <c r="S10" s="45">
        <f>$B$10*'04 - Veículos e Equipamentos'!Q9*'01 - Dados de Entrada'!$C$45+'04 - Veículos e Equipamentos'!Q9*'01 - Dados de Entrada'!$C$108</f>
        <v>28910</v>
      </c>
      <c r="T10" s="45">
        <f>$B$10*'04 - Veículos e Equipamentos'!R9*'01 - Dados de Entrada'!$C$45+'04 - Veículos e Equipamentos'!R9*'01 - Dados de Entrada'!$C$108</f>
        <v>28910</v>
      </c>
      <c r="U10" s="45">
        <f>$B$10*'04 - Veículos e Equipamentos'!S9*'01 - Dados de Entrada'!$C$45+'04 - Veículos e Equipamentos'!S9*'01 - Dados de Entrada'!$C$108</f>
        <v>28910</v>
      </c>
      <c r="V10" s="45">
        <f>$B$10*'04 - Veículos e Equipamentos'!T9*'01 - Dados de Entrada'!$C$45+'04 - Veículos e Equipamentos'!T9*'01 - Dados de Entrada'!$C$108</f>
        <v>28910</v>
      </c>
      <c r="W10" s="45">
        <f>$B$10*'04 - Veículos e Equipamentos'!U9*'01 - Dados de Entrada'!$C$45+'04 - Veículos e Equipamentos'!U9*'01 - Dados de Entrada'!$C$108</f>
        <v>28910</v>
      </c>
      <c r="X10" s="45">
        <f>$B$10*'04 - Veículos e Equipamentos'!V9*'01 - Dados de Entrada'!$C$45+'04 - Veículos e Equipamentos'!V9*'01 - Dados de Entrada'!$C$108</f>
        <v>28910</v>
      </c>
      <c r="Y10" s="45">
        <f>$B$10*'04 - Veículos e Equipamentos'!W9*'01 - Dados de Entrada'!$C$45+'04 - Veículos e Equipamentos'!W9*'01 - Dados de Entrada'!$C$108</f>
        <v>28910</v>
      </c>
      <c r="Z10" s="45">
        <f>$B$10*'04 - Veículos e Equipamentos'!X9*'01 - Dados de Entrada'!$C$45+'04 - Veículos e Equipamentos'!X9*'01 - Dados de Entrada'!$C$108</f>
        <v>28910</v>
      </c>
      <c r="AA10" s="45">
        <f>$B$10*'04 - Veículos e Equipamentos'!Y9*'01 - Dados de Entrada'!$C$45+'04 - Veículos e Equipamentos'!Y9*'01 - Dados de Entrada'!$C$108</f>
        <v>28910</v>
      </c>
      <c r="AB10" s="45">
        <f>$B$10*'04 - Veículos e Equipamentos'!Z9*'01 - Dados de Entrada'!$C$45+'04 - Veículos e Equipamentos'!Z9*'01 - Dados de Entrada'!$C$108</f>
        <v>28910</v>
      </c>
      <c r="AC10" s="45">
        <f>$B$10*'04 - Veículos e Equipamentos'!AA9*'01 - Dados de Entrada'!$C$45+'04 - Veículos e Equipamentos'!AA9*'01 - Dados de Entrada'!$C$108</f>
        <v>28910</v>
      </c>
      <c r="AD10" s="45">
        <f>$B$10*'04 - Veículos e Equipamentos'!AB9*'01 - Dados de Entrada'!$C$45+'04 - Veículos e Equipamentos'!AB9*'01 - Dados de Entrada'!$C$108</f>
        <v>28910</v>
      </c>
      <c r="AE10" s="45">
        <f>$B$10*'04 - Veículos e Equipamentos'!AC9*'01 - Dados de Entrada'!$C$45+'04 - Veículos e Equipamentos'!AC9*'01 - Dados de Entrada'!$C$108</f>
        <v>28910</v>
      </c>
      <c r="AF10" s="45">
        <f>$B$10*'04 - Veículos e Equipamentos'!AD9*'01 - Dados de Entrada'!$C$45+'04 - Veículos e Equipamentos'!AD9*'01 - Dados de Entrada'!$C$108</f>
        <v>28910</v>
      </c>
      <c r="AG10" s="45">
        <f>$B$10*'04 - Veículos e Equipamentos'!AE9*'01 - Dados de Entrada'!$C$45+'04 - Veículos e Equipamentos'!AE9*'01 - Dados de Entrada'!$C$108</f>
        <v>28910</v>
      </c>
      <c r="AH10" s="45">
        <f>$B$10*'04 - Veículos e Equipamentos'!AF9*'01 - Dados de Entrada'!$C$45+'04 - Veículos e Equipamentos'!AF9*'01 - Dados de Entrada'!$C$108</f>
        <v>28910</v>
      </c>
      <c r="AI10" s="45">
        <f>$B$10*'04 - Veículos e Equipamentos'!AG9*'01 - Dados de Entrada'!$C$45+'04 - Veículos e Equipamentos'!AG9*'01 - Dados de Entrada'!$C$108</f>
        <v>28910</v>
      </c>
      <c r="AJ10" s="45">
        <f>$B$10*'04 - Veículos e Equipamentos'!AH9*'01 - Dados de Entrada'!$C$45+'04 - Veículos e Equipamentos'!AH9*'01 - Dados de Entrada'!$C$108</f>
        <v>28910</v>
      </c>
      <c r="AK10" s="45">
        <f>$B$10*'04 - Veículos e Equipamentos'!AI9*'01 - Dados de Entrada'!$C$45+'04 - Veículos e Equipamentos'!AI9*'01 - Dados de Entrada'!$C$108</f>
        <v>28910</v>
      </c>
      <c r="AL10" s="45">
        <f>$B$10*'04 - Veículos e Equipamentos'!AJ9*'01 - Dados de Entrada'!$C$45+'04 - Veículos e Equipamentos'!AJ9*'01 - Dados de Entrada'!$C$108</f>
        <v>28910</v>
      </c>
    </row>
    <row r="11" spans="1:38" ht="13.15" customHeight="1" x14ac:dyDescent="0.2">
      <c r="A11" s="36" t="s">
        <v>792</v>
      </c>
      <c r="B11" s="314">
        <f>'01 - Dados de Entrada'!$C$107*'01 - Dados de Entrada'!$C$104</f>
        <v>0.01</v>
      </c>
      <c r="C11" s="106">
        <f t="shared" si="2"/>
        <v>202370</v>
      </c>
      <c r="D11" s="45">
        <f>$B$11*'04 - Veículos e Equipamentos'!B14*'01 - Dados de Entrada'!$C$48+'04 - Veículos e Equipamentos'!B14*'01 - Dados de Entrada'!$C$108</f>
        <v>5782</v>
      </c>
      <c r="E11" s="45">
        <f>$B$11*'04 - Veículos e Equipamentos'!C14*'01 - Dados de Entrada'!$C$48+'04 - Veículos e Equipamentos'!C14*'01 - Dados de Entrada'!$C$108</f>
        <v>5782</v>
      </c>
      <c r="F11" s="45">
        <f>$B$11*'04 - Veículos e Equipamentos'!D14*'01 - Dados de Entrada'!$C$48+'04 - Veículos e Equipamentos'!D14*'01 - Dados de Entrada'!$C$108</f>
        <v>5782</v>
      </c>
      <c r="G11" s="45">
        <f>$B$11*'04 - Veículos e Equipamentos'!E14*'01 - Dados de Entrada'!$C$48+'04 - Veículos e Equipamentos'!E14*'01 - Dados de Entrada'!$C$108</f>
        <v>5782</v>
      </c>
      <c r="H11" s="45">
        <f>$B$11*'04 - Veículos e Equipamentos'!F14*'01 - Dados de Entrada'!$C$48+'04 - Veículos e Equipamentos'!F14*'01 - Dados de Entrada'!$C$108</f>
        <v>5782</v>
      </c>
      <c r="I11" s="45">
        <f>$B$11*'04 - Veículos e Equipamentos'!G14*'01 - Dados de Entrada'!$C$48+'04 - Veículos e Equipamentos'!G14*'01 - Dados de Entrada'!$C$108</f>
        <v>5782</v>
      </c>
      <c r="J11" s="45">
        <f>$B$11*'04 - Veículos e Equipamentos'!H14*'01 - Dados de Entrada'!$C$48+'04 - Veículos e Equipamentos'!H14*'01 - Dados de Entrada'!$C$108</f>
        <v>5782</v>
      </c>
      <c r="K11" s="45">
        <f>$B$11*'04 - Veículos e Equipamentos'!I14*'01 - Dados de Entrada'!$C$48+'04 - Veículos e Equipamentos'!I14*'01 - Dados de Entrada'!$C$108</f>
        <v>5782</v>
      </c>
      <c r="L11" s="45">
        <f>$B$11*'04 - Veículos e Equipamentos'!J14*'01 - Dados de Entrada'!$C$48+'04 - Veículos e Equipamentos'!J14*'01 - Dados de Entrada'!$C$108</f>
        <v>5782</v>
      </c>
      <c r="M11" s="45">
        <f>$B$11*'04 - Veículos e Equipamentos'!K14*'01 - Dados de Entrada'!$C$48+'04 - Veículos e Equipamentos'!K14*'01 - Dados de Entrada'!$C$108</f>
        <v>5782</v>
      </c>
      <c r="N11" s="45">
        <f>$B$11*'04 - Veículos e Equipamentos'!L14*'01 - Dados de Entrada'!$C$48+'04 - Veículos e Equipamentos'!L14*'01 - Dados de Entrada'!$C$108</f>
        <v>5782</v>
      </c>
      <c r="O11" s="45">
        <f>$B$11*'04 - Veículos e Equipamentos'!M14*'01 - Dados de Entrada'!$C$48+'04 - Veículos e Equipamentos'!M14*'01 - Dados de Entrada'!$C$108</f>
        <v>5782</v>
      </c>
      <c r="P11" s="45">
        <f>$B$11*'04 - Veículos e Equipamentos'!N14*'01 - Dados de Entrada'!$C$48+'04 - Veículos e Equipamentos'!N14*'01 - Dados de Entrada'!$C$108</f>
        <v>5782</v>
      </c>
      <c r="Q11" s="45">
        <f>$B$11*'04 - Veículos e Equipamentos'!O14*'01 - Dados de Entrada'!$C$48+'04 - Veículos e Equipamentos'!O14*'01 - Dados de Entrada'!$C$108</f>
        <v>5782</v>
      </c>
      <c r="R11" s="45">
        <f>$B$11*'04 - Veículos e Equipamentos'!P14*'01 - Dados de Entrada'!$C$48+'04 - Veículos e Equipamentos'!P14*'01 - Dados de Entrada'!$C$108</f>
        <v>5782</v>
      </c>
      <c r="S11" s="45">
        <f>$B$11*'04 - Veículos e Equipamentos'!Q14*'01 - Dados de Entrada'!$C$48+'04 - Veículos e Equipamentos'!Q14*'01 - Dados de Entrada'!$C$108</f>
        <v>5782</v>
      </c>
      <c r="T11" s="45">
        <f>$B$11*'04 - Veículos e Equipamentos'!R14*'01 - Dados de Entrada'!$C$48+'04 - Veículos e Equipamentos'!R14*'01 - Dados de Entrada'!$C$108</f>
        <v>5782</v>
      </c>
      <c r="U11" s="45">
        <f>$B$11*'04 - Veículos e Equipamentos'!S14*'01 - Dados de Entrada'!$C$48+'04 - Veículos e Equipamentos'!S14*'01 - Dados de Entrada'!$C$108</f>
        <v>5782</v>
      </c>
      <c r="V11" s="45">
        <f>$B$11*'04 - Veículos e Equipamentos'!T14*'01 - Dados de Entrada'!$C$48+'04 - Veículos e Equipamentos'!T14*'01 - Dados de Entrada'!$C$108</f>
        <v>5782</v>
      </c>
      <c r="W11" s="45">
        <f>$B$11*'04 - Veículos e Equipamentos'!U14*'01 - Dados de Entrada'!$C$48+'04 - Veículos e Equipamentos'!U14*'01 - Dados de Entrada'!$C$108</f>
        <v>5782</v>
      </c>
      <c r="X11" s="45">
        <f>$B$11*'04 - Veículos e Equipamentos'!V14*'01 - Dados de Entrada'!$C$48+'04 - Veículos e Equipamentos'!V14*'01 - Dados de Entrada'!$C$108</f>
        <v>5782</v>
      </c>
      <c r="Y11" s="45">
        <f>$B$11*'04 - Veículos e Equipamentos'!W14*'01 - Dados de Entrada'!$C$48+'04 - Veículos e Equipamentos'!W14*'01 - Dados de Entrada'!$C$108</f>
        <v>5782</v>
      </c>
      <c r="Z11" s="45">
        <f>$B$11*'04 - Veículos e Equipamentos'!X14*'01 - Dados de Entrada'!$C$48+'04 - Veículos e Equipamentos'!X14*'01 - Dados de Entrada'!$C$108</f>
        <v>5782</v>
      </c>
      <c r="AA11" s="45">
        <f>$B$11*'04 - Veículos e Equipamentos'!Y14*'01 - Dados de Entrada'!$C$48+'04 - Veículos e Equipamentos'!Y14*'01 - Dados de Entrada'!$C$108</f>
        <v>5782</v>
      </c>
      <c r="AB11" s="45">
        <f>$B$11*'04 - Veículos e Equipamentos'!Z14*'01 - Dados de Entrada'!$C$48+'04 - Veículos e Equipamentos'!Z14*'01 - Dados de Entrada'!$C$108</f>
        <v>5782</v>
      </c>
      <c r="AC11" s="45">
        <f>$B$11*'04 - Veículos e Equipamentos'!AA14*'01 - Dados de Entrada'!$C$48+'04 - Veículos e Equipamentos'!AA14*'01 - Dados de Entrada'!$C$108</f>
        <v>5782</v>
      </c>
      <c r="AD11" s="45">
        <f>$B$11*'04 - Veículos e Equipamentos'!AB14*'01 - Dados de Entrada'!$C$48+'04 - Veículos e Equipamentos'!AB14*'01 - Dados de Entrada'!$C$108</f>
        <v>5782</v>
      </c>
      <c r="AE11" s="45">
        <f>$B$11*'04 - Veículos e Equipamentos'!AC14*'01 - Dados de Entrada'!$C$48+'04 - Veículos e Equipamentos'!AC14*'01 - Dados de Entrada'!$C$108</f>
        <v>5782</v>
      </c>
      <c r="AF11" s="45">
        <f>$B$11*'04 - Veículos e Equipamentos'!AD14*'01 - Dados de Entrada'!$C$48+'04 - Veículos e Equipamentos'!AD14*'01 - Dados de Entrada'!$C$108</f>
        <v>5782</v>
      </c>
      <c r="AG11" s="45">
        <f>$B$11*'04 - Veículos e Equipamentos'!AE14*'01 - Dados de Entrada'!$C$48+'04 - Veículos e Equipamentos'!AE14*'01 - Dados de Entrada'!$C$108</f>
        <v>5782</v>
      </c>
      <c r="AH11" s="45">
        <f>$B$11*'04 - Veículos e Equipamentos'!AF14*'01 - Dados de Entrada'!$C$48+'04 - Veículos e Equipamentos'!AF14*'01 - Dados de Entrada'!$C$108</f>
        <v>5782</v>
      </c>
      <c r="AI11" s="45">
        <f>$B$11*'04 - Veículos e Equipamentos'!AG14*'01 - Dados de Entrada'!$C$48+'04 - Veículos e Equipamentos'!AG14*'01 - Dados de Entrada'!$C$108</f>
        <v>5782</v>
      </c>
      <c r="AJ11" s="45">
        <f>$B$11*'04 - Veículos e Equipamentos'!AH14*'01 - Dados de Entrada'!$C$48+'04 - Veículos e Equipamentos'!AH14*'01 - Dados de Entrada'!$C$108</f>
        <v>5782</v>
      </c>
      <c r="AK11" s="45">
        <f>$B$11*'04 - Veículos e Equipamentos'!AI14*'01 - Dados de Entrada'!$C$48+'04 - Veículos e Equipamentos'!AI14*'01 - Dados de Entrada'!$C$108</f>
        <v>5782</v>
      </c>
      <c r="AL11" s="45">
        <f>$B$11*'04 - Veículos e Equipamentos'!AJ14*'01 - Dados de Entrada'!$C$48+'04 - Veículos e Equipamentos'!AJ14*'01 - Dados de Entrada'!$C$108</f>
        <v>5782</v>
      </c>
    </row>
    <row r="12" spans="1:38" ht="13.15" customHeight="1" x14ac:dyDescent="0.2">
      <c r="A12" s="34" t="s">
        <v>793</v>
      </c>
      <c r="B12" s="314">
        <f>'01 - Dados de Entrada'!$C$107*'01 - Dados de Entrada'!$C$103</f>
        <v>0.02</v>
      </c>
      <c r="C12" s="106">
        <f t="shared" si="2"/>
        <v>75564.64999999998</v>
      </c>
      <c r="D12" s="45">
        <f>$B$12*'04 - Veículos e Equipamentos'!B15*'01 - Dados de Entrada'!$C$55+'04 - Veículos e Equipamentos'!B15*'01 - Dados de Entrada'!$C$112</f>
        <v>2158.9899999999998</v>
      </c>
      <c r="E12" s="45">
        <f>$B$12*'04 - Veículos e Equipamentos'!C15*'01 - Dados de Entrada'!$C$55+'04 - Veículos e Equipamentos'!C15*'01 - Dados de Entrada'!$C$112</f>
        <v>2158.9899999999998</v>
      </c>
      <c r="F12" s="45">
        <f>$B$12*'04 - Veículos e Equipamentos'!D15*'01 - Dados de Entrada'!$C$55+'04 - Veículos e Equipamentos'!D15*'01 - Dados de Entrada'!$C$112</f>
        <v>2158.9899999999998</v>
      </c>
      <c r="G12" s="45">
        <f>$B$12*'04 - Veículos e Equipamentos'!E15*'01 - Dados de Entrada'!$C$55+'04 - Veículos e Equipamentos'!E15*'01 - Dados de Entrada'!$C$112</f>
        <v>2158.9899999999998</v>
      </c>
      <c r="H12" s="45">
        <f>$B$12*'04 - Veículos e Equipamentos'!F15*'01 - Dados de Entrada'!$C$55+'04 - Veículos e Equipamentos'!F15*'01 - Dados de Entrada'!$C$112</f>
        <v>2158.9899999999998</v>
      </c>
      <c r="I12" s="45">
        <f>$B$12*'04 - Veículos e Equipamentos'!G15*'01 - Dados de Entrada'!$C$55+'04 - Veículos e Equipamentos'!G15*'01 - Dados de Entrada'!$C$112</f>
        <v>2158.9899999999998</v>
      </c>
      <c r="J12" s="45">
        <f>$B$12*'04 - Veículos e Equipamentos'!H15*'01 - Dados de Entrada'!$C$55+'04 - Veículos e Equipamentos'!H15*'01 - Dados de Entrada'!$C$112</f>
        <v>2158.9899999999998</v>
      </c>
      <c r="K12" s="45">
        <f>$B$12*'04 - Veículos e Equipamentos'!I15*'01 - Dados de Entrada'!$C$55+'04 - Veículos e Equipamentos'!I15*'01 - Dados de Entrada'!$C$112</f>
        <v>2158.9899999999998</v>
      </c>
      <c r="L12" s="45">
        <f>$B$12*'04 - Veículos e Equipamentos'!J15*'01 - Dados de Entrada'!$C$55+'04 - Veículos e Equipamentos'!J15*'01 - Dados de Entrada'!$C$112</f>
        <v>2158.9899999999998</v>
      </c>
      <c r="M12" s="45">
        <f>$B$12*'04 - Veículos e Equipamentos'!K15*'01 - Dados de Entrada'!$C$55+'04 - Veículos e Equipamentos'!K15*'01 - Dados de Entrada'!$C$112</f>
        <v>2158.9899999999998</v>
      </c>
      <c r="N12" s="45">
        <f>$B$12*'04 - Veículos e Equipamentos'!L15*'01 - Dados de Entrada'!$C$55+'04 - Veículos e Equipamentos'!L15*'01 - Dados de Entrada'!$C$112</f>
        <v>2158.9899999999998</v>
      </c>
      <c r="O12" s="45">
        <f>$B$12*'04 - Veículos e Equipamentos'!M15*'01 - Dados de Entrada'!$C$55+'04 - Veículos e Equipamentos'!M15*'01 - Dados de Entrada'!$C$112</f>
        <v>2158.9899999999998</v>
      </c>
      <c r="P12" s="45">
        <f>$B$12*'04 - Veículos e Equipamentos'!N15*'01 - Dados de Entrada'!$C$55+'04 - Veículos e Equipamentos'!N15*'01 - Dados de Entrada'!$C$112</f>
        <v>2158.9899999999998</v>
      </c>
      <c r="Q12" s="45">
        <f>$B$12*'04 - Veículos e Equipamentos'!O15*'01 - Dados de Entrada'!$C$55+'04 - Veículos e Equipamentos'!O15*'01 - Dados de Entrada'!$C$112</f>
        <v>2158.9899999999998</v>
      </c>
      <c r="R12" s="45">
        <f>$B$12*'04 - Veículos e Equipamentos'!P15*'01 - Dados de Entrada'!$C$55+'04 - Veículos e Equipamentos'!P15*'01 - Dados de Entrada'!$C$112</f>
        <v>2158.9899999999998</v>
      </c>
      <c r="S12" s="45">
        <f>$B$12*'04 - Veículos e Equipamentos'!Q15*'01 - Dados de Entrada'!$C$55+'04 - Veículos e Equipamentos'!Q15*'01 - Dados de Entrada'!$C$112</f>
        <v>2158.9899999999998</v>
      </c>
      <c r="T12" s="45">
        <f>$B$12*'04 - Veículos e Equipamentos'!R15*'01 - Dados de Entrada'!$C$55+'04 - Veículos e Equipamentos'!R15*'01 - Dados de Entrada'!$C$112</f>
        <v>2158.9899999999998</v>
      </c>
      <c r="U12" s="45">
        <f>$B$12*'04 - Veículos e Equipamentos'!S15*'01 - Dados de Entrada'!$C$55+'04 - Veículos e Equipamentos'!S15*'01 - Dados de Entrada'!$C$112</f>
        <v>2158.9899999999998</v>
      </c>
      <c r="V12" s="45">
        <f>$B$12*'04 - Veículos e Equipamentos'!T15*'01 - Dados de Entrada'!$C$55+'04 - Veículos e Equipamentos'!T15*'01 - Dados de Entrada'!$C$112</f>
        <v>2158.9899999999998</v>
      </c>
      <c r="W12" s="45">
        <f>$B$12*'04 - Veículos e Equipamentos'!U15*'01 - Dados de Entrada'!$C$55+'04 - Veículos e Equipamentos'!U15*'01 - Dados de Entrada'!$C$112</f>
        <v>2158.9899999999998</v>
      </c>
      <c r="X12" s="45">
        <f>$B$12*'04 - Veículos e Equipamentos'!V15*'01 - Dados de Entrada'!$C$55+'04 - Veículos e Equipamentos'!V15*'01 - Dados de Entrada'!$C$112</f>
        <v>2158.9899999999998</v>
      </c>
      <c r="Y12" s="45">
        <f>$B$12*'04 - Veículos e Equipamentos'!W15*'01 - Dados de Entrada'!$C$55+'04 - Veículos e Equipamentos'!W15*'01 - Dados de Entrada'!$C$112</f>
        <v>2158.9899999999998</v>
      </c>
      <c r="Z12" s="45">
        <f>$B$12*'04 - Veículos e Equipamentos'!X15*'01 - Dados de Entrada'!$C$55+'04 - Veículos e Equipamentos'!X15*'01 - Dados de Entrada'!$C$112</f>
        <v>2158.9899999999998</v>
      </c>
      <c r="AA12" s="45">
        <f>$B$12*'04 - Veículos e Equipamentos'!Y15*'01 - Dados de Entrada'!$C$55+'04 - Veículos e Equipamentos'!Y15*'01 - Dados de Entrada'!$C$112</f>
        <v>2158.9899999999998</v>
      </c>
      <c r="AB12" s="45">
        <f>$B$12*'04 - Veículos e Equipamentos'!Z15*'01 - Dados de Entrada'!$C$55+'04 - Veículos e Equipamentos'!Z15*'01 - Dados de Entrada'!$C$112</f>
        <v>2158.9899999999998</v>
      </c>
      <c r="AC12" s="45">
        <f>$B$12*'04 - Veículos e Equipamentos'!AA15*'01 - Dados de Entrada'!$C$55+'04 - Veículos e Equipamentos'!AA15*'01 - Dados de Entrada'!$C$112</f>
        <v>2158.9899999999998</v>
      </c>
      <c r="AD12" s="45">
        <f>$B$12*'04 - Veículos e Equipamentos'!AB15*'01 - Dados de Entrada'!$C$55+'04 - Veículos e Equipamentos'!AB15*'01 - Dados de Entrada'!$C$112</f>
        <v>2158.9899999999998</v>
      </c>
      <c r="AE12" s="45">
        <f>$B$12*'04 - Veículos e Equipamentos'!AC15*'01 - Dados de Entrada'!$C$55+'04 - Veículos e Equipamentos'!AC15*'01 - Dados de Entrada'!$C$112</f>
        <v>2158.9899999999998</v>
      </c>
      <c r="AF12" s="45">
        <f>$B$12*'04 - Veículos e Equipamentos'!AD15*'01 - Dados de Entrada'!$C$55+'04 - Veículos e Equipamentos'!AD15*'01 - Dados de Entrada'!$C$112</f>
        <v>2158.9899999999998</v>
      </c>
      <c r="AG12" s="45">
        <f>$B$12*'04 - Veículos e Equipamentos'!AE15*'01 - Dados de Entrada'!$C$55+'04 - Veículos e Equipamentos'!AE15*'01 - Dados de Entrada'!$C$112</f>
        <v>2158.9899999999998</v>
      </c>
      <c r="AH12" s="45">
        <f>$B$12*'04 - Veículos e Equipamentos'!AF15*'01 - Dados de Entrada'!$C$55+'04 - Veículos e Equipamentos'!AF15*'01 - Dados de Entrada'!$C$112</f>
        <v>2158.9899999999998</v>
      </c>
      <c r="AI12" s="45">
        <f>$B$12*'04 - Veículos e Equipamentos'!AG15*'01 - Dados de Entrada'!$C$55+'04 - Veículos e Equipamentos'!AG15*'01 - Dados de Entrada'!$C$112</f>
        <v>2158.9899999999998</v>
      </c>
      <c r="AJ12" s="45">
        <f>$B$12*'04 - Veículos e Equipamentos'!AH15*'01 - Dados de Entrada'!$C$55+'04 - Veículos e Equipamentos'!AH15*'01 - Dados de Entrada'!$C$112</f>
        <v>2158.9899999999998</v>
      </c>
      <c r="AK12" s="45">
        <f>$B$12*'04 - Veículos e Equipamentos'!AI15*'01 - Dados de Entrada'!$C$55+'04 - Veículos e Equipamentos'!AI15*'01 - Dados de Entrada'!$C$112</f>
        <v>2158.9899999999998</v>
      </c>
      <c r="AL12" s="45">
        <f>$B$12*'04 - Veículos e Equipamentos'!AJ15*'01 - Dados de Entrada'!$C$55+'04 - Veículos e Equipamentos'!AJ15*'01 - Dados de Entrada'!$C$112</f>
        <v>2158.9899999999998</v>
      </c>
    </row>
    <row r="13" spans="1:38" ht="13.15" customHeight="1" x14ac:dyDescent="0.2">
      <c r="A13" s="34" t="s">
        <v>794</v>
      </c>
      <c r="B13" s="314">
        <f>'01 - Dados de Entrada'!$C$107*'01 - Dados de Entrada'!$C$106</f>
        <v>0.01</v>
      </c>
      <c r="C13" s="106">
        <f t="shared" si="2"/>
        <v>20402.199999999993</v>
      </c>
      <c r="D13" s="45">
        <f>$B$13*'04 - Veículos e Equipamentos'!B16*'01 - Dados de Entrada'!$C$57+'04 - Veículos e Equipamentos'!B16*'01 - Dados de Entrada'!$C$113</f>
        <v>313.88</v>
      </c>
      <c r="E13" s="45">
        <f>$B$13*'04 - Veículos e Equipamentos'!C16*'01 - Dados de Entrada'!$C$57+'04 - Veículos e Equipamentos'!C16*'01 - Dados de Entrada'!$C$113</f>
        <v>313.88</v>
      </c>
      <c r="F13" s="45">
        <f>$B$13*'04 - Veículos e Equipamentos'!D16*'01 - Dados de Entrada'!$C$57+'04 - Veículos e Equipamentos'!D16*'01 - Dados de Entrada'!$C$113</f>
        <v>313.88</v>
      </c>
      <c r="G13" s="45">
        <f>$B$13*'04 - Veículos e Equipamentos'!E16*'01 - Dados de Entrada'!$C$57+'04 - Veículos e Equipamentos'!E16*'01 - Dados de Entrada'!$C$113</f>
        <v>313.88</v>
      </c>
      <c r="H13" s="45">
        <f>$B$13*'04 - Veículos e Equipamentos'!F16*'01 - Dados de Entrada'!$C$57+'04 - Veículos e Equipamentos'!F16*'01 - Dados de Entrada'!$C$113</f>
        <v>313.88</v>
      </c>
      <c r="I13" s="45">
        <f>$B$13*'04 - Veículos e Equipamentos'!G16*'01 - Dados de Entrada'!$C$57+'04 - Veículos e Equipamentos'!G16*'01 - Dados de Entrada'!$C$113</f>
        <v>627.76</v>
      </c>
      <c r="J13" s="45">
        <f>$B$13*'04 - Veículos e Equipamentos'!H16*'01 - Dados de Entrada'!$C$57+'04 - Veículos e Equipamentos'!H16*'01 - Dados de Entrada'!$C$113</f>
        <v>627.76</v>
      </c>
      <c r="K13" s="45">
        <f>$B$13*'04 - Veículos e Equipamentos'!I16*'01 - Dados de Entrada'!$C$57+'04 - Veículos e Equipamentos'!I16*'01 - Dados de Entrada'!$C$113</f>
        <v>627.76</v>
      </c>
      <c r="L13" s="45">
        <f>$B$13*'04 - Veículos e Equipamentos'!J16*'01 - Dados de Entrada'!$C$57+'04 - Veículos e Equipamentos'!J16*'01 - Dados de Entrada'!$C$113</f>
        <v>627.76</v>
      </c>
      <c r="M13" s="45">
        <f>$B$13*'04 - Veículos e Equipamentos'!K16*'01 - Dados de Entrada'!$C$57+'04 - Veículos e Equipamentos'!K16*'01 - Dados de Entrada'!$C$113</f>
        <v>627.76</v>
      </c>
      <c r="N13" s="45">
        <f>$B$13*'04 - Veículos e Equipamentos'!L16*'01 - Dados de Entrada'!$C$57+'04 - Veículos e Equipamentos'!L16*'01 - Dados de Entrada'!$C$113</f>
        <v>627.76</v>
      </c>
      <c r="O13" s="45">
        <f>$B$13*'04 - Veículos e Equipamentos'!M16*'01 - Dados de Entrada'!$C$57+'04 - Veículos e Equipamentos'!M16*'01 - Dados de Entrada'!$C$113</f>
        <v>627.76</v>
      </c>
      <c r="P13" s="45">
        <f>$B$13*'04 - Veículos e Equipamentos'!N16*'01 - Dados de Entrada'!$C$57+'04 - Veículos e Equipamentos'!N16*'01 - Dados de Entrada'!$C$113</f>
        <v>627.76</v>
      </c>
      <c r="Q13" s="45">
        <f>$B$13*'04 - Veículos e Equipamentos'!O16*'01 - Dados de Entrada'!$C$57+'04 - Veículos e Equipamentos'!O16*'01 - Dados de Entrada'!$C$113</f>
        <v>627.76</v>
      </c>
      <c r="R13" s="45">
        <f>$B$13*'04 - Veículos e Equipamentos'!P16*'01 - Dados de Entrada'!$C$57+'04 - Veículos e Equipamentos'!P16*'01 - Dados de Entrada'!$C$113</f>
        <v>627.76</v>
      </c>
      <c r="S13" s="45">
        <f>$B$13*'04 - Veículos e Equipamentos'!Q16*'01 - Dados de Entrada'!$C$57+'04 - Veículos e Equipamentos'!Q16*'01 - Dados de Entrada'!$C$113</f>
        <v>627.76</v>
      </c>
      <c r="T13" s="45">
        <f>$B$13*'04 - Veículos e Equipamentos'!R16*'01 - Dados de Entrada'!$C$57+'04 - Veículos e Equipamentos'!R16*'01 - Dados de Entrada'!$C$113</f>
        <v>627.76</v>
      </c>
      <c r="U13" s="45">
        <f>$B$13*'04 - Veículos e Equipamentos'!S16*'01 - Dados de Entrada'!$C$57+'04 - Veículos e Equipamentos'!S16*'01 - Dados de Entrada'!$C$113</f>
        <v>627.76</v>
      </c>
      <c r="V13" s="45">
        <f>$B$13*'04 - Veículos e Equipamentos'!T16*'01 - Dados de Entrada'!$C$57+'04 - Veículos e Equipamentos'!T16*'01 - Dados de Entrada'!$C$113</f>
        <v>627.76</v>
      </c>
      <c r="W13" s="45">
        <f>$B$13*'04 - Veículos e Equipamentos'!U16*'01 - Dados de Entrada'!$C$57+'04 - Veículos e Equipamentos'!U16*'01 - Dados de Entrada'!$C$113</f>
        <v>627.76</v>
      </c>
      <c r="X13" s="45">
        <f>$B$13*'04 - Veículos e Equipamentos'!V16*'01 - Dados de Entrada'!$C$57+'04 - Veículos e Equipamentos'!V16*'01 - Dados de Entrada'!$C$113</f>
        <v>627.76</v>
      </c>
      <c r="Y13" s="45">
        <f>$B$13*'04 - Veículos e Equipamentos'!W16*'01 - Dados de Entrada'!$C$57+'04 - Veículos e Equipamentos'!W16*'01 - Dados de Entrada'!$C$113</f>
        <v>627.76</v>
      </c>
      <c r="Z13" s="45">
        <f>$B$13*'04 - Veículos e Equipamentos'!X16*'01 - Dados de Entrada'!$C$57+'04 - Veículos e Equipamentos'!X16*'01 - Dados de Entrada'!$C$113</f>
        <v>627.76</v>
      </c>
      <c r="AA13" s="45">
        <f>$B$13*'04 - Veículos e Equipamentos'!Y16*'01 - Dados de Entrada'!$C$57+'04 - Veículos e Equipamentos'!Y16*'01 - Dados de Entrada'!$C$113</f>
        <v>627.76</v>
      </c>
      <c r="AB13" s="45">
        <f>$B$13*'04 - Veículos e Equipamentos'!Z16*'01 - Dados de Entrada'!$C$57+'04 - Veículos e Equipamentos'!Z16*'01 - Dados de Entrada'!$C$113</f>
        <v>627.76</v>
      </c>
      <c r="AC13" s="45">
        <f>$B$13*'04 - Veículos e Equipamentos'!AA16*'01 - Dados de Entrada'!$C$57+'04 - Veículos e Equipamentos'!AA16*'01 - Dados de Entrada'!$C$113</f>
        <v>627.76</v>
      </c>
      <c r="AD13" s="45">
        <f>$B$13*'04 - Veículos e Equipamentos'!AB16*'01 - Dados de Entrada'!$C$57+'04 - Veículos e Equipamentos'!AB16*'01 - Dados de Entrada'!$C$113</f>
        <v>627.76</v>
      </c>
      <c r="AE13" s="45">
        <f>$B$13*'04 - Veículos e Equipamentos'!AC16*'01 - Dados de Entrada'!$C$57+'04 - Veículos e Equipamentos'!AC16*'01 - Dados de Entrada'!$C$113</f>
        <v>627.76</v>
      </c>
      <c r="AF13" s="45">
        <f>$B$13*'04 - Veículos e Equipamentos'!AD16*'01 - Dados de Entrada'!$C$57+'04 - Veículos e Equipamentos'!AD16*'01 - Dados de Entrada'!$C$113</f>
        <v>627.76</v>
      </c>
      <c r="AG13" s="45">
        <f>$B$13*'04 - Veículos e Equipamentos'!AE16*'01 - Dados de Entrada'!$C$57+'04 - Veículos e Equipamentos'!AE16*'01 - Dados de Entrada'!$C$113</f>
        <v>627.76</v>
      </c>
      <c r="AH13" s="45">
        <f>$B$13*'04 - Veículos e Equipamentos'!AF16*'01 - Dados de Entrada'!$C$57+'04 - Veículos e Equipamentos'!AF16*'01 - Dados de Entrada'!$C$113</f>
        <v>627.76</v>
      </c>
      <c r="AI13" s="45">
        <f>$B$13*'04 - Veículos e Equipamentos'!AG16*'01 - Dados de Entrada'!$C$57+'04 - Veículos e Equipamentos'!AG16*'01 - Dados de Entrada'!$C$113</f>
        <v>627.76</v>
      </c>
      <c r="AJ13" s="45">
        <f>$B$13*'04 - Veículos e Equipamentos'!AH16*'01 - Dados de Entrada'!$C$57+'04 - Veículos e Equipamentos'!AH16*'01 - Dados de Entrada'!$C$113</f>
        <v>627.76</v>
      </c>
      <c r="AK13" s="45">
        <f>$B$13*'04 - Veículos e Equipamentos'!AI16*'01 - Dados de Entrada'!$C$57+'04 - Veículos e Equipamentos'!AI16*'01 - Dados de Entrada'!$C$113</f>
        <v>627.76</v>
      </c>
      <c r="AL13" s="45">
        <f>$B$13*'04 - Veículos e Equipamentos'!AJ16*'01 - Dados de Entrada'!$C$57+'04 - Veículos e Equipamentos'!AJ16*'01 - Dados de Entrada'!$C$113</f>
        <v>627.76</v>
      </c>
    </row>
    <row r="14" spans="1:38" s="397" customFormat="1" ht="13.15" customHeight="1" x14ac:dyDescent="0.2">
      <c r="A14" s="59" t="s">
        <v>1044</v>
      </c>
      <c r="B14" s="512"/>
      <c r="C14" s="58">
        <f t="shared" si="2"/>
        <v>2069776.4500000016</v>
      </c>
      <c r="D14" s="58">
        <f>SUM(D15:D18)</f>
        <v>54510.87</v>
      </c>
      <c r="E14" s="58">
        <f t="shared" ref="E14:AL14" si="3">SUM(E15:E18)</f>
        <v>54510.87</v>
      </c>
      <c r="F14" s="58">
        <f t="shared" si="3"/>
        <v>54510.87</v>
      </c>
      <c r="G14" s="58">
        <f t="shared" si="3"/>
        <v>54510.87</v>
      </c>
      <c r="H14" s="58">
        <f t="shared" si="3"/>
        <v>54510.87</v>
      </c>
      <c r="I14" s="58">
        <f t="shared" si="3"/>
        <v>54510.87</v>
      </c>
      <c r="J14" s="58">
        <f t="shared" si="3"/>
        <v>54510.87</v>
      </c>
      <c r="K14" s="58">
        <f t="shared" si="3"/>
        <v>60292.869999999995</v>
      </c>
      <c r="L14" s="58">
        <f t="shared" si="3"/>
        <v>60292.869999999995</v>
      </c>
      <c r="M14" s="58">
        <f t="shared" si="3"/>
        <v>60292.869999999995</v>
      </c>
      <c r="N14" s="58">
        <f t="shared" si="3"/>
        <v>60292.869999999995</v>
      </c>
      <c r="O14" s="58">
        <f t="shared" si="3"/>
        <v>60292.869999999995</v>
      </c>
      <c r="P14" s="58">
        <f t="shared" si="3"/>
        <v>60292.869999999995</v>
      </c>
      <c r="Q14" s="58">
        <f t="shared" si="3"/>
        <v>60292.869999999995</v>
      </c>
      <c r="R14" s="58">
        <f t="shared" si="3"/>
        <v>60292.869999999995</v>
      </c>
      <c r="S14" s="58">
        <f t="shared" si="3"/>
        <v>60292.869999999995</v>
      </c>
      <c r="T14" s="58">
        <f t="shared" si="3"/>
        <v>60292.869999999995</v>
      </c>
      <c r="U14" s="58">
        <f t="shared" si="3"/>
        <v>60292.869999999995</v>
      </c>
      <c r="V14" s="58">
        <f t="shared" si="3"/>
        <v>60292.869999999995</v>
      </c>
      <c r="W14" s="58">
        <f t="shared" si="3"/>
        <v>60292.869999999995</v>
      </c>
      <c r="X14" s="58">
        <f t="shared" si="3"/>
        <v>60292.869999999995</v>
      </c>
      <c r="Y14" s="58">
        <f t="shared" si="3"/>
        <v>60292.869999999995</v>
      </c>
      <c r="Z14" s="58">
        <f t="shared" si="3"/>
        <v>60292.869999999995</v>
      </c>
      <c r="AA14" s="58">
        <f t="shared" si="3"/>
        <v>60292.869999999995</v>
      </c>
      <c r="AB14" s="58">
        <f t="shared" si="3"/>
        <v>60292.869999999995</v>
      </c>
      <c r="AC14" s="58">
        <f t="shared" si="3"/>
        <v>60292.869999999995</v>
      </c>
      <c r="AD14" s="58">
        <f t="shared" si="3"/>
        <v>60292.869999999995</v>
      </c>
      <c r="AE14" s="58">
        <f t="shared" si="3"/>
        <v>60292.869999999995</v>
      </c>
      <c r="AF14" s="58">
        <f t="shared" si="3"/>
        <v>60292.869999999995</v>
      </c>
      <c r="AG14" s="58">
        <f t="shared" si="3"/>
        <v>60292.869999999995</v>
      </c>
      <c r="AH14" s="58">
        <f t="shared" si="3"/>
        <v>60292.869999999995</v>
      </c>
      <c r="AI14" s="58">
        <f t="shared" si="3"/>
        <v>60292.869999999995</v>
      </c>
      <c r="AJ14" s="58">
        <f t="shared" si="3"/>
        <v>60292.869999999995</v>
      </c>
      <c r="AK14" s="58">
        <f t="shared" si="3"/>
        <v>60292.869999999995</v>
      </c>
      <c r="AL14" s="58">
        <f t="shared" si="3"/>
        <v>60292.869999999995</v>
      </c>
    </row>
    <row r="15" spans="1:38" ht="13.15" customHeight="1" x14ac:dyDescent="0.2">
      <c r="A15" s="34" t="s">
        <v>1045</v>
      </c>
      <c r="B15" s="314">
        <f>'01 - Dados de Entrada'!$C$107*'01 - Dados de Entrada'!$C$104</f>
        <v>0.01</v>
      </c>
      <c r="C15" s="106">
        <f>SUM(D15:AL15)</f>
        <v>404740</v>
      </c>
      <c r="D15" s="46">
        <f>$B$15*('04 - Veículos e Equipamentos'!B18+'04 - Veículos e Equipamentos'!B19)*'01 - Dados de Entrada'!$C$46+('04 - Veículos e Equipamentos'!B18+'04 - Veículos e Equipamentos'!B19)*'01 - Dados de Entrada'!$C$109</f>
        <v>11564</v>
      </c>
      <c r="E15" s="45">
        <f>$B$15*('04 - Veículos e Equipamentos'!C18+'04 - Veículos e Equipamentos'!C19)*'01 - Dados de Entrada'!$C$46+('04 - Veículos e Equipamentos'!C18+'04 - Veículos e Equipamentos'!C19)*'01 - Dados de Entrada'!$C$109</f>
        <v>11564</v>
      </c>
      <c r="F15" s="45">
        <f>$B$15*('04 - Veículos e Equipamentos'!D18+'04 - Veículos e Equipamentos'!D19)*'01 - Dados de Entrada'!$C$46+('04 - Veículos e Equipamentos'!D18+'04 - Veículos e Equipamentos'!D19)*'01 - Dados de Entrada'!$C$109</f>
        <v>11564</v>
      </c>
      <c r="G15" s="45">
        <f>$B$15*('04 - Veículos e Equipamentos'!E18+'04 - Veículos e Equipamentos'!E19)*'01 - Dados de Entrada'!$C$46+('04 - Veículos e Equipamentos'!E18+'04 - Veículos e Equipamentos'!E19)*'01 - Dados de Entrada'!$C$109</f>
        <v>11564</v>
      </c>
      <c r="H15" s="45">
        <f>$B$15*('04 - Veículos e Equipamentos'!F18+'04 - Veículos e Equipamentos'!F19)*'01 - Dados de Entrada'!$C$46+('04 - Veículos e Equipamentos'!F18+'04 - Veículos e Equipamentos'!F19)*'01 - Dados de Entrada'!$C$109</f>
        <v>11564</v>
      </c>
      <c r="I15" s="45">
        <f>$B$15*('04 - Veículos e Equipamentos'!G18+'04 - Veículos e Equipamentos'!G19)*'01 - Dados de Entrada'!$C$46+('04 - Veículos e Equipamentos'!G18+'04 - Veículos e Equipamentos'!G19)*'01 - Dados de Entrada'!$C$109</f>
        <v>11564</v>
      </c>
      <c r="J15" s="45">
        <f>$B$15*('04 - Veículos e Equipamentos'!H18+'04 - Veículos e Equipamentos'!H19)*'01 - Dados de Entrada'!$C$46+('04 - Veículos e Equipamentos'!H18+'04 - Veículos e Equipamentos'!H19)*'01 - Dados de Entrada'!$C$109</f>
        <v>11564</v>
      </c>
      <c r="K15" s="45">
        <f>$B$15*('04 - Veículos e Equipamentos'!I18+'04 - Veículos e Equipamentos'!I19)*'01 - Dados de Entrada'!$C$46+('04 - Veículos e Equipamentos'!I18+'04 - Veículos e Equipamentos'!I19)*'01 - Dados de Entrada'!$C$109</f>
        <v>11564</v>
      </c>
      <c r="L15" s="45">
        <f>$B$15*('04 - Veículos e Equipamentos'!J18+'04 - Veículos e Equipamentos'!J19)*'01 - Dados de Entrada'!$C$46+('04 - Veículos e Equipamentos'!J18+'04 - Veículos e Equipamentos'!J19)*'01 - Dados de Entrada'!$C$109</f>
        <v>11564</v>
      </c>
      <c r="M15" s="45">
        <f>$B$15*('04 - Veículos e Equipamentos'!K18+'04 - Veículos e Equipamentos'!K19)*'01 - Dados de Entrada'!$C$46+('04 - Veículos e Equipamentos'!K18+'04 - Veículos e Equipamentos'!K19)*'01 - Dados de Entrada'!$C$109</f>
        <v>11564</v>
      </c>
      <c r="N15" s="45">
        <f>$B$15*('04 - Veículos e Equipamentos'!L18+'04 - Veículos e Equipamentos'!L19)*'01 - Dados de Entrada'!$C$46+('04 - Veículos e Equipamentos'!L18+'04 - Veículos e Equipamentos'!L19)*'01 - Dados de Entrada'!$C$109</f>
        <v>11564</v>
      </c>
      <c r="O15" s="45">
        <f>$B$15*('04 - Veículos e Equipamentos'!M18+'04 - Veículos e Equipamentos'!M19)*'01 - Dados de Entrada'!$C$46+('04 - Veículos e Equipamentos'!M18+'04 - Veículos e Equipamentos'!M19)*'01 - Dados de Entrada'!$C$109</f>
        <v>11564</v>
      </c>
      <c r="P15" s="45">
        <f>$B$15*('04 - Veículos e Equipamentos'!N18+'04 - Veículos e Equipamentos'!N19)*'01 - Dados de Entrada'!$C$46+('04 - Veículos e Equipamentos'!N18+'04 - Veículos e Equipamentos'!N19)*'01 - Dados de Entrada'!$C$109</f>
        <v>11564</v>
      </c>
      <c r="Q15" s="45">
        <f>$B$15*('04 - Veículos e Equipamentos'!O18+'04 - Veículos e Equipamentos'!O19)*'01 - Dados de Entrada'!$C$46+('04 - Veículos e Equipamentos'!O18+'04 - Veículos e Equipamentos'!O19)*'01 - Dados de Entrada'!$C$109</f>
        <v>11564</v>
      </c>
      <c r="R15" s="45">
        <f>$B$15*('04 - Veículos e Equipamentos'!P18+'04 - Veículos e Equipamentos'!P19)*'01 - Dados de Entrada'!$C$46+('04 - Veículos e Equipamentos'!P18+'04 - Veículos e Equipamentos'!P19)*'01 - Dados de Entrada'!$C$109</f>
        <v>11564</v>
      </c>
      <c r="S15" s="45">
        <f>$B$15*('04 - Veículos e Equipamentos'!Q18+'04 - Veículos e Equipamentos'!Q19)*'01 - Dados de Entrada'!$C$46+('04 - Veículos e Equipamentos'!Q18+'04 - Veículos e Equipamentos'!Q19)*'01 - Dados de Entrada'!$C$109</f>
        <v>11564</v>
      </c>
      <c r="T15" s="45">
        <f>$B$15*('04 - Veículos e Equipamentos'!R18+'04 - Veículos e Equipamentos'!R19)*'01 - Dados de Entrada'!$C$46+('04 - Veículos e Equipamentos'!R18+'04 - Veículos e Equipamentos'!R19)*'01 - Dados de Entrada'!$C$109</f>
        <v>11564</v>
      </c>
      <c r="U15" s="45">
        <f>$B$15*('04 - Veículos e Equipamentos'!S18+'04 - Veículos e Equipamentos'!S19)*'01 - Dados de Entrada'!$C$46+('04 - Veículos e Equipamentos'!S18+'04 - Veículos e Equipamentos'!S19)*'01 - Dados de Entrada'!$C$109</f>
        <v>11564</v>
      </c>
      <c r="V15" s="45">
        <f>$B$15*('04 - Veículos e Equipamentos'!T18+'04 - Veículos e Equipamentos'!T19)*'01 - Dados de Entrada'!$C$46+('04 - Veículos e Equipamentos'!T18+'04 - Veículos e Equipamentos'!T19)*'01 - Dados de Entrada'!$C$109</f>
        <v>11564</v>
      </c>
      <c r="W15" s="45">
        <f>$B$15*('04 - Veículos e Equipamentos'!U18+'04 - Veículos e Equipamentos'!U19)*'01 - Dados de Entrada'!$C$46+('04 - Veículos e Equipamentos'!U18+'04 - Veículos e Equipamentos'!U19)*'01 - Dados de Entrada'!$C$109</f>
        <v>11564</v>
      </c>
      <c r="X15" s="45">
        <f>$B$15*('04 - Veículos e Equipamentos'!V18+'04 - Veículos e Equipamentos'!V19)*'01 - Dados de Entrada'!$C$46+('04 - Veículos e Equipamentos'!V18+'04 - Veículos e Equipamentos'!V19)*'01 - Dados de Entrada'!$C$109</f>
        <v>11564</v>
      </c>
      <c r="Y15" s="45">
        <f>$B$15*('04 - Veículos e Equipamentos'!W18+'04 - Veículos e Equipamentos'!W19)*'01 - Dados de Entrada'!$C$46+('04 - Veículos e Equipamentos'!W18+'04 - Veículos e Equipamentos'!W19)*'01 - Dados de Entrada'!$C$109</f>
        <v>11564</v>
      </c>
      <c r="Z15" s="45">
        <f>$B$15*('04 - Veículos e Equipamentos'!X18+'04 - Veículos e Equipamentos'!X19)*'01 - Dados de Entrada'!$C$46+('04 - Veículos e Equipamentos'!X18+'04 - Veículos e Equipamentos'!X19)*'01 - Dados de Entrada'!$C$109</f>
        <v>11564</v>
      </c>
      <c r="AA15" s="45">
        <f>$B$15*('04 - Veículos e Equipamentos'!Y18+'04 - Veículos e Equipamentos'!Y19)*'01 - Dados de Entrada'!$C$46+('04 - Veículos e Equipamentos'!Y18+'04 - Veículos e Equipamentos'!Y19)*'01 - Dados de Entrada'!$C$109</f>
        <v>11564</v>
      </c>
      <c r="AB15" s="45">
        <f>$B$15*('04 - Veículos e Equipamentos'!Z18+'04 - Veículos e Equipamentos'!Z19)*'01 - Dados de Entrada'!$C$46+('04 - Veículos e Equipamentos'!Z18+'04 - Veículos e Equipamentos'!Z19)*'01 - Dados de Entrada'!$C$109</f>
        <v>11564</v>
      </c>
      <c r="AC15" s="45">
        <f>$B$15*('04 - Veículos e Equipamentos'!AA18+'04 - Veículos e Equipamentos'!AA19)*'01 - Dados de Entrada'!$C$46+('04 - Veículos e Equipamentos'!AA18+'04 - Veículos e Equipamentos'!AA19)*'01 - Dados de Entrada'!$C$109</f>
        <v>11564</v>
      </c>
      <c r="AD15" s="45">
        <f>$B$15*('04 - Veículos e Equipamentos'!AB18+'04 - Veículos e Equipamentos'!AB19)*'01 - Dados de Entrada'!$C$46+('04 - Veículos e Equipamentos'!AB18+'04 - Veículos e Equipamentos'!AB19)*'01 - Dados de Entrada'!$C$109</f>
        <v>11564</v>
      </c>
      <c r="AE15" s="45">
        <f>$B$15*('04 - Veículos e Equipamentos'!AC18+'04 - Veículos e Equipamentos'!AC19)*'01 - Dados de Entrada'!$C$46+('04 - Veículos e Equipamentos'!AC18+'04 - Veículos e Equipamentos'!AC19)*'01 - Dados de Entrada'!$C$109</f>
        <v>11564</v>
      </c>
      <c r="AF15" s="45">
        <f>$B$15*('04 - Veículos e Equipamentos'!AD18+'04 - Veículos e Equipamentos'!AD19)*'01 - Dados de Entrada'!$C$46+('04 - Veículos e Equipamentos'!AD18+'04 - Veículos e Equipamentos'!AD19)*'01 - Dados de Entrada'!$C$109</f>
        <v>11564</v>
      </c>
      <c r="AG15" s="45">
        <f>$B$15*('04 - Veículos e Equipamentos'!AE18+'04 - Veículos e Equipamentos'!AE19)*'01 - Dados de Entrada'!$C$46+('04 - Veículos e Equipamentos'!AE18+'04 - Veículos e Equipamentos'!AE19)*'01 - Dados de Entrada'!$C$109</f>
        <v>11564</v>
      </c>
      <c r="AH15" s="45">
        <f>$B$15*('04 - Veículos e Equipamentos'!AF18+'04 - Veículos e Equipamentos'!AF19)*'01 - Dados de Entrada'!$C$46+('04 - Veículos e Equipamentos'!AF18+'04 - Veículos e Equipamentos'!AF19)*'01 - Dados de Entrada'!$C$109</f>
        <v>11564</v>
      </c>
      <c r="AI15" s="45">
        <f>$B$15*('04 - Veículos e Equipamentos'!AG18+'04 - Veículos e Equipamentos'!AG19)*'01 - Dados de Entrada'!$C$46+('04 - Veículos e Equipamentos'!AG18+'04 - Veículos e Equipamentos'!AG19)*'01 - Dados de Entrada'!$C$109</f>
        <v>11564</v>
      </c>
      <c r="AJ15" s="45">
        <f>$B$15*('04 - Veículos e Equipamentos'!AH18+'04 - Veículos e Equipamentos'!AH19)*'01 - Dados de Entrada'!$C$46+('04 - Veículos e Equipamentos'!AH18+'04 - Veículos e Equipamentos'!AH19)*'01 - Dados de Entrada'!$C$109</f>
        <v>11564</v>
      </c>
      <c r="AK15" s="45">
        <f>$B$15*('04 - Veículos e Equipamentos'!AI18+'04 - Veículos e Equipamentos'!AI19)*'01 - Dados de Entrada'!$C$46+('04 - Veículos e Equipamentos'!AI18+'04 - Veículos e Equipamentos'!AI19)*'01 - Dados de Entrada'!$C$109</f>
        <v>11564</v>
      </c>
      <c r="AL15" s="45">
        <f>$B$15*('04 - Veículos e Equipamentos'!AJ18+'04 - Veículos e Equipamentos'!AJ19)*'01 - Dados de Entrada'!$C$46+('04 - Veículos e Equipamentos'!AJ18+'04 - Veículos e Equipamentos'!AJ19)*'01 - Dados de Entrada'!$C$109</f>
        <v>11564</v>
      </c>
    </row>
    <row r="16" spans="1:38" ht="13.15" customHeight="1" x14ac:dyDescent="0.2">
      <c r="A16" s="36" t="s">
        <v>1043</v>
      </c>
      <c r="B16" s="314">
        <f>'01 - Dados de Entrada'!$C$107*'01 - Dados de Entrada'!$C$104</f>
        <v>0.01</v>
      </c>
      <c r="C16" s="279">
        <f>SUM(D16:AL16)</f>
        <v>1578486</v>
      </c>
      <c r="D16" s="46">
        <f>$B$15*('04 - Veículos e Equipamentos'!B20)*'01 - Dados de Entrada'!$C$46+('04 - Veículos e Equipamentos'!B20)*'01 - Dados de Entrada'!$C$109</f>
        <v>40474.000000000007</v>
      </c>
      <c r="E16" s="46">
        <f>$B$15*('04 - Veículos e Equipamentos'!C20)*'01 - Dados de Entrada'!$C$46+('04 - Veículos e Equipamentos'!C20)*'01 - Dados de Entrada'!$C$109</f>
        <v>40474.000000000007</v>
      </c>
      <c r="F16" s="46">
        <f>$B$15*('04 - Veículos e Equipamentos'!D20)*'01 - Dados de Entrada'!$C$46+('04 - Veículos e Equipamentos'!D20)*'01 - Dados de Entrada'!$C$109</f>
        <v>40474.000000000007</v>
      </c>
      <c r="G16" s="46">
        <f>$B$15*('04 - Veículos e Equipamentos'!E20)*'01 - Dados de Entrada'!$C$46+('04 - Veículos e Equipamentos'!E20)*'01 - Dados de Entrada'!$C$109</f>
        <v>40474.000000000007</v>
      </c>
      <c r="H16" s="46">
        <f>$B$15*('04 - Veículos e Equipamentos'!F20)*'01 - Dados de Entrada'!$C$46+('04 - Veículos e Equipamentos'!F20)*'01 - Dados de Entrada'!$C$109</f>
        <v>40474.000000000007</v>
      </c>
      <c r="I16" s="46">
        <f>$B$15*('04 - Veículos e Equipamentos'!G20)*'01 - Dados de Entrada'!$C$46+('04 - Veículos e Equipamentos'!G20)*'01 - Dados de Entrada'!$C$109</f>
        <v>40474.000000000007</v>
      </c>
      <c r="J16" s="46">
        <f>$B$15*('04 - Veículos e Equipamentos'!H20)*'01 - Dados de Entrada'!$C$46+('04 - Veículos e Equipamentos'!H20)*'01 - Dados de Entrada'!$C$109</f>
        <v>40474.000000000007</v>
      </c>
      <c r="K16" s="46">
        <f>$B$15*('04 - Veículos e Equipamentos'!I20)*'01 - Dados de Entrada'!$C$46+('04 - Veículos e Equipamentos'!I20)*'01 - Dados de Entrada'!$C$109</f>
        <v>46256</v>
      </c>
      <c r="L16" s="46">
        <f>$B$15*('04 - Veículos e Equipamentos'!J20)*'01 - Dados de Entrada'!$C$46+('04 - Veículos e Equipamentos'!J20)*'01 - Dados de Entrada'!$C$109</f>
        <v>46256</v>
      </c>
      <c r="M16" s="46">
        <f>$B$15*('04 - Veículos e Equipamentos'!K20)*'01 - Dados de Entrada'!$C$46+('04 - Veículos e Equipamentos'!K20)*'01 - Dados de Entrada'!$C$109</f>
        <v>46256</v>
      </c>
      <c r="N16" s="46">
        <f>$B$15*('04 - Veículos e Equipamentos'!L20)*'01 - Dados de Entrada'!$C$46+('04 - Veículos e Equipamentos'!L20)*'01 - Dados de Entrada'!$C$109</f>
        <v>46256</v>
      </c>
      <c r="O16" s="46">
        <f>$B$15*('04 - Veículos e Equipamentos'!M20)*'01 - Dados de Entrada'!$C$46+('04 - Veículos e Equipamentos'!M20)*'01 - Dados de Entrada'!$C$109</f>
        <v>46256</v>
      </c>
      <c r="P16" s="46">
        <f>$B$15*('04 - Veículos e Equipamentos'!N20)*'01 - Dados de Entrada'!$C$46+('04 - Veículos e Equipamentos'!N20)*'01 - Dados de Entrada'!$C$109</f>
        <v>46256</v>
      </c>
      <c r="Q16" s="46">
        <f>$B$15*('04 - Veículos e Equipamentos'!O20)*'01 - Dados de Entrada'!$C$46+('04 - Veículos e Equipamentos'!O20)*'01 - Dados de Entrada'!$C$109</f>
        <v>46256</v>
      </c>
      <c r="R16" s="46">
        <f>$B$15*('04 - Veículos e Equipamentos'!P20)*'01 - Dados de Entrada'!$C$46+('04 - Veículos e Equipamentos'!P20)*'01 - Dados de Entrada'!$C$109</f>
        <v>46256</v>
      </c>
      <c r="S16" s="46">
        <f>$B$15*('04 - Veículos e Equipamentos'!Q20)*'01 - Dados de Entrada'!$C$46+('04 - Veículos e Equipamentos'!Q20)*'01 - Dados de Entrada'!$C$109</f>
        <v>46256</v>
      </c>
      <c r="T16" s="46">
        <f>$B$15*('04 - Veículos e Equipamentos'!R20)*'01 - Dados de Entrada'!$C$46+('04 - Veículos e Equipamentos'!R20)*'01 - Dados de Entrada'!$C$109</f>
        <v>46256</v>
      </c>
      <c r="U16" s="46">
        <f>$B$15*('04 - Veículos e Equipamentos'!S20)*'01 - Dados de Entrada'!$C$46+('04 - Veículos e Equipamentos'!S20)*'01 - Dados de Entrada'!$C$109</f>
        <v>46256</v>
      </c>
      <c r="V16" s="46">
        <f>$B$15*('04 - Veículos e Equipamentos'!T20)*'01 - Dados de Entrada'!$C$46+('04 - Veículos e Equipamentos'!T20)*'01 - Dados de Entrada'!$C$109</f>
        <v>46256</v>
      </c>
      <c r="W16" s="46">
        <f>$B$15*('04 - Veículos e Equipamentos'!U20)*'01 - Dados de Entrada'!$C$46+('04 - Veículos e Equipamentos'!U20)*'01 - Dados de Entrada'!$C$109</f>
        <v>46256</v>
      </c>
      <c r="X16" s="46">
        <f>$B$15*('04 - Veículos e Equipamentos'!V20)*'01 - Dados de Entrada'!$C$46+('04 - Veículos e Equipamentos'!V20)*'01 - Dados de Entrada'!$C$109</f>
        <v>46256</v>
      </c>
      <c r="Y16" s="46">
        <f>$B$15*('04 - Veículos e Equipamentos'!W20)*'01 - Dados de Entrada'!$C$46+('04 - Veículos e Equipamentos'!W20)*'01 - Dados de Entrada'!$C$109</f>
        <v>46256</v>
      </c>
      <c r="Z16" s="46">
        <f>$B$15*('04 - Veículos e Equipamentos'!X20)*'01 - Dados de Entrada'!$C$46+('04 - Veículos e Equipamentos'!X20)*'01 - Dados de Entrada'!$C$109</f>
        <v>46256</v>
      </c>
      <c r="AA16" s="46">
        <f>$B$15*('04 - Veículos e Equipamentos'!Y20)*'01 - Dados de Entrada'!$C$46+('04 - Veículos e Equipamentos'!Y20)*'01 - Dados de Entrada'!$C$109</f>
        <v>46256</v>
      </c>
      <c r="AB16" s="46">
        <f>$B$15*('04 - Veículos e Equipamentos'!Z20)*'01 - Dados de Entrada'!$C$46+('04 - Veículos e Equipamentos'!Z20)*'01 - Dados de Entrada'!$C$109</f>
        <v>46256</v>
      </c>
      <c r="AC16" s="46">
        <f>$B$15*('04 - Veículos e Equipamentos'!AA20)*'01 - Dados de Entrada'!$C$46+('04 - Veículos e Equipamentos'!AA20)*'01 - Dados de Entrada'!$C$109</f>
        <v>46256</v>
      </c>
      <c r="AD16" s="46">
        <f>$B$15*('04 - Veículos e Equipamentos'!AB20)*'01 - Dados de Entrada'!$C$46+('04 - Veículos e Equipamentos'!AB20)*'01 - Dados de Entrada'!$C$109</f>
        <v>46256</v>
      </c>
      <c r="AE16" s="46">
        <f>$B$15*('04 - Veículos e Equipamentos'!AC20)*'01 - Dados de Entrada'!$C$46+('04 - Veículos e Equipamentos'!AC20)*'01 - Dados de Entrada'!$C$109</f>
        <v>46256</v>
      </c>
      <c r="AF16" s="46">
        <f>$B$15*('04 - Veículos e Equipamentos'!AD20)*'01 - Dados de Entrada'!$C$46+('04 - Veículos e Equipamentos'!AD20)*'01 - Dados de Entrada'!$C$109</f>
        <v>46256</v>
      </c>
      <c r="AG16" s="46">
        <f>$B$15*('04 - Veículos e Equipamentos'!AE20)*'01 - Dados de Entrada'!$C$46+('04 - Veículos e Equipamentos'!AE20)*'01 - Dados de Entrada'!$C$109</f>
        <v>46256</v>
      </c>
      <c r="AH16" s="46">
        <f>$B$15*('04 - Veículos e Equipamentos'!AF20)*'01 - Dados de Entrada'!$C$46+('04 - Veículos e Equipamentos'!AF20)*'01 - Dados de Entrada'!$C$109</f>
        <v>46256</v>
      </c>
      <c r="AI16" s="46">
        <f>$B$15*('04 - Veículos e Equipamentos'!AG20)*'01 - Dados de Entrada'!$C$46+('04 - Veículos e Equipamentos'!AG20)*'01 - Dados de Entrada'!$C$109</f>
        <v>46256</v>
      </c>
      <c r="AJ16" s="46">
        <f>$B$15*('04 - Veículos e Equipamentos'!AH20)*'01 - Dados de Entrada'!$C$46+('04 - Veículos e Equipamentos'!AH20)*'01 - Dados de Entrada'!$C$109</f>
        <v>46256</v>
      </c>
      <c r="AK16" s="46">
        <f>$B$15*('04 - Veículos e Equipamentos'!AI20)*'01 - Dados de Entrada'!$C$46+('04 - Veículos e Equipamentos'!AI20)*'01 - Dados de Entrada'!$C$109</f>
        <v>46256</v>
      </c>
      <c r="AL16" s="46">
        <f>$B$15*('04 - Veículos e Equipamentos'!AJ20)*'01 - Dados de Entrada'!$C$46+('04 - Veículos e Equipamentos'!AJ20)*'01 - Dados de Entrada'!$C$109</f>
        <v>46256</v>
      </c>
    </row>
    <row r="17" spans="1:38" ht="13.15" customHeight="1" x14ac:dyDescent="0.2">
      <c r="A17" s="34" t="s">
        <v>793</v>
      </c>
      <c r="B17" s="314">
        <f>'01 - Dados de Entrada'!$C$107*'01 - Dados de Entrada'!$C$103</f>
        <v>0.02</v>
      </c>
      <c r="C17" s="106">
        <f t="shared" si="2"/>
        <v>75564.64999999998</v>
      </c>
      <c r="D17" s="45">
        <f>$B$17*'04 - Veículos e Equipamentos'!B22*'01 - Dados de Entrada'!$C$55+'04 - Veículos e Equipamentos'!B22*'01 - Dados de Entrada'!$C$112</f>
        <v>2158.9899999999998</v>
      </c>
      <c r="E17" s="45">
        <f>$B$17*'04 - Veículos e Equipamentos'!C22*'01 - Dados de Entrada'!$C$55+'04 - Veículos e Equipamentos'!C22*'01 - Dados de Entrada'!$C$112</f>
        <v>2158.9899999999998</v>
      </c>
      <c r="F17" s="45">
        <f>$B$17*'04 - Veículos e Equipamentos'!D22*'01 - Dados de Entrada'!$C$55+'04 - Veículos e Equipamentos'!D22*'01 - Dados de Entrada'!$C$112</f>
        <v>2158.9899999999998</v>
      </c>
      <c r="G17" s="45">
        <f>$B$17*'04 - Veículos e Equipamentos'!E22*'01 - Dados de Entrada'!$C$55+'04 - Veículos e Equipamentos'!E22*'01 - Dados de Entrada'!$C$112</f>
        <v>2158.9899999999998</v>
      </c>
      <c r="H17" s="45">
        <f>$B$17*'04 - Veículos e Equipamentos'!F22*'01 - Dados de Entrada'!$C$55+'04 - Veículos e Equipamentos'!F22*'01 - Dados de Entrada'!$C$112</f>
        <v>2158.9899999999998</v>
      </c>
      <c r="I17" s="45">
        <f>$B$17*'04 - Veículos e Equipamentos'!G22*'01 - Dados de Entrada'!$C$55+'04 - Veículos e Equipamentos'!G22*'01 - Dados de Entrada'!$C$112</f>
        <v>2158.9899999999998</v>
      </c>
      <c r="J17" s="45">
        <f>$B$17*'04 - Veículos e Equipamentos'!H22*'01 - Dados de Entrada'!$C$55+'04 - Veículos e Equipamentos'!H22*'01 - Dados de Entrada'!$C$112</f>
        <v>2158.9899999999998</v>
      </c>
      <c r="K17" s="45">
        <f>$B$17*'04 - Veículos e Equipamentos'!I22*'01 - Dados de Entrada'!$C$55+'04 - Veículos e Equipamentos'!I22*'01 - Dados de Entrada'!$C$112</f>
        <v>2158.9899999999998</v>
      </c>
      <c r="L17" s="45">
        <f>$B$17*'04 - Veículos e Equipamentos'!J22*'01 - Dados de Entrada'!$C$55+'04 - Veículos e Equipamentos'!J22*'01 - Dados de Entrada'!$C$112</f>
        <v>2158.9899999999998</v>
      </c>
      <c r="M17" s="45">
        <f>$B$17*'04 - Veículos e Equipamentos'!K22*'01 - Dados de Entrada'!$C$55+'04 - Veículos e Equipamentos'!K22*'01 - Dados de Entrada'!$C$112</f>
        <v>2158.9899999999998</v>
      </c>
      <c r="N17" s="45">
        <f>$B$17*'04 - Veículos e Equipamentos'!L22*'01 - Dados de Entrada'!$C$55+'04 - Veículos e Equipamentos'!L22*'01 - Dados de Entrada'!$C$112</f>
        <v>2158.9899999999998</v>
      </c>
      <c r="O17" s="45">
        <f>$B$17*'04 - Veículos e Equipamentos'!M22*'01 - Dados de Entrada'!$C$55+'04 - Veículos e Equipamentos'!M22*'01 - Dados de Entrada'!$C$112</f>
        <v>2158.9899999999998</v>
      </c>
      <c r="P17" s="45">
        <f>$B$17*'04 - Veículos e Equipamentos'!N22*'01 - Dados de Entrada'!$C$55+'04 - Veículos e Equipamentos'!N22*'01 - Dados de Entrada'!$C$112</f>
        <v>2158.9899999999998</v>
      </c>
      <c r="Q17" s="45">
        <f>$B$17*'04 - Veículos e Equipamentos'!O22*'01 - Dados de Entrada'!$C$55+'04 - Veículos e Equipamentos'!O22*'01 - Dados de Entrada'!$C$112</f>
        <v>2158.9899999999998</v>
      </c>
      <c r="R17" s="45">
        <f>$B$17*'04 - Veículos e Equipamentos'!P22*'01 - Dados de Entrada'!$C$55+'04 - Veículos e Equipamentos'!P22*'01 - Dados de Entrada'!$C$112</f>
        <v>2158.9899999999998</v>
      </c>
      <c r="S17" s="45">
        <f>$B$17*'04 - Veículos e Equipamentos'!Q22*'01 - Dados de Entrada'!$C$55+'04 - Veículos e Equipamentos'!Q22*'01 - Dados de Entrada'!$C$112</f>
        <v>2158.9899999999998</v>
      </c>
      <c r="T17" s="45">
        <f>$B$17*'04 - Veículos e Equipamentos'!R22*'01 - Dados de Entrada'!$C$55+'04 - Veículos e Equipamentos'!R22*'01 - Dados de Entrada'!$C$112</f>
        <v>2158.9899999999998</v>
      </c>
      <c r="U17" s="45">
        <f>$B$17*'04 - Veículos e Equipamentos'!S22*'01 - Dados de Entrada'!$C$55+'04 - Veículos e Equipamentos'!S22*'01 - Dados de Entrada'!$C$112</f>
        <v>2158.9899999999998</v>
      </c>
      <c r="V17" s="45">
        <f>$B$17*'04 - Veículos e Equipamentos'!T22*'01 - Dados de Entrada'!$C$55+'04 - Veículos e Equipamentos'!T22*'01 - Dados de Entrada'!$C$112</f>
        <v>2158.9899999999998</v>
      </c>
      <c r="W17" s="45">
        <f>$B$17*'04 - Veículos e Equipamentos'!U22*'01 - Dados de Entrada'!$C$55+'04 - Veículos e Equipamentos'!U22*'01 - Dados de Entrada'!$C$112</f>
        <v>2158.9899999999998</v>
      </c>
      <c r="X17" s="45">
        <f>$B$17*'04 - Veículos e Equipamentos'!V22*'01 - Dados de Entrada'!$C$55+'04 - Veículos e Equipamentos'!V22*'01 - Dados de Entrada'!$C$112</f>
        <v>2158.9899999999998</v>
      </c>
      <c r="Y17" s="45">
        <f>$B$17*'04 - Veículos e Equipamentos'!W22*'01 - Dados de Entrada'!$C$55+'04 - Veículos e Equipamentos'!W22*'01 - Dados de Entrada'!$C$112</f>
        <v>2158.9899999999998</v>
      </c>
      <c r="Z17" s="45">
        <f>$B$17*'04 - Veículos e Equipamentos'!X22*'01 - Dados de Entrada'!$C$55+'04 - Veículos e Equipamentos'!X22*'01 - Dados de Entrada'!$C$112</f>
        <v>2158.9899999999998</v>
      </c>
      <c r="AA17" s="45">
        <f>$B$17*'04 - Veículos e Equipamentos'!Y22*'01 - Dados de Entrada'!$C$55+'04 - Veículos e Equipamentos'!Y22*'01 - Dados de Entrada'!$C$112</f>
        <v>2158.9899999999998</v>
      </c>
      <c r="AB17" s="45">
        <f>$B$17*'04 - Veículos e Equipamentos'!Z22*'01 - Dados de Entrada'!$C$55+'04 - Veículos e Equipamentos'!Z22*'01 - Dados de Entrada'!$C$112</f>
        <v>2158.9899999999998</v>
      </c>
      <c r="AC17" s="45">
        <f>$B$17*'04 - Veículos e Equipamentos'!AA22*'01 - Dados de Entrada'!$C$55+'04 - Veículos e Equipamentos'!AA22*'01 - Dados de Entrada'!$C$112</f>
        <v>2158.9899999999998</v>
      </c>
      <c r="AD17" s="45">
        <f>$B$17*'04 - Veículos e Equipamentos'!AB22*'01 - Dados de Entrada'!$C$55+'04 - Veículos e Equipamentos'!AB22*'01 - Dados de Entrada'!$C$112</f>
        <v>2158.9899999999998</v>
      </c>
      <c r="AE17" s="45">
        <f>$B$17*'04 - Veículos e Equipamentos'!AC22*'01 - Dados de Entrada'!$C$55+'04 - Veículos e Equipamentos'!AC22*'01 - Dados de Entrada'!$C$112</f>
        <v>2158.9899999999998</v>
      </c>
      <c r="AF17" s="45">
        <f>$B$17*'04 - Veículos e Equipamentos'!AD22*'01 - Dados de Entrada'!$C$55+'04 - Veículos e Equipamentos'!AD22*'01 - Dados de Entrada'!$C$112</f>
        <v>2158.9899999999998</v>
      </c>
      <c r="AG17" s="45">
        <f>$B$17*'04 - Veículos e Equipamentos'!AE22*'01 - Dados de Entrada'!$C$55+'04 - Veículos e Equipamentos'!AE22*'01 - Dados de Entrada'!$C$112</f>
        <v>2158.9899999999998</v>
      </c>
      <c r="AH17" s="45">
        <f>$B$17*'04 - Veículos e Equipamentos'!AF22*'01 - Dados de Entrada'!$C$55+'04 - Veículos e Equipamentos'!AF22*'01 - Dados de Entrada'!$C$112</f>
        <v>2158.9899999999998</v>
      </c>
      <c r="AI17" s="45">
        <f>$B$17*'04 - Veículos e Equipamentos'!AG22*'01 - Dados de Entrada'!$C$55+'04 - Veículos e Equipamentos'!AG22*'01 - Dados de Entrada'!$C$112</f>
        <v>2158.9899999999998</v>
      </c>
      <c r="AJ17" s="45">
        <f>$B$17*'04 - Veículos e Equipamentos'!AH22*'01 - Dados de Entrada'!$C$55+'04 - Veículos e Equipamentos'!AH22*'01 - Dados de Entrada'!$C$112</f>
        <v>2158.9899999999998</v>
      </c>
      <c r="AK17" s="45">
        <f>$B$17*'04 - Veículos e Equipamentos'!AI22*'01 - Dados de Entrada'!$C$55+'04 - Veículos e Equipamentos'!AI22*'01 - Dados de Entrada'!$C$112</f>
        <v>2158.9899999999998</v>
      </c>
      <c r="AL17" s="45">
        <f>$B$17*'04 - Veículos e Equipamentos'!AJ22*'01 - Dados de Entrada'!$C$55+'04 - Veículos e Equipamentos'!AJ22*'01 - Dados de Entrada'!$C$112</f>
        <v>2158.9899999999998</v>
      </c>
    </row>
    <row r="18" spans="1:38" ht="13.15" customHeight="1" x14ac:dyDescent="0.2">
      <c r="A18" s="34" t="s">
        <v>794</v>
      </c>
      <c r="B18" s="314">
        <f>'01 - Dados de Entrada'!$C$107*'01 - Dados de Entrada'!$C$106</f>
        <v>0.01</v>
      </c>
      <c r="C18" s="106">
        <f t="shared" si="2"/>
        <v>10985.799999999996</v>
      </c>
      <c r="D18" s="45">
        <f>$B$18*'04 - Veículos e Equipamentos'!B23*'01 - Dados de Entrada'!$C$57+'04 - Veículos e Equipamentos'!B23*'01 - Dados de Entrada'!$C$113</f>
        <v>313.88</v>
      </c>
      <c r="E18" s="45">
        <f>$B$18*'04 - Veículos e Equipamentos'!C23*'01 - Dados de Entrada'!$C$57+'04 - Veículos e Equipamentos'!C23*'01 - Dados de Entrada'!$C$113</f>
        <v>313.88</v>
      </c>
      <c r="F18" s="45">
        <f>$B$18*'04 - Veículos e Equipamentos'!D23*'01 - Dados de Entrada'!$C$57+'04 - Veículos e Equipamentos'!D23*'01 - Dados de Entrada'!$C$113</f>
        <v>313.88</v>
      </c>
      <c r="G18" s="45">
        <f>$B$18*'04 - Veículos e Equipamentos'!E23*'01 - Dados de Entrada'!$C$57+'04 - Veículos e Equipamentos'!E23*'01 - Dados de Entrada'!$C$113</f>
        <v>313.88</v>
      </c>
      <c r="H18" s="45">
        <f>$B$18*'04 - Veículos e Equipamentos'!F23*'01 - Dados de Entrada'!$C$57+'04 - Veículos e Equipamentos'!F23*'01 - Dados de Entrada'!$C$113</f>
        <v>313.88</v>
      </c>
      <c r="I18" s="45">
        <f>$B$18*'04 - Veículos e Equipamentos'!G23*'01 - Dados de Entrada'!$C$57+'04 - Veículos e Equipamentos'!G23*'01 - Dados de Entrada'!$C$113</f>
        <v>313.88</v>
      </c>
      <c r="J18" s="45">
        <f>$B$18*'04 - Veículos e Equipamentos'!H23*'01 - Dados de Entrada'!$C$57+'04 - Veículos e Equipamentos'!H23*'01 - Dados de Entrada'!$C$113</f>
        <v>313.88</v>
      </c>
      <c r="K18" s="45">
        <f>$B$18*'04 - Veículos e Equipamentos'!I23*'01 - Dados de Entrada'!$C$57+'04 - Veículos e Equipamentos'!I23*'01 - Dados de Entrada'!$C$113</f>
        <v>313.88</v>
      </c>
      <c r="L18" s="45">
        <f>$B$18*'04 - Veículos e Equipamentos'!J23*'01 - Dados de Entrada'!$C$57+'04 - Veículos e Equipamentos'!J23*'01 - Dados de Entrada'!$C$113</f>
        <v>313.88</v>
      </c>
      <c r="M18" s="45">
        <f>$B$18*'04 - Veículos e Equipamentos'!K23*'01 - Dados de Entrada'!$C$57+'04 - Veículos e Equipamentos'!K23*'01 - Dados de Entrada'!$C$113</f>
        <v>313.88</v>
      </c>
      <c r="N18" s="45">
        <f>$B$18*'04 - Veículos e Equipamentos'!L23*'01 - Dados de Entrada'!$C$57+'04 - Veículos e Equipamentos'!L23*'01 - Dados de Entrada'!$C$113</f>
        <v>313.88</v>
      </c>
      <c r="O18" s="45">
        <f>$B$18*'04 - Veículos e Equipamentos'!M23*'01 - Dados de Entrada'!$C$57+'04 - Veículos e Equipamentos'!M23*'01 - Dados de Entrada'!$C$113</f>
        <v>313.88</v>
      </c>
      <c r="P18" s="45">
        <f>$B$18*'04 - Veículos e Equipamentos'!N23*'01 - Dados de Entrada'!$C$57+'04 - Veículos e Equipamentos'!N23*'01 - Dados de Entrada'!$C$113</f>
        <v>313.88</v>
      </c>
      <c r="Q18" s="45">
        <f>$B$18*'04 - Veículos e Equipamentos'!O23*'01 - Dados de Entrada'!$C$57+'04 - Veículos e Equipamentos'!O23*'01 - Dados de Entrada'!$C$113</f>
        <v>313.88</v>
      </c>
      <c r="R18" s="45">
        <f>$B$18*'04 - Veículos e Equipamentos'!P23*'01 - Dados de Entrada'!$C$57+'04 - Veículos e Equipamentos'!P23*'01 - Dados de Entrada'!$C$113</f>
        <v>313.88</v>
      </c>
      <c r="S18" s="45">
        <f>$B$18*'04 - Veículos e Equipamentos'!Q23*'01 - Dados de Entrada'!$C$57+'04 - Veículos e Equipamentos'!Q23*'01 - Dados de Entrada'!$C$113</f>
        <v>313.88</v>
      </c>
      <c r="T18" s="45">
        <f>$B$18*'04 - Veículos e Equipamentos'!R23*'01 - Dados de Entrada'!$C$57+'04 - Veículos e Equipamentos'!R23*'01 - Dados de Entrada'!$C$113</f>
        <v>313.88</v>
      </c>
      <c r="U18" s="45">
        <f>$B$18*'04 - Veículos e Equipamentos'!S23*'01 - Dados de Entrada'!$C$57+'04 - Veículos e Equipamentos'!S23*'01 - Dados de Entrada'!$C$113</f>
        <v>313.88</v>
      </c>
      <c r="V18" s="45">
        <f>$B$18*'04 - Veículos e Equipamentos'!T23*'01 - Dados de Entrada'!$C$57+'04 - Veículos e Equipamentos'!T23*'01 - Dados de Entrada'!$C$113</f>
        <v>313.88</v>
      </c>
      <c r="W18" s="45">
        <f>$B$18*'04 - Veículos e Equipamentos'!U23*'01 - Dados de Entrada'!$C$57+'04 - Veículos e Equipamentos'!U23*'01 - Dados de Entrada'!$C$113</f>
        <v>313.88</v>
      </c>
      <c r="X18" s="45">
        <f>$B$18*'04 - Veículos e Equipamentos'!V23*'01 - Dados de Entrada'!$C$57+'04 - Veículos e Equipamentos'!V23*'01 - Dados de Entrada'!$C$113</f>
        <v>313.88</v>
      </c>
      <c r="Y18" s="45">
        <f>$B$18*'04 - Veículos e Equipamentos'!W23*'01 - Dados de Entrada'!$C$57+'04 - Veículos e Equipamentos'!W23*'01 - Dados de Entrada'!$C$113</f>
        <v>313.88</v>
      </c>
      <c r="Z18" s="45">
        <f>$B$18*'04 - Veículos e Equipamentos'!X23*'01 - Dados de Entrada'!$C$57+'04 - Veículos e Equipamentos'!X23*'01 - Dados de Entrada'!$C$113</f>
        <v>313.88</v>
      </c>
      <c r="AA18" s="45">
        <f>$B$18*'04 - Veículos e Equipamentos'!Y23*'01 - Dados de Entrada'!$C$57+'04 - Veículos e Equipamentos'!Y23*'01 - Dados de Entrada'!$C$113</f>
        <v>313.88</v>
      </c>
      <c r="AB18" s="45">
        <f>$B$18*'04 - Veículos e Equipamentos'!Z23*'01 - Dados de Entrada'!$C$57+'04 - Veículos e Equipamentos'!Z23*'01 - Dados de Entrada'!$C$113</f>
        <v>313.88</v>
      </c>
      <c r="AC18" s="45">
        <f>$B$18*'04 - Veículos e Equipamentos'!AA23*'01 - Dados de Entrada'!$C$57+'04 - Veículos e Equipamentos'!AA23*'01 - Dados de Entrada'!$C$113</f>
        <v>313.88</v>
      </c>
      <c r="AD18" s="45">
        <f>$B$18*'04 - Veículos e Equipamentos'!AB23*'01 - Dados de Entrada'!$C$57+'04 - Veículos e Equipamentos'!AB23*'01 - Dados de Entrada'!$C$113</f>
        <v>313.88</v>
      </c>
      <c r="AE18" s="45">
        <f>$B$18*'04 - Veículos e Equipamentos'!AC23*'01 - Dados de Entrada'!$C$57+'04 - Veículos e Equipamentos'!AC23*'01 - Dados de Entrada'!$C$113</f>
        <v>313.88</v>
      </c>
      <c r="AF18" s="45">
        <f>$B$18*'04 - Veículos e Equipamentos'!AD23*'01 - Dados de Entrada'!$C$57+'04 - Veículos e Equipamentos'!AD23*'01 - Dados de Entrada'!$C$113</f>
        <v>313.88</v>
      </c>
      <c r="AG18" s="45">
        <f>$B$18*'04 - Veículos e Equipamentos'!AE23*'01 - Dados de Entrada'!$C$57+'04 - Veículos e Equipamentos'!AE23*'01 - Dados de Entrada'!$C$113</f>
        <v>313.88</v>
      </c>
      <c r="AH18" s="45">
        <f>$B$18*'04 - Veículos e Equipamentos'!AF23*'01 - Dados de Entrada'!$C$57+'04 - Veículos e Equipamentos'!AF23*'01 - Dados de Entrada'!$C$113</f>
        <v>313.88</v>
      </c>
      <c r="AI18" s="45">
        <f>$B$18*'04 - Veículos e Equipamentos'!AG23*'01 - Dados de Entrada'!$C$57+'04 - Veículos e Equipamentos'!AG23*'01 - Dados de Entrada'!$C$113</f>
        <v>313.88</v>
      </c>
      <c r="AJ18" s="45">
        <f>$B$18*'04 - Veículos e Equipamentos'!AH23*'01 - Dados de Entrada'!$C$57+'04 - Veículos e Equipamentos'!AH23*'01 - Dados de Entrada'!$C$113</f>
        <v>313.88</v>
      </c>
      <c r="AK18" s="45">
        <f>$B$18*'04 - Veículos e Equipamentos'!AI23*'01 - Dados de Entrada'!$C$57+'04 - Veículos e Equipamentos'!AI23*'01 - Dados de Entrada'!$C$113</f>
        <v>313.88</v>
      </c>
      <c r="AL18" s="45">
        <f>$B$18*'04 - Veículos e Equipamentos'!AJ23*'01 - Dados de Entrada'!$C$57+'04 - Veículos e Equipamentos'!AJ23*'01 - Dados de Entrada'!$C$113</f>
        <v>313.88</v>
      </c>
    </row>
    <row r="19" spans="1:38" ht="13.15" customHeight="1" x14ac:dyDescent="0.2">
      <c r="A19" s="59" t="s">
        <v>1046</v>
      </c>
      <c r="B19" s="513"/>
      <c r="C19" s="58">
        <f t="shared" si="2"/>
        <v>306288.84999999974</v>
      </c>
      <c r="D19" s="58">
        <f>SUM(D20:D23)</f>
        <v>8751.1099999999988</v>
      </c>
      <c r="E19" s="58">
        <f t="shared" ref="E19:AG19" si="4">SUM(E20:E23)</f>
        <v>8751.1099999999988</v>
      </c>
      <c r="F19" s="58">
        <f t="shared" si="4"/>
        <v>8751.1099999999988</v>
      </c>
      <c r="G19" s="58">
        <f t="shared" si="4"/>
        <v>8751.1099999999988</v>
      </c>
      <c r="H19" s="58">
        <f t="shared" si="4"/>
        <v>8751.1099999999988</v>
      </c>
      <c r="I19" s="58">
        <f t="shared" si="4"/>
        <v>8751.1099999999988</v>
      </c>
      <c r="J19" s="58">
        <f t="shared" si="4"/>
        <v>8751.1099999999988</v>
      </c>
      <c r="K19" s="58">
        <f t="shared" si="4"/>
        <v>8751.1099999999988</v>
      </c>
      <c r="L19" s="58">
        <f t="shared" si="4"/>
        <v>8751.1099999999988</v>
      </c>
      <c r="M19" s="58">
        <f t="shared" si="4"/>
        <v>8751.1099999999988</v>
      </c>
      <c r="N19" s="58">
        <f t="shared" si="4"/>
        <v>8751.1099999999988</v>
      </c>
      <c r="O19" s="58">
        <f t="shared" si="4"/>
        <v>8751.1099999999988</v>
      </c>
      <c r="P19" s="58">
        <f t="shared" si="4"/>
        <v>8751.1099999999988</v>
      </c>
      <c r="Q19" s="58">
        <f t="shared" si="4"/>
        <v>8751.1099999999988</v>
      </c>
      <c r="R19" s="58">
        <f t="shared" si="4"/>
        <v>8751.1099999999988</v>
      </c>
      <c r="S19" s="58">
        <f t="shared" si="4"/>
        <v>8751.1099999999988</v>
      </c>
      <c r="T19" s="58">
        <f t="shared" si="4"/>
        <v>8751.1099999999988</v>
      </c>
      <c r="U19" s="58">
        <f t="shared" si="4"/>
        <v>8751.1099999999988</v>
      </c>
      <c r="V19" s="58">
        <f t="shared" si="4"/>
        <v>8751.1099999999988</v>
      </c>
      <c r="W19" s="58">
        <f t="shared" si="4"/>
        <v>8751.1099999999988</v>
      </c>
      <c r="X19" s="58">
        <f t="shared" si="4"/>
        <v>8751.1099999999988</v>
      </c>
      <c r="Y19" s="58">
        <f t="shared" si="4"/>
        <v>8751.1099999999988</v>
      </c>
      <c r="Z19" s="58">
        <f t="shared" si="4"/>
        <v>8751.1099999999988</v>
      </c>
      <c r="AA19" s="58">
        <f t="shared" si="4"/>
        <v>8751.1099999999988</v>
      </c>
      <c r="AB19" s="58">
        <f t="shared" si="4"/>
        <v>8751.1099999999988</v>
      </c>
      <c r="AC19" s="58">
        <f t="shared" si="4"/>
        <v>8751.1099999999988</v>
      </c>
      <c r="AD19" s="58">
        <f t="shared" si="4"/>
        <v>8751.1099999999988</v>
      </c>
      <c r="AE19" s="58">
        <f t="shared" si="4"/>
        <v>8751.1099999999988</v>
      </c>
      <c r="AF19" s="58">
        <f t="shared" si="4"/>
        <v>8751.1099999999988</v>
      </c>
      <c r="AG19" s="58">
        <f t="shared" si="4"/>
        <v>8751.1099999999988</v>
      </c>
      <c r="AH19" s="58">
        <f>SUM(AH20:AH23)</f>
        <v>8751.1099999999988</v>
      </c>
      <c r="AI19" s="58">
        <f>SUM(AI20:AI23)</f>
        <v>8751.1099999999988</v>
      </c>
      <c r="AJ19" s="58">
        <f>SUM(AJ20:AJ23)</f>
        <v>8751.1099999999988</v>
      </c>
      <c r="AK19" s="58">
        <f>SUM(AK20:AK23)</f>
        <v>8751.1099999999988</v>
      </c>
      <c r="AL19" s="58">
        <f>SUM(AL20:AL23)</f>
        <v>8751.1099999999988</v>
      </c>
    </row>
    <row r="20" spans="1:38" ht="13.15" customHeight="1" x14ac:dyDescent="0.2">
      <c r="A20" s="34" t="s">
        <v>1047</v>
      </c>
      <c r="B20" s="314">
        <f>'01 - Dados de Entrada'!$C$107*'01 - Dados de Entrada'!$C$103</f>
        <v>0.02</v>
      </c>
      <c r="C20" s="106">
        <f t="shared" si="2"/>
        <v>75564.64999999998</v>
      </c>
      <c r="D20" s="45">
        <f>$B$20*'04 - Veículos e Equipamentos'!B25*'01 - Dados de Entrada'!$C$55+'04 - Veículos e Equipamentos'!B25*'01 - Dados de Entrada'!$C$110</f>
        <v>2158.9899999999998</v>
      </c>
      <c r="E20" s="45">
        <f>$B$20*'04 - Veículos e Equipamentos'!C25*'01 - Dados de Entrada'!$C$55+'04 - Veículos e Equipamentos'!C25*'01 - Dados de Entrada'!$C$110</f>
        <v>2158.9899999999998</v>
      </c>
      <c r="F20" s="45">
        <f>$B$20*'04 - Veículos e Equipamentos'!D25*'01 - Dados de Entrada'!$C$55+'04 - Veículos e Equipamentos'!D25*'01 - Dados de Entrada'!$C$110</f>
        <v>2158.9899999999998</v>
      </c>
      <c r="G20" s="45">
        <f>$B$20*'04 - Veículos e Equipamentos'!E25*'01 - Dados de Entrada'!$C$55+'04 - Veículos e Equipamentos'!E25*'01 - Dados de Entrada'!$C$110</f>
        <v>2158.9899999999998</v>
      </c>
      <c r="H20" s="45">
        <f>$B$20*'04 - Veículos e Equipamentos'!F25*'01 - Dados de Entrada'!$C$55+'04 - Veículos e Equipamentos'!F25*'01 - Dados de Entrada'!$C$110</f>
        <v>2158.9899999999998</v>
      </c>
      <c r="I20" s="45">
        <f>$B$20*'04 - Veículos e Equipamentos'!G25*'01 - Dados de Entrada'!$C$55+'04 - Veículos e Equipamentos'!G25*'01 - Dados de Entrada'!$C$110</f>
        <v>2158.9899999999998</v>
      </c>
      <c r="J20" s="45">
        <f>$B$20*'04 - Veículos e Equipamentos'!H25*'01 - Dados de Entrada'!$C$55+'04 - Veículos e Equipamentos'!H25*'01 - Dados de Entrada'!$C$110</f>
        <v>2158.9899999999998</v>
      </c>
      <c r="K20" s="45">
        <f>$B$20*'04 - Veículos e Equipamentos'!I25*'01 - Dados de Entrada'!$C$55+'04 - Veículos e Equipamentos'!I25*'01 - Dados de Entrada'!$C$110</f>
        <v>2158.9899999999998</v>
      </c>
      <c r="L20" s="45">
        <f>$B$20*'04 - Veículos e Equipamentos'!J25*'01 - Dados de Entrada'!$C$55+'04 - Veículos e Equipamentos'!J25*'01 - Dados de Entrada'!$C$110</f>
        <v>2158.9899999999998</v>
      </c>
      <c r="M20" s="45">
        <f>$B$20*'04 - Veículos e Equipamentos'!K25*'01 - Dados de Entrada'!$C$55+'04 - Veículos e Equipamentos'!K25*'01 - Dados de Entrada'!$C$110</f>
        <v>2158.9899999999998</v>
      </c>
      <c r="N20" s="45">
        <f>$B$20*'04 - Veículos e Equipamentos'!L25*'01 - Dados de Entrada'!$C$55+'04 - Veículos e Equipamentos'!L25*'01 - Dados de Entrada'!$C$110</f>
        <v>2158.9899999999998</v>
      </c>
      <c r="O20" s="45">
        <f>$B$20*'04 - Veículos e Equipamentos'!M25*'01 - Dados de Entrada'!$C$55+'04 - Veículos e Equipamentos'!M25*'01 - Dados de Entrada'!$C$110</f>
        <v>2158.9899999999998</v>
      </c>
      <c r="P20" s="45">
        <f>$B$20*'04 - Veículos e Equipamentos'!N25*'01 - Dados de Entrada'!$C$55+'04 - Veículos e Equipamentos'!N25*'01 - Dados de Entrada'!$C$110</f>
        <v>2158.9899999999998</v>
      </c>
      <c r="Q20" s="45">
        <f>$B$20*'04 - Veículos e Equipamentos'!O25*'01 - Dados de Entrada'!$C$55+'04 - Veículos e Equipamentos'!O25*'01 - Dados de Entrada'!$C$110</f>
        <v>2158.9899999999998</v>
      </c>
      <c r="R20" s="45">
        <f>$B$20*'04 - Veículos e Equipamentos'!P25*'01 - Dados de Entrada'!$C$55+'04 - Veículos e Equipamentos'!P25*'01 - Dados de Entrada'!$C$110</f>
        <v>2158.9899999999998</v>
      </c>
      <c r="S20" s="45">
        <f>$B$20*'04 - Veículos e Equipamentos'!Q25*'01 - Dados de Entrada'!$C$55+'04 - Veículos e Equipamentos'!Q25*'01 - Dados de Entrada'!$C$110</f>
        <v>2158.9899999999998</v>
      </c>
      <c r="T20" s="45">
        <f>$B$20*'04 - Veículos e Equipamentos'!R25*'01 - Dados de Entrada'!$C$55+'04 - Veículos e Equipamentos'!R25*'01 - Dados de Entrada'!$C$110</f>
        <v>2158.9899999999998</v>
      </c>
      <c r="U20" s="45">
        <f>$B$20*'04 - Veículos e Equipamentos'!S25*'01 - Dados de Entrada'!$C$55+'04 - Veículos e Equipamentos'!S25*'01 - Dados de Entrada'!$C$110</f>
        <v>2158.9899999999998</v>
      </c>
      <c r="V20" s="45">
        <f>$B$20*'04 - Veículos e Equipamentos'!T25*'01 - Dados de Entrada'!$C$55+'04 - Veículos e Equipamentos'!T25*'01 - Dados de Entrada'!$C$110</f>
        <v>2158.9899999999998</v>
      </c>
      <c r="W20" s="45">
        <f>$B$20*'04 - Veículos e Equipamentos'!U25*'01 - Dados de Entrada'!$C$55+'04 - Veículos e Equipamentos'!U25*'01 - Dados de Entrada'!$C$110</f>
        <v>2158.9899999999998</v>
      </c>
      <c r="X20" s="45">
        <f>$B$20*'04 - Veículos e Equipamentos'!V25*'01 - Dados de Entrada'!$C$55+'04 - Veículos e Equipamentos'!V25*'01 - Dados de Entrada'!$C$110</f>
        <v>2158.9899999999998</v>
      </c>
      <c r="Y20" s="45">
        <f>$B$20*'04 - Veículos e Equipamentos'!W25*'01 - Dados de Entrada'!$C$55+'04 - Veículos e Equipamentos'!W25*'01 - Dados de Entrada'!$C$110</f>
        <v>2158.9899999999998</v>
      </c>
      <c r="Z20" s="45">
        <f>$B$20*'04 - Veículos e Equipamentos'!X25*'01 - Dados de Entrada'!$C$55+'04 - Veículos e Equipamentos'!X25*'01 - Dados de Entrada'!$C$110</f>
        <v>2158.9899999999998</v>
      </c>
      <c r="AA20" s="45">
        <f>$B$20*'04 - Veículos e Equipamentos'!Y25*'01 - Dados de Entrada'!$C$55+'04 - Veículos e Equipamentos'!Y25*'01 - Dados de Entrada'!$C$110</f>
        <v>2158.9899999999998</v>
      </c>
      <c r="AB20" s="45">
        <f>$B$20*'04 - Veículos e Equipamentos'!Z25*'01 - Dados de Entrada'!$C$55+'04 - Veículos e Equipamentos'!Z25*'01 - Dados de Entrada'!$C$110</f>
        <v>2158.9899999999998</v>
      </c>
      <c r="AC20" s="45">
        <f>$B$20*'04 - Veículos e Equipamentos'!AA25*'01 - Dados de Entrada'!$C$55+'04 - Veículos e Equipamentos'!AA25*'01 - Dados de Entrada'!$C$110</f>
        <v>2158.9899999999998</v>
      </c>
      <c r="AD20" s="45">
        <f>$B$20*'04 - Veículos e Equipamentos'!AB25*'01 - Dados de Entrada'!$C$55+'04 - Veículos e Equipamentos'!AB25*'01 - Dados de Entrada'!$C$110</f>
        <v>2158.9899999999998</v>
      </c>
      <c r="AE20" s="45">
        <f>$B$20*'04 - Veículos e Equipamentos'!AC25*'01 - Dados de Entrada'!$C$55+'04 - Veículos e Equipamentos'!AC25*'01 - Dados de Entrada'!$C$110</f>
        <v>2158.9899999999998</v>
      </c>
      <c r="AF20" s="45">
        <f>$B$20*'04 - Veículos e Equipamentos'!AD25*'01 - Dados de Entrada'!$C$55+'04 - Veículos e Equipamentos'!AD25*'01 - Dados de Entrada'!$C$110</f>
        <v>2158.9899999999998</v>
      </c>
      <c r="AG20" s="45">
        <f>$B$20*'04 - Veículos e Equipamentos'!AE25*'01 - Dados de Entrada'!$C$55+'04 - Veículos e Equipamentos'!AE25*'01 - Dados de Entrada'!$C$110</f>
        <v>2158.9899999999998</v>
      </c>
      <c r="AH20" s="45">
        <f>$B$20*'04 - Veículos e Equipamentos'!AF25*'01 - Dados de Entrada'!$C$55+'04 - Veículos e Equipamentos'!AF25*'01 - Dados de Entrada'!$C$110</f>
        <v>2158.9899999999998</v>
      </c>
      <c r="AI20" s="45">
        <f>$B$20*'04 - Veículos e Equipamentos'!AG25*'01 - Dados de Entrada'!$C$55+'04 - Veículos e Equipamentos'!AG25*'01 - Dados de Entrada'!$C$110</f>
        <v>2158.9899999999998</v>
      </c>
      <c r="AJ20" s="45">
        <f>$B$20*'04 - Veículos e Equipamentos'!AH25*'01 - Dados de Entrada'!$C$55+'04 - Veículos e Equipamentos'!AH25*'01 - Dados de Entrada'!$C$110</f>
        <v>2158.9899999999998</v>
      </c>
      <c r="AK20" s="45">
        <f>$B$20*'04 - Veículos e Equipamentos'!AI25*'01 - Dados de Entrada'!$C$55+'04 - Veículos e Equipamentos'!AI25*'01 - Dados de Entrada'!$C$110</f>
        <v>2158.9899999999998</v>
      </c>
      <c r="AL20" s="45">
        <f>$B$20*'04 - Veículos e Equipamentos'!AJ25*'01 - Dados de Entrada'!$C$55+'04 - Veículos e Equipamentos'!AJ25*'01 - Dados de Entrada'!$C$110</f>
        <v>2158.9899999999998</v>
      </c>
    </row>
    <row r="21" spans="1:38" ht="13.15" customHeight="1" x14ac:dyDescent="0.2">
      <c r="A21" s="34" t="s">
        <v>1048</v>
      </c>
      <c r="B21" s="314">
        <f>'01 - Dados de Entrada'!$C$107*'01 - Dados de Entrada'!$C$103</f>
        <v>0.02</v>
      </c>
      <c r="C21" s="106">
        <f t="shared" si="2"/>
        <v>57681.049999999974</v>
      </c>
      <c r="D21" s="45">
        <f>$B$21*'04 - Veículos e Equipamentos'!B27*'01 - Dados de Entrada'!$C$56+'04 - Veículos e Equipamentos'!B27*'01 - Dados de Entrada'!$C$112</f>
        <v>1648.03</v>
      </c>
      <c r="E21" s="45">
        <f>$B$21*'04 - Veículos e Equipamentos'!C27*'01 - Dados de Entrada'!$C$56+'04 - Veículos e Equipamentos'!C27*'01 - Dados de Entrada'!$C$112</f>
        <v>1648.03</v>
      </c>
      <c r="F21" s="45">
        <f>$B$21*'04 - Veículos e Equipamentos'!D27*'01 - Dados de Entrada'!$C$56+'04 - Veículos e Equipamentos'!D27*'01 - Dados de Entrada'!$C$112</f>
        <v>1648.03</v>
      </c>
      <c r="G21" s="45">
        <f>$B$21*'04 - Veículos e Equipamentos'!E27*'01 - Dados de Entrada'!$C$56+'04 - Veículos e Equipamentos'!E27*'01 - Dados de Entrada'!$C$112</f>
        <v>1648.03</v>
      </c>
      <c r="H21" s="45">
        <f>$B$21*'04 - Veículos e Equipamentos'!F27*'01 - Dados de Entrada'!$C$56+'04 - Veículos e Equipamentos'!F27*'01 - Dados de Entrada'!$C$112</f>
        <v>1648.03</v>
      </c>
      <c r="I21" s="45">
        <f>$B$21*'04 - Veículos e Equipamentos'!G27*'01 - Dados de Entrada'!$C$56+'04 - Veículos e Equipamentos'!G27*'01 - Dados de Entrada'!$C$112</f>
        <v>1648.03</v>
      </c>
      <c r="J21" s="45">
        <f>$B$21*'04 - Veículos e Equipamentos'!H27*'01 - Dados de Entrada'!$C$56+'04 - Veículos e Equipamentos'!H27*'01 - Dados de Entrada'!$C$112</f>
        <v>1648.03</v>
      </c>
      <c r="K21" s="45">
        <f>$B$21*'04 - Veículos e Equipamentos'!I27*'01 - Dados de Entrada'!$C$56+'04 - Veículos e Equipamentos'!I27*'01 - Dados de Entrada'!$C$112</f>
        <v>1648.03</v>
      </c>
      <c r="L21" s="45">
        <f>$B$21*'04 - Veículos e Equipamentos'!J27*'01 - Dados de Entrada'!$C$56+'04 - Veículos e Equipamentos'!J27*'01 - Dados de Entrada'!$C$112</f>
        <v>1648.03</v>
      </c>
      <c r="M21" s="45">
        <f>$B$21*'04 - Veículos e Equipamentos'!K27*'01 - Dados de Entrada'!$C$56+'04 - Veículos e Equipamentos'!K27*'01 - Dados de Entrada'!$C$112</f>
        <v>1648.03</v>
      </c>
      <c r="N21" s="45">
        <f>$B$21*'04 - Veículos e Equipamentos'!L27*'01 - Dados de Entrada'!$C$56+'04 - Veículos e Equipamentos'!L27*'01 - Dados de Entrada'!$C$112</f>
        <v>1648.03</v>
      </c>
      <c r="O21" s="45">
        <f>$B$21*'04 - Veículos e Equipamentos'!M27*'01 - Dados de Entrada'!$C$56+'04 - Veículos e Equipamentos'!M27*'01 - Dados de Entrada'!$C$112</f>
        <v>1648.03</v>
      </c>
      <c r="P21" s="45">
        <f>$B$21*'04 - Veículos e Equipamentos'!N27*'01 - Dados de Entrada'!$C$56+'04 - Veículos e Equipamentos'!N27*'01 - Dados de Entrada'!$C$112</f>
        <v>1648.03</v>
      </c>
      <c r="Q21" s="45">
        <f>$B$21*'04 - Veículos e Equipamentos'!O27*'01 - Dados de Entrada'!$C$56+'04 - Veículos e Equipamentos'!O27*'01 - Dados de Entrada'!$C$112</f>
        <v>1648.03</v>
      </c>
      <c r="R21" s="45">
        <f>$B$21*'04 - Veículos e Equipamentos'!P27*'01 - Dados de Entrada'!$C$56+'04 - Veículos e Equipamentos'!P27*'01 - Dados de Entrada'!$C$112</f>
        <v>1648.03</v>
      </c>
      <c r="S21" s="45">
        <f>$B$21*'04 - Veículos e Equipamentos'!Q27*'01 - Dados de Entrada'!$C$56+'04 - Veículos e Equipamentos'!Q27*'01 - Dados de Entrada'!$C$112</f>
        <v>1648.03</v>
      </c>
      <c r="T21" s="45">
        <f>$B$21*'04 - Veículos e Equipamentos'!R27*'01 - Dados de Entrada'!$C$56+'04 - Veículos e Equipamentos'!R27*'01 - Dados de Entrada'!$C$112</f>
        <v>1648.03</v>
      </c>
      <c r="U21" s="45">
        <f>$B$21*'04 - Veículos e Equipamentos'!S27*'01 - Dados de Entrada'!$C$56+'04 - Veículos e Equipamentos'!S27*'01 - Dados de Entrada'!$C$112</f>
        <v>1648.03</v>
      </c>
      <c r="V21" s="45">
        <f>$B$21*'04 - Veículos e Equipamentos'!T27*'01 - Dados de Entrada'!$C$56+'04 - Veículos e Equipamentos'!T27*'01 - Dados de Entrada'!$C$112</f>
        <v>1648.03</v>
      </c>
      <c r="W21" s="45">
        <f>$B$21*'04 - Veículos e Equipamentos'!U27*'01 - Dados de Entrada'!$C$56+'04 - Veículos e Equipamentos'!U27*'01 - Dados de Entrada'!$C$112</f>
        <v>1648.03</v>
      </c>
      <c r="X21" s="45">
        <f>$B$21*'04 - Veículos e Equipamentos'!V27*'01 - Dados de Entrada'!$C$56+'04 - Veículos e Equipamentos'!V27*'01 - Dados de Entrada'!$C$112</f>
        <v>1648.03</v>
      </c>
      <c r="Y21" s="45">
        <f>$B$21*'04 - Veículos e Equipamentos'!W27*'01 - Dados de Entrada'!$C$56+'04 - Veículos e Equipamentos'!W27*'01 - Dados de Entrada'!$C$112</f>
        <v>1648.03</v>
      </c>
      <c r="Z21" s="45">
        <f>$B$21*'04 - Veículos e Equipamentos'!X27*'01 - Dados de Entrada'!$C$56+'04 - Veículos e Equipamentos'!X27*'01 - Dados de Entrada'!$C$112</f>
        <v>1648.03</v>
      </c>
      <c r="AA21" s="45">
        <f>$B$21*'04 - Veículos e Equipamentos'!Y27*'01 - Dados de Entrada'!$C$56+'04 - Veículos e Equipamentos'!Y27*'01 - Dados de Entrada'!$C$112</f>
        <v>1648.03</v>
      </c>
      <c r="AB21" s="45">
        <f>$B$21*'04 - Veículos e Equipamentos'!Z27*'01 - Dados de Entrada'!$C$56+'04 - Veículos e Equipamentos'!Z27*'01 - Dados de Entrada'!$C$112</f>
        <v>1648.03</v>
      </c>
      <c r="AC21" s="45">
        <f>$B$21*'04 - Veículos e Equipamentos'!AA27*'01 - Dados de Entrada'!$C$56+'04 - Veículos e Equipamentos'!AA27*'01 - Dados de Entrada'!$C$112</f>
        <v>1648.03</v>
      </c>
      <c r="AD21" s="45">
        <f>$B$21*'04 - Veículos e Equipamentos'!AB27*'01 - Dados de Entrada'!$C$56+'04 - Veículos e Equipamentos'!AB27*'01 - Dados de Entrada'!$C$112</f>
        <v>1648.03</v>
      </c>
      <c r="AE21" s="45">
        <f>$B$21*'04 - Veículos e Equipamentos'!AC27*'01 - Dados de Entrada'!$C$56+'04 - Veículos e Equipamentos'!AC27*'01 - Dados de Entrada'!$C$112</f>
        <v>1648.03</v>
      </c>
      <c r="AF21" s="45">
        <f>$B$21*'04 - Veículos e Equipamentos'!AD27*'01 - Dados de Entrada'!$C$56+'04 - Veículos e Equipamentos'!AD27*'01 - Dados de Entrada'!$C$112</f>
        <v>1648.03</v>
      </c>
      <c r="AG21" s="45">
        <f>$B$21*'04 - Veículos e Equipamentos'!AE27*'01 - Dados de Entrada'!$C$56+'04 - Veículos e Equipamentos'!AE27*'01 - Dados de Entrada'!$C$112</f>
        <v>1648.03</v>
      </c>
      <c r="AH21" s="45">
        <f>$B$21*'04 - Veículos e Equipamentos'!AF27*'01 - Dados de Entrada'!$C$56+'04 - Veículos e Equipamentos'!AF27*'01 - Dados de Entrada'!$C$112</f>
        <v>1648.03</v>
      </c>
      <c r="AI21" s="45">
        <f>$B$21*'04 - Veículos e Equipamentos'!AG27*'01 - Dados de Entrada'!$C$56+'04 - Veículos e Equipamentos'!AG27*'01 - Dados de Entrada'!$C$112</f>
        <v>1648.03</v>
      </c>
      <c r="AJ21" s="45">
        <f>$B$21*'04 - Veículos e Equipamentos'!AH27*'01 - Dados de Entrada'!$C$56+'04 - Veículos e Equipamentos'!AH27*'01 - Dados de Entrada'!$C$112</f>
        <v>1648.03</v>
      </c>
      <c r="AK21" s="45">
        <f>$B$21*'04 - Veículos e Equipamentos'!AI27*'01 - Dados de Entrada'!$C$56+'04 - Veículos e Equipamentos'!AI27*'01 - Dados de Entrada'!$C$112</f>
        <v>1648.03</v>
      </c>
      <c r="AL21" s="45">
        <f>$B$21*'04 - Veículos e Equipamentos'!AJ27*'01 - Dados de Entrada'!$C$56+'04 - Veículos e Equipamentos'!AJ27*'01 - Dados de Entrada'!$C$112</f>
        <v>1648.03</v>
      </c>
    </row>
    <row r="22" spans="1:38" ht="13.15" customHeight="1" x14ac:dyDescent="0.2">
      <c r="A22" s="34" t="s">
        <v>1049</v>
      </c>
      <c r="B22" s="314">
        <f>'01 - Dados de Entrada'!$C$107*'01 - Dados de Entrada'!$C$103</f>
        <v>0.02</v>
      </c>
      <c r="C22" s="106">
        <f t="shared" si="2"/>
        <v>57681.049999999974</v>
      </c>
      <c r="D22" s="45">
        <f>$B$22*'04 - Veículos e Equipamentos'!B29*'01 - Dados de Entrada'!$C$56+'04 - Veículos e Equipamentos'!B29*'01 - Dados de Entrada'!$C$112</f>
        <v>1648.03</v>
      </c>
      <c r="E22" s="45">
        <f>$B$22*'04 - Veículos e Equipamentos'!C29*'01 - Dados de Entrada'!$C$56+'04 - Veículos e Equipamentos'!C29*'01 - Dados de Entrada'!$C$112</f>
        <v>1648.03</v>
      </c>
      <c r="F22" s="45">
        <f>$B$22*'04 - Veículos e Equipamentos'!D29*'01 - Dados de Entrada'!$C$56+'04 - Veículos e Equipamentos'!D29*'01 - Dados de Entrada'!$C$112</f>
        <v>1648.03</v>
      </c>
      <c r="G22" s="45">
        <f>$B$22*'04 - Veículos e Equipamentos'!E29*'01 - Dados de Entrada'!$C$56+'04 - Veículos e Equipamentos'!E29*'01 - Dados de Entrada'!$C$112</f>
        <v>1648.03</v>
      </c>
      <c r="H22" s="45">
        <f>$B$22*'04 - Veículos e Equipamentos'!F29*'01 - Dados de Entrada'!$C$56+'04 - Veículos e Equipamentos'!F29*'01 - Dados de Entrada'!$C$112</f>
        <v>1648.03</v>
      </c>
      <c r="I22" s="45">
        <f>$B$22*'04 - Veículos e Equipamentos'!G29*'01 - Dados de Entrada'!$C$56+'04 - Veículos e Equipamentos'!G29*'01 - Dados de Entrada'!$C$112</f>
        <v>1648.03</v>
      </c>
      <c r="J22" s="45">
        <f>$B$22*'04 - Veículos e Equipamentos'!H29*'01 - Dados de Entrada'!$C$56+'04 - Veículos e Equipamentos'!H29*'01 - Dados de Entrada'!$C$112</f>
        <v>1648.03</v>
      </c>
      <c r="K22" s="45">
        <f>$B$22*'04 - Veículos e Equipamentos'!I29*'01 - Dados de Entrada'!$C$56+'04 - Veículos e Equipamentos'!I29*'01 - Dados de Entrada'!$C$112</f>
        <v>1648.03</v>
      </c>
      <c r="L22" s="45">
        <f>$B$22*'04 - Veículos e Equipamentos'!J29*'01 - Dados de Entrada'!$C$56+'04 - Veículos e Equipamentos'!J29*'01 - Dados de Entrada'!$C$112</f>
        <v>1648.03</v>
      </c>
      <c r="M22" s="45">
        <f>$B$22*'04 - Veículos e Equipamentos'!K29*'01 - Dados de Entrada'!$C$56+'04 - Veículos e Equipamentos'!K29*'01 - Dados de Entrada'!$C$112</f>
        <v>1648.03</v>
      </c>
      <c r="N22" s="45">
        <f>$B$22*'04 - Veículos e Equipamentos'!L29*'01 - Dados de Entrada'!$C$56+'04 - Veículos e Equipamentos'!L29*'01 - Dados de Entrada'!$C$112</f>
        <v>1648.03</v>
      </c>
      <c r="O22" s="45">
        <f>$B$22*'04 - Veículos e Equipamentos'!M29*'01 - Dados de Entrada'!$C$56+'04 - Veículos e Equipamentos'!M29*'01 - Dados de Entrada'!$C$112</f>
        <v>1648.03</v>
      </c>
      <c r="P22" s="45">
        <f>$B$22*'04 - Veículos e Equipamentos'!N29*'01 - Dados de Entrada'!$C$56+'04 - Veículos e Equipamentos'!N29*'01 - Dados de Entrada'!$C$112</f>
        <v>1648.03</v>
      </c>
      <c r="Q22" s="45">
        <f>$B$22*'04 - Veículos e Equipamentos'!O29*'01 - Dados de Entrada'!$C$56+'04 - Veículos e Equipamentos'!O29*'01 - Dados de Entrada'!$C$112</f>
        <v>1648.03</v>
      </c>
      <c r="R22" s="45">
        <f>$B$22*'04 - Veículos e Equipamentos'!P29*'01 - Dados de Entrada'!$C$56+'04 - Veículos e Equipamentos'!P29*'01 - Dados de Entrada'!$C$112</f>
        <v>1648.03</v>
      </c>
      <c r="S22" s="45">
        <f>$B$22*'04 - Veículos e Equipamentos'!Q29*'01 - Dados de Entrada'!$C$56+'04 - Veículos e Equipamentos'!Q29*'01 - Dados de Entrada'!$C$112</f>
        <v>1648.03</v>
      </c>
      <c r="T22" s="45">
        <f>$B$22*'04 - Veículos e Equipamentos'!R29*'01 - Dados de Entrada'!$C$56+'04 - Veículos e Equipamentos'!R29*'01 - Dados de Entrada'!$C$112</f>
        <v>1648.03</v>
      </c>
      <c r="U22" s="45">
        <f>$B$22*'04 - Veículos e Equipamentos'!S29*'01 - Dados de Entrada'!$C$56+'04 - Veículos e Equipamentos'!S29*'01 - Dados de Entrada'!$C$112</f>
        <v>1648.03</v>
      </c>
      <c r="V22" s="45">
        <f>$B$22*'04 - Veículos e Equipamentos'!T29*'01 - Dados de Entrada'!$C$56+'04 - Veículos e Equipamentos'!T29*'01 - Dados de Entrada'!$C$112</f>
        <v>1648.03</v>
      </c>
      <c r="W22" s="45">
        <f>$B$22*'04 - Veículos e Equipamentos'!U29*'01 - Dados de Entrada'!$C$56+'04 - Veículos e Equipamentos'!U29*'01 - Dados de Entrada'!$C$112</f>
        <v>1648.03</v>
      </c>
      <c r="X22" s="45">
        <f>$B$22*'04 - Veículos e Equipamentos'!V29*'01 - Dados de Entrada'!$C$56+'04 - Veículos e Equipamentos'!V29*'01 - Dados de Entrada'!$C$112</f>
        <v>1648.03</v>
      </c>
      <c r="Y22" s="45">
        <f>$B$22*'04 - Veículos e Equipamentos'!W29*'01 - Dados de Entrada'!$C$56+'04 - Veículos e Equipamentos'!W29*'01 - Dados de Entrada'!$C$112</f>
        <v>1648.03</v>
      </c>
      <c r="Z22" s="45">
        <f>$B$22*'04 - Veículos e Equipamentos'!X29*'01 - Dados de Entrada'!$C$56+'04 - Veículos e Equipamentos'!X29*'01 - Dados de Entrada'!$C$112</f>
        <v>1648.03</v>
      </c>
      <c r="AA22" s="45">
        <f>$B$22*'04 - Veículos e Equipamentos'!Y29*'01 - Dados de Entrada'!$C$56+'04 - Veículos e Equipamentos'!Y29*'01 - Dados de Entrada'!$C$112</f>
        <v>1648.03</v>
      </c>
      <c r="AB22" s="45">
        <f>$B$22*'04 - Veículos e Equipamentos'!Z29*'01 - Dados de Entrada'!$C$56+'04 - Veículos e Equipamentos'!Z29*'01 - Dados de Entrada'!$C$112</f>
        <v>1648.03</v>
      </c>
      <c r="AC22" s="45">
        <f>$B$22*'04 - Veículos e Equipamentos'!AA29*'01 - Dados de Entrada'!$C$56+'04 - Veículos e Equipamentos'!AA29*'01 - Dados de Entrada'!$C$112</f>
        <v>1648.03</v>
      </c>
      <c r="AD22" s="45">
        <f>$B$22*'04 - Veículos e Equipamentos'!AB29*'01 - Dados de Entrada'!$C$56+'04 - Veículos e Equipamentos'!AB29*'01 - Dados de Entrada'!$C$112</f>
        <v>1648.03</v>
      </c>
      <c r="AE22" s="45">
        <f>$B$22*'04 - Veículos e Equipamentos'!AC29*'01 - Dados de Entrada'!$C$56+'04 - Veículos e Equipamentos'!AC29*'01 - Dados de Entrada'!$C$112</f>
        <v>1648.03</v>
      </c>
      <c r="AF22" s="45">
        <f>$B$22*'04 - Veículos e Equipamentos'!AD29*'01 - Dados de Entrada'!$C$56+'04 - Veículos e Equipamentos'!AD29*'01 - Dados de Entrada'!$C$112</f>
        <v>1648.03</v>
      </c>
      <c r="AG22" s="45">
        <f>$B$22*'04 - Veículos e Equipamentos'!AE29*'01 - Dados de Entrada'!$C$56+'04 - Veículos e Equipamentos'!AE29*'01 - Dados de Entrada'!$C$112</f>
        <v>1648.03</v>
      </c>
      <c r="AH22" s="45">
        <f>$B$22*'04 - Veículos e Equipamentos'!AF29*'01 - Dados de Entrada'!$C$56+'04 - Veículos e Equipamentos'!AF29*'01 - Dados de Entrada'!$C$112</f>
        <v>1648.03</v>
      </c>
      <c r="AI22" s="45">
        <f>$B$22*'04 - Veículos e Equipamentos'!AG29*'01 - Dados de Entrada'!$C$56+'04 - Veículos e Equipamentos'!AG29*'01 - Dados de Entrada'!$C$112</f>
        <v>1648.03</v>
      </c>
      <c r="AJ22" s="45">
        <f>$B$22*'04 - Veículos e Equipamentos'!AH29*'01 - Dados de Entrada'!$C$56+'04 - Veículos e Equipamentos'!AH29*'01 - Dados de Entrada'!$C$112</f>
        <v>1648.03</v>
      </c>
      <c r="AK22" s="45">
        <f>$B$22*'04 - Veículos e Equipamentos'!AI29*'01 - Dados de Entrada'!$C$56+'04 - Veículos e Equipamentos'!AI29*'01 - Dados de Entrada'!$C$112</f>
        <v>1648.03</v>
      </c>
      <c r="AL22" s="45">
        <f>$B$22*'04 - Veículos e Equipamentos'!AJ29*'01 - Dados de Entrada'!$C$56+'04 - Veículos e Equipamentos'!AJ29*'01 - Dados de Entrada'!$C$112</f>
        <v>1648.03</v>
      </c>
    </row>
    <row r="23" spans="1:38" ht="13.15" customHeight="1" x14ac:dyDescent="0.2">
      <c r="A23" s="34" t="s">
        <v>1050</v>
      </c>
      <c r="B23" s="314">
        <f>'01 - Dados de Entrada'!$C$107*'01 - Dados de Entrada'!$C$103</f>
        <v>0.02</v>
      </c>
      <c r="C23" s="106">
        <f t="shared" si="2"/>
        <v>115362.09999999995</v>
      </c>
      <c r="D23" s="45">
        <f>$B$23*'04 - Veículos e Equipamentos'!B31*'01 - Dados de Entrada'!$C$56+'04 - Veículos e Equipamentos'!B31*'01 - Dados de Entrada'!$C$112</f>
        <v>3296.06</v>
      </c>
      <c r="E23" s="45">
        <f>$B$23*'04 - Veículos e Equipamentos'!C31*'01 - Dados de Entrada'!$C$56+'04 - Veículos e Equipamentos'!C31*'01 - Dados de Entrada'!$C$112</f>
        <v>3296.06</v>
      </c>
      <c r="F23" s="45">
        <f>$B$23*'04 - Veículos e Equipamentos'!D31*'01 - Dados de Entrada'!$C$56+'04 - Veículos e Equipamentos'!D31*'01 - Dados de Entrada'!$C$112</f>
        <v>3296.06</v>
      </c>
      <c r="G23" s="45">
        <f>$B$23*'04 - Veículos e Equipamentos'!E31*'01 - Dados de Entrada'!$C$56+'04 - Veículos e Equipamentos'!E31*'01 - Dados de Entrada'!$C$112</f>
        <v>3296.06</v>
      </c>
      <c r="H23" s="45">
        <f>$B$23*'04 - Veículos e Equipamentos'!F31*'01 - Dados de Entrada'!$C$56+'04 - Veículos e Equipamentos'!F31*'01 - Dados de Entrada'!$C$112</f>
        <v>3296.06</v>
      </c>
      <c r="I23" s="45">
        <f>$B$23*'04 - Veículos e Equipamentos'!G31*'01 - Dados de Entrada'!$C$56+'04 - Veículos e Equipamentos'!G31*'01 - Dados de Entrada'!$C$112</f>
        <v>3296.06</v>
      </c>
      <c r="J23" s="45">
        <f>$B$23*'04 - Veículos e Equipamentos'!H31*'01 - Dados de Entrada'!$C$56+'04 - Veículos e Equipamentos'!H31*'01 - Dados de Entrada'!$C$112</f>
        <v>3296.06</v>
      </c>
      <c r="K23" s="45">
        <f>$B$23*'04 - Veículos e Equipamentos'!I31*'01 - Dados de Entrada'!$C$56+'04 - Veículos e Equipamentos'!I31*'01 - Dados de Entrada'!$C$112</f>
        <v>3296.06</v>
      </c>
      <c r="L23" s="45">
        <f>$B$23*'04 - Veículos e Equipamentos'!J31*'01 - Dados de Entrada'!$C$56+'04 - Veículos e Equipamentos'!J31*'01 - Dados de Entrada'!$C$112</f>
        <v>3296.06</v>
      </c>
      <c r="M23" s="45">
        <f>$B$23*'04 - Veículos e Equipamentos'!K31*'01 - Dados de Entrada'!$C$56+'04 - Veículos e Equipamentos'!K31*'01 - Dados de Entrada'!$C$112</f>
        <v>3296.06</v>
      </c>
      <c r="N23" s="45">
        <f>$B$23*'04 - Veículos e Equipamentos'!L31*'01 - Dados de Entrada'!$C$56+'04 - Veículos e Equipamentos'!L31*'01 - Dados de Entrada'!$C$112</f>
        <v>3296.06</v>
      </c>
      <c r="O23" s="45">
        <f>$B$23*'04 - Veículos e Equipamentos'!M31*'01 - Dados de Entrada'!$C$56+'04 - Veículos e Equipamentos'!M31*'01 - Dados de Entrada'!$C$112</f>
        <v>3296.06</v>
      </c>
      <c r="P23" s="45">
        <f>$B$23*'04 - Veículos e Equipamentos'!N31*'01 - Dados de Entrada'!$C$56+'04 - Veículos e Equipamentos'!N31*'01 - Dados de Entrada'!$C$112</f>
        <v>3296.06</v>
      </c>
      <c r="Q23" s="45">
        <f>$B$23*'04 - Veículos e Equipamentos'!O31*'01 - Dados de Entrada'!$C$56+'04 - Veículos e Equipamentos'!O31*'01 - Dados de Entrada'!$C$112</f>
        <v>3296.06</v>
      </c>
      <c r="R23" s="45">
        <f>$B$23*'04 - Veículos e Equipamentos'!P31*'01 - Dados de Entrada'!$C$56+'04 - Veículos e Equipamentos'!P31*'01 - Dados de Entrada'!$C$112</f>
        <v>3296.06</v>
      </c>
      <c r="S23" s="45">
        <f>$B$23*'04 - Veículos e Equipamentos'!Q31*'01 - Dados de Entrada'!$C$56+'04 - Veículos e Equipamentos'!Q31*'01 - Dados de Entrada'!$C$112</f>
        <v>3296.06</v>
      </c>
      <c r="T23" s="45">
        <f>$B$23*'04 - Veículos e Equipamentos'!R31*'01 - Dados de Entrada'!$C$56+'04 - Veículos e Equipamentos'!R31*'01 - Dados de Entrada'!$C$112</f>
        <v>3296.06</v>
      </c>
      <c r="U23" s="45">
        <f>$B$23*'04 - Veículos e Equipamentos'!S31*'01 - Dados de Entrada'!$C$56+'04 - Veículos e Equipamentos'!S31*'01 - Dados de Entrada'!$C$112</f>
        <v>3296.06</v>
      </c>
      <c r="V23" s="45">
        <f>$B$23*'04 - Veículos e Equipamentos'!T31*'01 - Dados de Entrada'!$C$56+'04 - Veículos e Equipamentos'!T31*'01 - Dados de Entrada'!$C$112</f>
        <v>3296.06</v>
      </c>
      <c r="W23" s="45">
        <f>$B$23*'04 - Veículos e Equipamentos'!U31*'01 - Dados de Entrada'!$C$56+'04 - Veículos e Equipamentos'!U31*'01 - Dados de Entrada'!$C$112</f>
        <v>3296.06</v>
      </c>
      <c r="X23" s="45">
        <f>$B$23*'04 - Veículos e Equipamentos'!V31*'01 - Dados de Entrada'!$C$56+'04 - Veículos e Equipamentos'!V31*'01 - Dados de Entrada'!$C$112</f>
        <v>3296.06</v>
      </c>
      <c r="Y23" s="45">
        <f>$B$23*'04 - Veículos e Equipamentos'!W31*'01 - Dados de Entrada'!$C$56+'04 - Veículos e Equipamentos'!W31*'01 - Dados de Entrada'!$C$112</f>
        <v>3296.06</v>
      </c>
      <c r="Z23" s="45">
        <f>$B$23*'04 - Veículos e Equipamentos'!X31*'01 - Dados de Entrada'!$C$56+'04 - Veículos e Equipamentos'!X31*'01 - Dados de Entrada'!$C$112</f>
        <v>3296.06</v>
      </c>
      <c r="AA23" s="45">
        <f>$B$23*'04 - Veículos e Equipamentos'!Y31*'01 - Dados de Entrada'!$C$56+'04 - Veículos e Equipamentos'!Y31*'01 - Dados de Entrada'!$C$112</f>
        <v>3296.06</v>
      </c>
      <c r="AB23" s="45">
        <f>$B$23*'04 - Veículos e Equipamentos'!Z31*'01 - Dados de Entrada'!$C$56+'04 - Veículos e Equipamentos'!Z31*'01 - Dados de Entrada'!$C$112</f>
        <v>3296.06</v>
      </c>
      <c r="AC23" s="45">
        <f>$B$23*'04 - Veículos e Equipamentos'!AA31*'01 - Dados de Entrada'!$C$56+'04 - Veículos e Equipamentos'!AA31*'01 - Dados de Entrada'!$C$112</f>
        <v>3296.06</v>
      </c>
      <c r="AD23" s="45">
        <f>$B$23*'04 - Veículos e Equipamentos'!AB31*'01 - Dados de Entrada'!$C$56+'04 - Veículos e Equipamentos'!AB31*'01 - Dados de Entrada'!$C$112</f>
        <v>3296.06</v>
      </c>
      <c r="AE23" s="45">
        <f>$B$23*'04 - Veículos e Equipamentos'!AC31*'01 - Dados de Entrada'!$C$56+'04 - Veículos e Equipamentos'!AC31*'01 - Dados de Entrada'!$C$112</f>
        <v>3296.06</v>
      </c>
      <c r="AF23" s="45">
        <f>$B$23*'04 - Veículos e Equipamentos'!AD31*'01 - Dados de Entrada'!$C$56+'04 - Veículos e Equipamentos'!AD31*'01 - Dados de Entrada'!$C$112</f>
        <v>3296.06</v>
      </c>
      <c r="AG23" s="45">
        <f>$B$23*'04 - Veículos e Equipamentos'!AE31*'01 - Dados de Entrada'!$C$56+'04 - Veículos e Equipamentos'!AE31*'01 - Dados de Entrada'!$C$112</f>
        <v>3296.06</v>
      </c>
      <c r="AH23" s="45">
        <f>$B$23*'04 - Veículos e Equipamentos'!AF31*'01 - Dados de Entrada'!$C$56+'04 - Veículos e Equipamentos'!AF31*'01 - Dados de Entrada'!$C$112</f>
        <v>3296.06</v>
      </c>
      <c r="AI23" s="45">
        <f>$B$23*'04 - Veículos e Equipamentos'!AG31*'01 - Dados de Entrada'!$C$56+'04 - Veículos e Equipamentos'!AG31*'01 - Dados de Entrada'!$C$112</f>
        <v>3296.06</v>
      </c>
      <c r="AJ23" s="45">
        <f>$B$23*'04 - Veículos e Equipamentos'!AH31*'01 - Dados de Entrada'!$C$56+'04 - Veículos e Equipamentos'!AH31*'01 - Dados de Entrada'!$C$112</f>
        <v>3296.06</v>
      </c>
      <c r="AK23" s="45">
        <f>$B$23*'04 - Veículos e Equipamentos'!AI31*'01 - Dados de Entrada'!$C$56+'04 - Veículos e Equipamentos'!AI31*'01 - Dados de Entrada'!$C$112</f>
        <v>3296.06</v>
      </c>
      <c r="AL23" s="45">
        <f>$B$23*'04 - Veículos e Equipamentos'!AJ31*'01 - Dados de Entrada'!$C$56+'04 - Veículos e Equipamentos'!AJ31*'01 - Dados de Entrada'!$C$112</f>
        <v>3296.06</v>
      </c>
    </row>
    <row r="24" spans="1:38" ht="13.15" customHeight="1" x14ac:dyDescent="0.2">
      <c r="A24" s="59" t="s">
        <v>837</v>
      </c>
      <c r="B24" s="513"/>
      <c r="C24" s="58">
        <f t="shared" si="2"/>
        <v>404740</v>
      </c>
      <c r="D24" s="58">
        <f t="shared" ref="D24:AL24" si="5">SUM(D25:D25)</f>
        <v>11564</v>
      </c>
      <c r="E24" s="58">
        <f t="shared" si="5"/>
        <v>11564</v>
      </c>
      <c r="F24" s="58">
        <f t="shared" si="5"/>
        <v>11564</v>
      </c>
      <c r="G24" s="58">
        <f t="shared" si="5"/>
        <v>11564</v>
      </c>
      <c r="H24" s="58">
        <f t="shared" si="5"/>
        <v>11564</v>
      </c>
      <c r="I24" s="58">
        <f t="shared" si="5"/>
        <v>11564</v>
      </c>
      <c r="J24" s="58">
        <f t="shared" si="5"/>
        <v>11564</v>
      </c>
      <c r="K24" s="58">
        <f t="shared" si="5"/>
        <v>11564</v>
      </c>
      <c r="L24" s="58">
        <f t="shared" si="5"/>
        <v>11564</v>
      </c>
      <c r="M24" s="58">
        <f t="shared" si="5"/>
        <v>11564</v>
      </c>
      <c r="N24" s="58">
        <f t="shared" si="5"/>
        <v>11564</v>
      </c>
      <c r="O24" s="58">
        <f t="shared" si="5"/>
        <v>11564</v>
      </c>
      <c r="P24" s="58">
        <f t="shared" si="5"/>
        <v>11564</v>
      </c>
      <c r="Q24" s="58">
        <f t="shared" si="5"/>
        <v>11564</v>
      </c>
      <c r="R24" s="58">
        <f t="shared" si="5"/>
        <v>11564</v>
      </c>
      <c r="S24" s="58">
        <f t="shared" si="5"/>
        <v>11564</v>
      </c>
      <c r="T24" s="58">
        <f t="shared" si="5"/>
        <v>11564</v>
      </c>
      <c r="U24" s="58">
        <f t="shared" si="5"/>
        <v>11564</v>
      </c>
      <c r="V24" s="58">
        <f t="shared" si="5"/>
        <v>11564</v>
      </c>
      <c r="W24" s="58">
        <f t="shared" si="5"/>
        <v>11564</v>
      </c>
      <c r="X24" s="58">
        <f t="shared" si="5"/>
        <v>11564</v>
      </c>
      <c r="Y24" s="58">
        <f t="shared" si="5"/>
        <v>11564</v>
      </c>
      <c r="Z24" s="58">
        <f t="shared" si="5"/>
        <v>11564</v>
      </c>
      <c r="AA24" s="58">
        <f t="shared" si="5"/>
        <v>11564</v>
      </c>
      <c r="AB24" s="58">
        <f t="shared" si="5"/>
        <v>11564</v>
      </c>
      <c r="AC24" s="58">
        <f t="shared" si="5"/>
        <v>11564</v>
      </c>
      <c r="AD24" s="58">
        <f t="shared" si="5"/>
        <v>11564</v>
      </c>
      <c r="AE24" s="58">
        <f t="shared" si="5"/>
        <v>11564</v>
      </c>
      <c r="AF24" s="58">
        <f t="shared" si="5"/>
        <v>11564</v>
      </c>
      <c r="AG24" s="58">
        <f t="shared" si="5"/>
        <v>11564</v>
      </c>
      <c r="AH24" s="58">
        <f t="shared" si="5"/>
        <v>11564</v>
      </c>
      <c r="AI24" s="58">
        <f t="shared" si="5"/>
        <v>11564</v>
      </c>
      <c r="AJ24" s="58">
        <f t="shared" si="5"/>
        <v>11564</v>
      </c>
      <c r="AK24" s="58">
        <f t="shared" si="5"/>
        <v>11564</v>
      </c>
      <c r="AL24" s="58">
        <f t="shared" si="5"/>
        <v>11564</v>
      </c>
    </row>
    <row r="25" spans="1:38" ht="13.15" customHeight="1" x14ac:dyDescent="0.2">
      <c r="A25" s="36" t="s">
        <v>813</v>
      </c>
      <c r="B25" s="314">
        <f>'01 - Dados de Entrada'!$C$107*'01 - Dados de Entrada'!$C$104</f>
        <v>0.01</v>
      </c>
      <c r="C25" s="279">
        <f t="shared" si="2"/>
        <v>404740</v>
      </c>
      <c r="D25" s="46">
        <f>('04 - Veículos e Equipamentos'!B41+'04 - Veículos e Equipamentos'!B42)*('01 - Dados de Entrada'!$C$44)*$B$25+('04 - Veículos e Equipamentos'!B41+'04 - Veículos e Equipamentos'!B42)*'01 - Dados de Entrada'!$C$108</f>
        <v>11564</v>
      </c>
      <c r="E25" s="46">
        <f>('04 - Veículos e Equipamentos'!C41+'04 - Veículos e Equipamentos'!C42)*('01 - Dados de Entrada'!$C$44)*$B$25+('04 - Veículos e Equipamentos'!C41+'04 - Veículos e Equipamentos'!C42)*'01 - Dados de Entrada'!$C$108</f>
        <v>11564</v>
      </c>
      <c r="F25" s="46">
        <f>('04 - Veículos e Equipamentos'!D41+'04 - Veículos e Equipamentos'!D42)*('01 - Dados de Entrada'!$C$44)*$B$25+('04 - Veículos e Equipamentos'!D41+'04 - Veículos e Equipamentos'!D42)*'01 - Dados de Entrada'!$C$108</f>
        <v>11564</v>
      </c>
      <c r="G25" s="46">
        <f>('04 - Veículos e Equipamentos'!E41+'04 - Veículos e Equipamentos'!E42)*('01 - Dados de Entrada'!$C$44)*$B$25+('04 - Veículos e Equipamentos'!E41+'04 - Veículos e Equipamentos'!E42)*'01 - Dados de Entrada'!$C$108</f>
        <v>11564</v>
      </c>
      <c r="H25" s="46">
        <f>('04 - Veículos e Equipamentos'!F41+'04 - Veículos e Equipamentos'!F42)*('01 - Dados de Entrada'!$C$44)*$B$25+('04 - Veículos e Equipamentos'!F41+'04 - Veículos e Equipamentos'!F42)*'01 - Dados de Entrada'!$C$108</f>
        <v>11564</v>
      </c>
      <c r="I25" s="46">
        <f>('04 - Veículos e Equipamentos'!G41+'04 - Veículos e Equipamentos'!G42)*('01 - Dados de Entrada'!$C$44)*$B$25+('04 - Veículos e Equipamentos'!G41+'04 - Veículos e Equipamentos'!G42)*'01 - Dados de Entrada'!$C$108</f>
        <v>11564</v>
      </c>
      <c r="J25" s="46">
        <f>('04 - Veículos e Equipamentos'!H41+'04 - Veículos e Equipamentos'!H42)*('01 - Dados de Entrada'!$C$44)*$B$25+('04 - Veículos e Equipamentos'!H41+'04 - Veículos e Equipamentos'!H42)*'01 - Dados de Entrada'!$C$108</f>
        <v>11564</v>
      </c>
      <c r="K25" s="46">
        <f>('04 - Veículos e Equipamentos'!I41+'04 - Veículos e Equipamentos'!I42)*('01 - Dados de Entrada'!$C$44)*$B$25+('04 - Veículos e Equipamentos'!I41+'04 - Veículos e Equipamentos'!I42)*'01 - Dados de Entrada'!$C$108</f>
        <v>11564</v>
      </c>
      <c r="L25" s="46">
        <f>('04 - Veículos e Equipamentos'!J41+'04 - Veículos e Equipamentos'!J42)*('01 - Dados de Entrada'!$C$44)*$B$25+('04 - Veículos e Equipamentos'!J41+'04 - Veículos e Equipamentos'!J42)*'01 - Dados de Entrada'!$C$108</f>
        <v>11564</v>
      </c>
      <c r="M25" s="46">
        <f>('04 - Veículos e Equipamentos'!K41+'04 - Veículos e Equipamentos'!K42)*('01 - Dados de Entrada'!$C$44)*$B$25+('04 - Veículos e Equipamentos'!K41+'04 - Veículos e Equipamentos'!K42)*'01 - Dados de Entrada'!$C$108</f>
        <v>11564</v>
      </c>
      <c r="N25" s="46">
        <f>('04 - Veículos e Equipamentos'!L41+'04 - Veículos e Equipamentos'!L42)*('01 - Dados de Entrada'!$C$44)*$B$25+('04 - Veículos e Equipamentos'!L41+'04 - Veículos e Equipamentos'!L42)*'01 - Dados de Entrada'!$C$108</f>
        <v>11564</v>
      </c>
      <c r="O25" s="46">
        <f>('04 - Veículos e Equipamentos'!M41+'04 - Veículos e Equipamentos'!M42)*('01 - Dados de Entrada'!$C$44)*$B$25+('04 - Veículos e Equipamentos'!M41+'04 - Veículos e Equipamentos'!M42)*'01 - Dados de Entrada'!$C$108</f>
        <v>11564</v>
      </c>
      <c r="P25" s="46">
        <f>('04 - Veículos e Equipamentos'!N41+'04 - Veículos e Equipamentos'!N42)*('01 - Dados de Entrada'!$C$44)*$B$25+('04 - Veículos e Equipamentos'!N41+'04 - Veículos e Equipamentos'!N42)*'01 - Dados de Entrada'!$C$108</f>
        <v>11564</v>
      </c>
      <c r="Q25" s="46">
        <f>('04 - Veículos e Equipamentos'!O41+'04 - Veículos e Equipamentos'!O42)*('01 - Dados de Entrada'!$C$44)*$B$25+('04 - Veículos e Equipamentos'!O41+'04 - Veículos e Equipamentos'!O42)*'01 - Dados de Entrada'!$C$108</f>
        <v>11564</v>
      </c>
      <c r="R25" s="46">
        <f>('04 - Veículos e Equipamentos'!P41+'04 - Veículos e Equipamentos'!P42)*('01 - Dados de Entrada'!$C$44)*$B$25+('04 - Veículos e Equipamentos'!P41+'04 - Veículos e Equipamentos'!P42)*'01 - Dados de Entrada'!$C$108</f>
        <v>11564</v>
      </c>
      <c r="S25" s="46">
        <f>('04 - Veículos e Equipamentos'!Q41+'04 - Veículos e Equipamentos'!Q42)*('01 - Dados de Entrada'!$C$44)*$B$25+('04 - Veículos e Equipamentos'!Q41+'04 - Veículos e Equipamentos'!Q42)*'01 - Dados de Entrada'!$C$108</f>
        <v>11564</v>
      </c>
      <c r="T25" s="46">
        <f>('04 - Veículos e Equipamentos'!R41+'04 - Veículos e Equipamentos'!R42)*('01 - Dados de Entrada'!$C$44)*$B$25+('04 - Veículos e Equipamentos'!R41+'04 - Veículos e Equipamentos'!R42)*'01 - Dados de Entrada'!$C$108</f>
        <v>11564</v>
      </c>
      <c r="U25" s="46">
        <f>('04 - Veículos e Equipamentos'!S41+'04 - Veículos e Equipamentos'!S42)*('01 - Dados de Entrada'!$C$44)*$B$25+('04 - Veículos e Equipamentos'!S41+'04 - Veículos e Equipamentos'!S42)*'01 - Dados de Entrada'!$C$108</f>
        <v>11564</v>
      </c>
      <c r="V25" s="46">
        <f>('04 - Veículos e Equipamentos'!T41+'04 - Veículos e Equipamentos'!T42)*('01 - Dados de Entrada'!$C$44)*$B$25+('04 - Veículos e Equipamentos'!T41+'04 - Veículos e Equipamentos'!T42)*'01 - Dados de Entrada'!$C$108</f>
        <v>11564</v>
      </c>
      <c r="W25" s="46">
        <f>('04 - Veículos e Equipamentos'!U41+'04 - Veículos e Equipamentos'!U42)*('01 - Dados de Entrada'!$C$44)*$B$25+('04 - Veículos e Equipamentos'!U41+'04 - Veículos e Equipamentos'!U42)*'01 - Dados de Entrada'!$C$108</f>
        <v>11564</v>
      </c>
      <c r="X25" s="46">
        <f>('04 - Veículos e Equipamentos'!V41+'04 - Veículos e Equipamentos'!V42)*('01 - Dados de Entrada'!$C$44)*$B$25+('04 - Veículos e Equipamentos'!V41+'04 - Veículos e Equipamentos'!V42)*'01 - Dados de Entrada'!$C$108</f>
        <v>11564</v>
      </c>
      <c r="Y25" s="46">
        <f>('04 - Veículos e Equipamentos'!W41+'04 - Veículos e Equipamentos'!W42)*('01 - Dados de Entrada'!$C$44)*$B$25+('04 - Veículos e Equipamentos'!W41+'04 - Veículos e Equipamentos'!W42)*'01 - Dados de Entrada'!$C$108</f>
        <v>11564</v>
      </c>
      <c r="Z25" s="46">
        <f>('04 - Veículos e Equipamentos'!X41+'04 - Veículos e Equipamentos'!X42)*('01 - Dados de Entrada'!$C$44)*$B$25+('04 - Veículos e Equipamentos'!X41+'04 - Veículos e Equipamentos'!X42)*'01 - Dados de Entrada'!$C$108</f>
        <v>11564</v>
      </c>
      <c r="AA25" s="46">
        <f>('04 - Veículos e Equipamentos'!Y41+'04 - Veículos e Equipamentos'!Y42)*('01 - Dados de Entrada'!$C$44)*$B$25+('04 - Veículos e Equipamentos'!Y41+'04 - Veículos e Equipamentos'!Y42)*'01 - Dados de Entrada'!$C$108</f>
        <v>11564</v>
      </c>
      <c r="AB25" s="46">
        <f>('04 - Veículos e Equipamentos'!Z41+'04 - Veículos e Equipamentos'!Z42)*('01 - Dados de Entrada'!$C$44)*$B$25+('04 - Veículos e Equipamentos'!Z41+'04 - Veículos e Equipamentos'!Z42)*'01 - Dados de Entrada'!$C$108</f>
        <v>11564</v>
      </c>
      <c r="AC25" s="46">
        <f>('04 - Veículos e Equipamentos'!AA41+'04 - Veículos e Equipamentos'!AA42)*('01 - Dados de Entrada'!$C$44)*$B$25+('04 - Veículos e Equipamentos'!AA41+'04 - Veículos e Equipamentos'!AA42)*'01 - Dados de Entrada'!$C$108</f>
        <v>11564</v>
      </c>
      <c r="AD25" s="46">
        <f>('04 - Veículos e Equipamentos'!AB41+'04 - Veículos e Equipamentos'!AB42)*('01 - Dados de Entrada'!$C$44)*$B$25+('04 - Veículos e Equipamentos'!AB41+'04 - Veículos e Equipamentos'!AB42)*'01 - Dados de Entrada'!$C$108</f>
        <v>11564</v>
      </c>
      <c r="AE25" s="46">
        <f>('04 - Veículos e Equipamentos'!AC41+'04 - Veículos e Equipamentos'!AC42)*('01 - Dados de Entrada'!$C$44)*$B$25+('04 - Veículos e Equipamentos'!AC41+'04 - Veículos e Equipamentos'!AC42)*'01 - Dados de Entrada'!$C$108</f>
        <v>11564</v>
      </c>
      <c r="AF25" s="46">
        <f>('04 - Veículos e Equipamentos'!AD41+'04 - Veículos e Equipamentos'!AD42)*('01 - Dados de Entrada'!$C$44)*$B$25+('04 - Veículos e Equipamentos'!AD41+'04 - Veículos e Equipamentos'!AD42)*'01 - Dados de Entrada'!$C$108</f>
        <v>11564</v>
      </c>
      <c r="AG25" s="46">
        <f>('04 - Veículos e Equipamentos'!AE41+'04 - Veículos e Equipamentos'!AE42)*('01 - Dados de Entrada'!$C$44)*$B$25+('04 - Veículos e Equipamentos'!AE41+'04 - Veículos e Equipamentos'!AE42)*'01 - Dados de Entrada'!$C$108</f>
        <v>11564</v>
      </c>
      <c r="AH25" s="46">
        <f>('04 - Veículos e Equipamentos'!AF41+'04 - Veículos e Equipamentos'!AF42)*('01 - Dados de Entrada'!$C$44)*$B$25+('04 - Veículos e Equipamentos'!AF41+'04 - Veículos e Equipamentos'!AF42)*'01 - Dados de Entrada'!$C$108</f>
        <v>11564</v>
      </c>
      <c r="AI25" s="46">
        <f>('04 - Veículos e Equipamentos'!AG41+'04 - Veículos e Equipamentos'!AG42)*('01 - Dados de Entrada'!$C$44)*$B$25+('04 - Veículos e Equipamentos'!AG41+'04 - Veículos e Equipamentos'!AG42)*'01 - Dados de Entrada'!$C$108</f>
        <v>11564</v>
      </c>
      <c r="AJ25" s="46">
        <f>('04 - Veículos e Equipamentos'!AH41+'04 - Veículos e Equipamentos'!AH42)*('01 - Dados de Entrada'!$C$44)*$B$25+('04 - Veículos e Equipamentos'!AH41+'04 - Veículos e Equipamentos'!AH42)*'01 - Dados de Entrada'!$C$108</f>
        <v>11564</v>
      </c>
      <c r="AK25" s="46">
        <f>('04 - Veículos e Equipamentos'!AI41+'04 - Veículos e Equipamentos'!AI42)*('01 - Dados de Entrada'!$C$44)*$B$25+('04 - Veículos e Equipamentos'!AI41+'04 - Veículos e Equipamentos'!AI42)*'01 - Dados de Entrada'!$C$108</f>
        <v>11564</v>
      </c>
      <c r="AL25" s="46">
        <f>('04 - Veículos e Equipamentos'!AJ41+'04 - Veículos e Equipamentos'!AJ42)*('01 - Dados de Entrada'!$C$44)*$B$25+('04 - Veículos e Equipamentos'!AJ41+'04 - Veículos e Equipamentos'!AJ42)*'01 - Dados de Entrada'!$C$108</f>
        <v>11564</v>
      </c>
    </row>
    <row r="26" spans="1:38" ht="13.15" customHeight="1" x14ac:dyDescent="0.2">
      <c r="A26" s="59" t="s">
        <v>880</v>
      </c>
      <c r="B26" s="512"/>
      <c r="C26" s="58">
        <f t="shared" si="2"/>
        <v>596386.69999999995</v>
      </c>
      <c r="D26" s="58">
        <f t="shared" ref="D26:AG26" si="6">SUM(D27:D30)</f>
        <v>17039.620000000003</v>
      </c>
      <c r="E26" s="58">
        <f t="shared" si="6"/>
        <v>17039.620000000003</v>
      </c>
      <c r="F26" s="58">
        <f t="shared" si="6"/>
        <v>17039.620000000003</v>
      </c>
      <c r="G26" s="58">
        <f t="shared" si="6"/>
        <v>17039.620000000003</v>
      </c>
      <c r="H26" s="58">
        <f t="shared" si="6"/>
        <v>17039.620000000003</v>
      </c>
      <c r="I26" s="58">
        <f t="shared" si="6"/>
        <v>17039.620000000003</v>
      </c>
      <c r="J26" s="58">
        <f t="shared" si="6"/>
        <v>17039.620000000003</v>
      </c>
      <c r="K26" s="58">
        <f t="shared" si="6"/>
        <v>17039.620000000003</v>
      </c>
      <c r="L26" s="58">
        <f t="shared" si="6"/>
        <v>17039.620000000003</v>
      </c>
      <c r="M26" s="58">
        <f t="shared" si="6"/>
        <v>17039.620000000003</v>
      </c>
      <c r="N26" s="58">
        <f t="shared" si="6"/>
        <v>17039.620000000003</v>
      </c>
      <c r="O26" s="58">
        <f t="shared" si="6"/>
        <v>17039.620000000003</v>
      </c>
      <c r="P26" s="58">
        <f t="shared" si="6"/>
        <v>17039.620000000003</v>
      </c>
      <c r="Q26" s="58">
        <f t="shared" si="6"/>
        <v>17039.620000000003</v>
      </c>
      <c r="R26" s="58">
        <f t="shared" si="6"/>
        <v>17039.620000000003</v>
      </c>
      <c r="S26" s="58">
        <f t="shared" si="6"/>
        <v>17039.620000000003</v>
      </c>
      <c r="T26" s="58">
        <f t="shared" si="6"/>
        <v>17039.620000000003</v>
      </c>
      <c r="U26" s="58">
        <f t="shared" si="6"/>
        <v>17039.620000000003</v>
      </c>
      <c r="V26" s="58">
        <f t="shared" si="6"/>
        <v>17039.620000000003</v>
      </c>
      <c r="W26" s="58">
        <f t="shared" si="6"/>
        <v>17039.620000000003</v>
      </c>
      <c r="X26" s="58">
        <f t="shared" si="6"/>
        <v>17039.620000000003</v>
      </c>
      <c r="Y26" s="58">
        <f t="shared" si="6"/>
        <v>17039.620000000003</v>
      </c>
      <c r="Z26" s="58">
        <f t="shared" si="6"/>
        <v>17039.620000000003</v>
      </c>
      <c r="AA26" s="58">
        <f t="shared" si="6"/>
        <v>17039.620000000003</v>
      </c>
      <c r="AB26" s="58">
        <f t="shared" si="6"/>
        <v>17039.620000000003</v>
      </c>
      <c r="AC26" s="58">
        <f t="shared" si="6"/>
        <v>17039.620000000003</v>
      </c>
      <c r="AD26" s="58">
        <f t="shared" si="6"/>
        <v>17039.620000000003</v>
      </c>
      <c r="AE26" s="58">
        <f t="shared" si="6"/>
        <v>17039.620000000003</v>
      </c>
      <c r="AF26" s="58">
        <f t="shared" si="6"/>
        <v>17039.620000000003</v>
      </c>
      <c r="AG26" s="58">
        <f t="shared" si="6"/>
        <v>17039.620000000003</v>
      </c>
      <c r="AH26" s="58">
        <f>SUM(AH27:AH30)</f>
        <v>17039.620000000003</v>
      </c>
      <c r="AI26" s="58">
        <f>SUM(AI27:AI30)</f>
        <v>17039.620000000003</v>
      </c>
      <c r="AJ26" s="58">
        <f>SUM(AJ27:AJ30)</f>
        <v>17039.620000000003</v>
      </c>
      <c r="AK26" s="58">
        <f>SUM(AK27:AK30)</f>
        <v>17039.620000000003</v>
      </c>
      <c r="AL26" s="58">
        <f>SUM(AL27:AL30)</f>
        <v>17039.620000000003</v>
      </c>
    </row>
    <row r="27" spans="1:38" ht="13.15" customHeight="1" x14ac:dyDescent="0.2">
      <c r="A27" s="34" t="s">
        <v>1051</v>
      </c>
      <c r="B27" s="314">
        <f>'01 - Dados de Entrada'!$C$107*'01 - Dados de Entrada'!$C$104</f>
        <v>0.01</v>
      </c>
      <c r="C27" s="279">
        <f t="shared" si="2"/>
        <v>202370</v>
      </c>
      <c r="D27" s="46">
        <f>$B$27*'04 - Veículos e Equipamentos'!B44*'01 - Dados de Entrada'!$C$65+'04 - Veículos e Equipamentos'!B44*'01 - Dados de Entrada'!$C$108</f>
        <v>5782</v>
      </c>
      <c r="E27" s="46">
        <f>$B$27*'04 - Veículos e Equipamentos'!C44*'01 - Dados de Entrada'!$C$65+'04 - Veículos e Equipamentos'!C44*'01 - Dados de Entrada'!$C$108</f>
        <v>5782</v>
      </c>
      <c r="F27" s="46">
        <f>$B$27*'04 - Veículos e Equipamentos'!D44*'01 - Dados de Entrada'!$C$65+'04 - Veículos e Equipamentos'!D44*'01 - Dados de Entrada'!$C$108</f>
        <v>5782</v>
      </c>
      <c r="G27" s="46">
        <f>$B$27*'04 - Veículos e Equipamentos'!E44*'01 - Dados de Entrada'!$C$65+'04 - Veículos e Equipamentos'!E44*'01 - Dados de Entrada'!$C$108</f>
        <v>5782</v>
      </c>
      <c r="H27" s="46">
        <f>$B$27*'04 - Veículos e Equipamentos'!F44*'01 - Dados de Entrada'!$C$65+'04 - Veículos e Equipamentos'!F44*'01 - Dados de Entrada'!$C$108</f>
        <v>5782</v>
      </c>
      <c r="I27" s="46">
        <f>$B$27*'04 - Veículos e Equipamentos'!G44*'01 - Dados de Entrada'!$C$65+'04 - Veículos e Equipamentos'!G44*'01 - Dados de Entrada'!$C$108</f>
        <v>5782</v>
      </c>
      <c r="J27" s="46">
        <f>$B$27*'04 - Veículos e Equipamentos'!H44*'01 - Dados de Entrada'!$C$65+'04 - Veículos e Equipamentos'!H44*'01 - Dados de Entrada'!$C$108</f>
        <v>5782</v>
      </c>
      <c r="K27" s="46">
        <f>$B$27*'04 - Veículos e Equipamentos'!I44*'01 - Dados de Entrada'!$C$65+'04 - Veículos e Equipamentos'!I44*'01 - Dados de Entrada'!$C$108</f>
        <v>5782</v>
      </c>
      <c r="L27" s="46">
        <f>$B$27*'04 - Veículos e Equipamentos'!J44*'01 - Dados de Entrada'!$C$65+'04 - Veículos e Equipamentos'!J44*'01 - Dados de Entrada'!$C$108</f>
        <v>5782</v>
      </c>
      <c r="M27" s="46">
        <f>$B$27*'04 - Veículos e Equipamentos'!K44*'01 - Dados de Entrada'!$C$65+'04 - Veículos e Equipamentos'!K44*'01 - Dados de Entrada'!$C$108</f>
        <v>5782</v>
      </c>
      <c r="N27" s="46">
        <f>$B$27*'04 - Veículos e Equipamentos'!L44*'01 - Dados de Entrada'!$C$65+'04 - Veículos e Equipamentos'!L44*'01 - Dados de Entrada'!$C$108</f>
        <v>5782</v>
      </c>
      <c r="O27" s="46">
        <f>$B$27*'04 - Veículos e Equipamentos'!M44*'01 - Dados de Entrada'!$C$65+'04 - Veículos e Equipamentos'!M44*'01 - Dados de Entrada'!$C$108</f>
        <v>5782</v>
      </c>
      <c r="P27" s="46">
        <f>$B$27*'04 - Veículos e Equipamentos'!N44*'01 - Dados de Entrada'!$C$65+'04 - Veículos e Equipamentos'!N44*'01 - Dados de Entrada'!$C$108</f>
        <v>5782</v>
      </c>
      <c r="Q27" s="46">
        <f>$B$27*'04 - Veículos e Equipamentos'!O44*'01 - Dados de Entrada'!$C$65+'04 - Veículos e Equipamentos'!O44*'01 - Dados de Entrada'!$C$108</f>
        <v>5782</v>
      </c>
      <c r="R27" s="46">
        <f>$B$27*'04 - Veículos e Equipamentos'!P44*'01 - Dados de Entrada'!$C$65+'04 - Veículos e Equipamentos'!P44*'01 - Dados de Entrada'!$C$108</f>
        <v>5782</v>
      </c>
      <c r="S27" s="46">
        <f>$B$27*'04 - Veículos e Equipamentos'!Q44*'01 - Dados de Entrada'!$C$65+'04 - Veículos e Equipamentos'!Q44*'01 - Dados de Entrada'!$C$108</f>
        <v>5782</v>
      </c>
      <c r="T27" s="46">
        <f>$B$27*'04 - Veículos e Equipamentos'!R44*'01 - Dados de Entrada'!$C$65+'04 - Veículos e Equipamentos'!R44*'01 - Dados de Entrada'!$C$108</f>
        <v>5782</v>
      </c>
      <c r="U27" s="46">
        <f>$B$27*'04 - Veículos e Equipamentos'!S44*'01 - Dados de Entrada'!$C$65+'04 - Veículos e Equipamentos'!S44*'01 - Dados de Entrada'!$C$108</f>
        <v>5782</v>
      </c>
      <c r="V27" s="46">
        <f>$B$27*'04 - Veículos e Equipamentos'!T44*'01 - Dados de Entrada'!$C$65+'04 - Veículos e Equipamentos'!T44*'01 - Dados de Entrada'!$C$108</f>
        <v>5782</v>
      </c>
      <c r="W27" s="46">
        <f>$B$27*'04 - Veículos e Equipamentos'!U44*'01 - Dados de Entrada'!$C$65+'04 - Veículos e Equipamentos'!U44*'01 - Dados de Entrada'!$C$108</f>
        <v>5782</v>
      </c>
      <c r="X27" s="46">
        <f>$B$27*'04 - Veículos e Equipamentos'!V44*'01 - Dados de Entrada'!$C$65+'04 - Veículos e Equipamentos'!V44*'01 - Dados de Entrada'!$C$108</f>
        <v>5782</v>
      </c>
      <c r="Y27" s="46">
        <f>$B$27*'04 - Veículos e Equipamentos'!W44*'01 - Dados de Entrada'!$C$65+'04 - Veículos e Equipamentos'!W44*'01 - Dados de Entrada'!$C$108</f>
        <v>5782</v>
      </c>
      <c r="Z27" s="46">
        <f>$B$27*'04 - Veículos e Equipamentos'!X44*'01 - Dados de Entrada'!$C$65+'04 - Veículos e Equipamentos'!X44*'01 - Dados de Entrada'!$C$108</f>
        <v>5782</v>
      </c>
      <c r="AA27" s="46">
        <f>$B$27*'04 - Veículos e Equipamentos'!Y44*'01 - Dados de Entrada'!$C$65+'04 - Veículos e Equipamentos'!Y44*'01 - Dados de Entrada'!$C$108</f>
        <v>5782</v>
      </c>
      <c r="AB27" s="46">
        <f>$B$27*'04 - Veículos e Equipamentos'!Z44*'01 - Dados de Entrada'!$C$65+'04 - Veículos e Equipamentos'!Z44*'01 - Dados de Entrada'!$C$108</f>
        <v>5782</v>
      </c>
      <c r="AC27" s="46">
        <f>$B$27*'04 - Veículos e Equipamentos'!AA44*'01 - Dados de Entrada'!$C$65+'04 - Veículos e Equipamentos'!AA44*'01 - Dados de Entrada'!$C$108</f>
        <v>5782</v>
      </c>
      <c r="AD27" s="46">
        <f>$B$27*'04 - Veículos e Equipamentos'!AB44*'01 - Dados de Entrada'!$C$65+'04 - Veículos e Equipamentos'!AB44*'01 - Dados de Entrada'!$C$108</f>
        <v>5782</v>
      </c>
      <c r="AE27" s="46">
        <f>$B$27*'04 - Veículos e Equipamentos'!AC44*'01 - Dados de Entrada'!$C$65+'04 - Veículos e Equipamentos'!AC44*'01 - Dados de Entrada'!$C$108</f>
        <v>5782</v>
      </c>
      <c r="AF27" s="46">
        <f>$B$27*'04 - Veículos e Equipamentos'!AD44*'01 - Dados de Entrada'!$C$65+'04 - Veículos e Equipamentos'!AD44*'01 - Dados de Entrada'!$C$108</f>
        <v>5782</v>
      </c>
      <c r="AG27" s="46">
        <f>$B$27*'04 - Veículos e Equipamentos'!AE44*'01 - Dados de Entrada'!$C$65+'04 - Veículos e Equipamentos'!AE44*'01 - Dados de Entrada'!$C$108</f>
        <v>5782</v>
      </c>
      <c r="AH27" s="46">
        <f>$B$27*'04 - Veículos e Equipamentos'!AF44*'01 - Dados de Entrada'!$C$65+'04 - Veículos e Equipamentos'!AF44*'01 - Dados de Entrada'!$C$108</f>
        <v>5782</v>
      </c>
      <c r="AI27" s="46">
        <f>$B$27*'04 - Veículos e Equipamentos'!AG44*'01 - Dados de Entrada'!$C$65+'04 - Veículos e Equipamentos'!AG44*'01 - Dados de Entrada'!$C$108</f>
        <v>5782</v>
      </c>
      <c r="AJ27" s="46">
        <f>$B$27*'04 - Veículos e Equipamentos'!AH44*'01 - Dados de Entrada'!$C$65+'04 - Veículos e Equipamentos'!AH44*'01 - Dados de Entrada'!$C$108</f>
        <v>5782</v>
      </c>
      <c r="AK27" s="46">
        <f>$B$27*'04 - Veículos e Equipamentos'!AI44*'01 - Dados de Entrada'!$C$65+'04 - Veículos e Equipamentos'!AI44*'01 - Dados de Entrada'!$C$108</f>
        <v>5782</v>
      </c>
      <c r="AL27" s="46">
        <f>$B$27*'04 - Veículos e Equipamentos'!AJ44*'01 - Dados de Entrada'!$C$65+'04 - Veículos e Equipamentos'!AJ44*'01 - Dados de Entrada'!$C$108</f>
        <v>5782</v>
      </c>
    </row>
    <row r="28" spans="1:38" ht="13.15" customHeight="1" x14ac:dyDescent="0.2">
      <c r="A28" s="34" t="s">
        <v>565</v>
      </c>
      <c r="B28" s="314">
        <f>'01 - Dados de Entrada'!$C$107*'01 - Dados de Entrada'!$C$105</f>
        <v>0.01</v>
      </c>
      <c r="C28" s="279">
        <f t="shared" si="2"/>
        <v>245000</v>
      </c>
      <c r="D28" s="46">
        <f>$B$28*'04 - Veículos e Equipamentos'!B51*'01 - Dados de Entrada'!$C$74+'04 - Veículos e Equipamentos'!B51*'01 - Dados de Entrada'!$C$111</f>
        <v>7000</v>
      </c>
      <c r="E28" s="46">
        <f>$B$28*'04 - Veículos e Equipamentos'!C51*'01 - Dados de Entrada'!$C$74+'04 - Veículos e Equipamentos'!C51*'01 - Dados de Entrada'!$C$111</f>
        <v>7000</v>
      </c>
      <c r="F28" s="46">
        <f>$B$28*'04 - Veículos e Equipamentos'!D51*'01 - Dados de Entrada'!$C$74+'04 - Veículos e Equipamentos'!D51*'01 - Dados de Entrada'!$C$111</f>
        <v>7000</v>
      </c>
      <c r="G28" s="46">
        <f>$B$28*'04 - Veículos e Equipamentos'!E51*'01 - Dados de Entrada'!$C$74+'04 - Veículos e Equipamentos'!E51*'01 - Dados de Entrada'!$C$111</f>
        <v>7000</v>
      </c>
      <c r="H28" s="46">
        <f>$B$28*'04 - Veículos e Equipamentos'!F51*'01 - Dados de Entrada'!$C$74+'04 - Veículos e Equipamentos'!F51*'01 - Dados de Entrada'!$C$111</f>
        <v>7000</v>
      </c>
      <c r="I28" s="46">
        <f>$B$28*'04 - Veículos e Equipamentos'!G51*'01 - Dados de Entrada'!$C$74+'04 - Veículos e Equipamentos'!G51*'01 - Dados de Entrada'!$C$111</f>
        <v>7000</v>
      </c>
      <c r="J28" s="46">
        <f>$B$28*'04 - Veículos e Equipamentos'!H51*'01 - Dados de Entrada'!$C$74+'04 - Veículos e Equipamentos'!H51*'01 - Dados de Entrada'!$C$111</f>
        <v>7000</v>
      </c>
      <c r="K28" s="46">
        <f>$B$28*'04 - Veículos e Equipamentos'!I51*'01 - Dados de Entrada'!$C$74+'04 - Veículos e Equipamentos'!I51*'01 - Dados de Entrada'!$C$111</f>
        <v>7000</v>
      </c>
      <c r="L28" s="46">
        <f>$B$28*'04 - Veículos e Equipamentos'!J51*'01 - Dados de Entrada'!$C$74+'04 - Veículos e Equipamentos'!J51*'01 - Dados de Entrada'!$C$111</f>
        <v>7000</v>
      </c>
      <c r="M28" s="46">
        <f>$B$28*'04 - Veículos e Equipamentos'!K51*'01 - Dados de Entrada'!$C$74+'04 - Veículos e Equipamentos'!K51*'01 - Dados de Entrada'!$C$111</f>
        <v>7000</v>
      </c>
      <c r="N28" s="46">
        <f>$B$28*'04 - Veículos e Equipamentos'!L51*'01 - Dados de Entrada'!$C$74+'04 - Veículos e Equipamentos'!L51*'01 - Dados de Entrada'!$C$111</f>
        <v>7000</v>
      </c>
      <c r="O28" s="46">
        <f>$B$28*'04 - Veículos e Equipamentos'!M51*'01 - Dados de Entrada'!$C$74+'04 - Veículos e Equipamentos'!M51*'01 - Dados de Entrada'!$C$111</f>
        <v>7000</v>
      </c>
      <c r="P28" s="46">
        <f>$B$28*'04 - Veículos e Equipamentos'!N51*'01 - Dados de Entrada'!$C$74+'04 - Veículos e Equipamentos'!N51*'01 - Dados de Entrada'!$C$111</f>
        <v>7000</v>
      </c>
      <c r="Q28" s="46">
        <f>$B$28*'04 - Veículos e Equipamentos'!O51*'01 - Dados de Entrada'!$C$74+'04 - Veículos e Equipamentos'!O51*'01 - Dados de Entrada'!$C$111</f>
        <v>7000</v>
      </c>
      <c r="R28" s="46">
        <f>$B$28*'04 - Veículos e Equipamentos'!P51*'01 - Dados de Entrada'!$C$74+'04 - Veículos e Equipamentos'!P51*'01 - Dados de Entrada'!$C$111</f>
        <v>7000</v>
      </c>
      <c r="S28" s="46">
        <f>$B$28*'04 - Veículos e Equipamentos'!Q51*'01 - Dados de Entrada'!$C$74+'04 - Veículos e Equipamentos'!Q51*'01 - Dados de Entrada'!$C$111</f>
        <v>7000</v>
      </c>
      <c r="T28" s="46">
        <f>$B$28*'04 - Veículos e Equipamentos'!R51*'01 - Dados de Entrada'!$C$74+'04 - Veículos e Equipamentos'!R51*'01 - Dados de Entrada'!$C$111</f>
        <v>7000</v>
      </c>
      <c r="U28" s="46">
        <f>$B$28*'04 - Veículos e Equipamentos'!S51*'01 - Dados de Entrada'!$C$74+'04 - Veículos e Equipamentos'!S51*'01 - Dados de Entrada'!$C$111</f>
        <v>7000</v>
      </c>
      <c r="V28" s="46">
        <f>$B$28*'04 - Veículos e Equipamentos'!T51*'01 - Dados de Entrada'!$C$74+'04 - Veículos e Equipamentos'!T51*'01 - Dados de Entrada'!$C$111</f>
        <v>7000</v>
      </c>
      <c r="W28" s="46">
        <f>$B$28*'04 - Veículos e Equipamentos'!U51*'01 - Dados de Entrada'!$C$74+'04 - Veículos e Equipamentos'!U51*'01 - Dados de Entrada'!$C$111</f>
        <v>7000</v>
      </c>
      <c r="X28" s="46">
        <f>$B$28*'04 - Veículos e Equipamentos'!V51*'01 - Dados de Entrada'!$C$74+'04 - Veículos e Equipamentos'!V51*'01 - Dados de Entrada'!$C$111</f>
        <v>7000</v>
      </c>
      <c r="Y28" s="46">
        <f>$B$28*'04 - Veículos e Equipamentos'!W51*'01 - Dados de Entrada'!$C$74+'04 - Veículos e Equipamentos'!W51*'01 - Dados de Entrada'!$C$111</f>
        <v>7000</v>
      </c>
      <c r="Z28" s="46">
        <f>$B$28*'04 - Veículos e Equipamentos'!X51*'01 - Dados de Entrada'!$C$74+'04 - Veículos e Equipamentos'!X51*'01 - Dados de Entrada'!$C$111</f>
        <v>7000</v>
      </c>
      <c r="AA28" s="46">
        <f>$B$28*'04 - Veículos e Equipamentos'!Y51*'01 - Dados de Entrada'!$C$74+'04 - Veículos e Equipamentos'!Y51*'01 - Dados de Entrada'!$C$111</f>
        <v>7000</v>
      </c>
      <c r="AB28" s="46">
        <f>$B$28*'04 - Veículos e Equipamentos'!Z51*'01 - Dados de Entrada'!$C$74+'04 - Veículos e Equipamentos'!Z51*'01 - Dados de Entrada'!$C$111</f>
        <v>7000</v>
      </c>
      <c r="AC28" s="46">
        <f>$B$28*'04 - Veículos e Equipamentos'!AA51*'01 - Dados de Entrada'!$C$74+'04 - Veículos e Equipamentos'!AA51*'01 - Dados de Entrada'!$C$111</f>
        <v>7000</v>
      </c>
      <c r="AD28" s="46">
        <f>$B$28*'04 - Veículos e Equipamentos'!AB51*'01 - Dados de Entrada'!$C$74+'04 - Veículos e Equipamentos'!AB51*'01 - Dados de Entrada'!$C$111</f>
        <v>7000</v>
      </c>
      <c r="AE28" s="46">
        <f>$B$28*'04 - Veículos e Equipamentos'!AC51*'01 - Dados de Entrada'!$C$74+'04 - Veículos e Equipamentos'!AC51*'01 - Dados de Entrada'!$C$111</f>
        <v>7000</v>
      </c>
      <c r="AF28" s="46">
        <f>$B$28*'04 - Veículos e Equipamentos'!AD51*'01 - Dados de Entrada'!$C$74+'04 - Veículos e Equipamentos'!AD51*'01 - Dados de Entrada'!$C$111</f>
        <v>7000</v>
      </c>
      <c r="AG28" s="46">
        <f>$B$28*'04 - Veículos e Equipamentos'!AE51*'01 - Dados de Entrada'!$C$74+'04 - Veículos e Equipamentos'!AE51*'01 - Dados de Entrada'!$C$111</f>
        <v>7000</v>
      </c>
      <c r="AH28" s="46">
        <f>$B$28*'04 - Veículos e Equipamentos'!AF51*'01 - Dados de Entrada'!$C$74+'04 - Veículos e Equipamentos'!AF51*'01 - Dados de Entrada'!$C$111</f>
        <v>7000</v>
      </c>
      <c r="AI28" s="46">
        <f>$B$28*'04 - Veículos e Equipamentos'!AG51*'01 - Dados de Entrada'!$C$74+'04 - Veículos e Equipamentos'!AG51*'01 - Dados de Entrada'!$C$111</f>
        <v>7000</v>
      </c>
      <c r="AJ28" s="46">
        <f>$B$28*'04 - Veículos e Equipamentos'!AH51*'01 - Dados de Entrada'!$C$74+'04 - Veículos e Equipamentos'!AH51*'01 - Dados de Entrada'!$C$111</f>
        <v>7000</v>
      </c>
      <c r="AK28" s="46">
        <f>$B$28*'04 - Veículos e Equipamentos'!AI51*'01 - Dados de Entrada'!$C$74+'04 - Veículos e Equipamentos'!AI51*'01 - Dados de Entrada'!$C$111</f>
        <v>7000</v>
      </c>
      <c r="AL28" s="46">
        <f>$B$28*'04 - Veículos e Equipamentos'!AJ51*'01 - Dados de Entrada'!$C$74+'04 - Veículos e Equipamentos'!AJ51*'01 - Dados de Entrada'!$C$111</f>
        <v>7000</v>
      </c>
    </row>
    <row r="29" spans="1:38" ht="13.15" customHeight="1" x14ac:dyDescent="0.2">
      <c r="A29" s="34" t="s">
        <v>582</v>
      </c>
      <c r="B29" s="314">
        <f>'01 - Dados de Entrada'!$C$107*'01 - Dados de Entrada'!$C$105</f>
        <v>0.01</v>
      </c>
      <c r="C29" s="279">
        <f t="shared" si="2"/>
        <v>138030.90000000005</v>
      </c>
      <c r="D29" s="46">
        <f>$B$28*'04 - Veículos e Equipamentos'!B52*'01 - Dados de Entrada'!$C$75+'04 - Veículos e Equipamentos'!B52*'01 - Dados de Entrada'!$C$111</f>
        <v>3943.7400000000002</v>
      </c>
      <c r="E29" s="46">
        <f>$B$28*'04 - Veículos e Equipamentos'!C52*'01 - Dados de Entrada'!$C$75+'04 - Veículos e Equipamentos'!C52*'01 - Dados de Entrada'!$C$111</f>
        <v>3943.7400000000002</v>
      </c>
      <c r="F29" s="46">
        <f>$B$28*'04 - Veículos e Equipamentos'!D52*'01 - Dados de Entrada'!$C$75+'04 - Veículos e Equipamentos'!D52*'01 - Dados de Entrada'!$C$111</f>
        <v>3943.7400000000002</v>
      </c>
      <c r="G29" s="46">
        <f>$B$28*'04 - Veículos e Equipamentos'!E52*'01 - Dados de Entrada'!$C$75+'04 - Veículos e Equipamentos'!E52*'01 - Dados de Entrada'!$C$111</f>
        <v>3943.7400000000002</v>
      </c>
      <c r="H29" s="46">
        <f>$B$28*'04 - Veículos e Equipamentos'!F52*'01 - Dados de Entrada'!$C$75+'04 - Veículos e Equipamentos'!F52*'01 - Dados de Entrada'!$C$111</f>
        <v>3943.7400000000002</v>
      </c>
      <c r="I29" s="46">
        <f>$B$28*'04 - Veículos e Equipamentos'!G52*'01 - Dados de Entrada'!$C$75+'04 - Veículos e Equipamentos'!G52*'01 - Dados de Entrada'!$C$111</f>
        <v>3943.7400000000002</v>
      </c>
      <c r="J29" s="46">
        <f>$B$28*'04 - Veículos e Equipamentos'!H52*'01 - Dados de Entrada'!$C$75+'04 - Veículos e Equipamentos'!H52*'01 - Dados de Entrada'!$C$111</f>
        <v>3943.7400000000002</v>
      </c>
      <c r="K29" s="46">
        <f>$B$28*'04 - Veículos e Equipamentos'!I52*'01 - Dados de Entrada'!$C$75+'04 - Veículos e Equipamentos'!I52*'01 - Dados de Entrada'!$C$111</f>
        <v>3943.7400000000002</v>
      </c>
      <c r="L29" s="46">
        <f>$B$28*'04 - Veículos e Equipamentos'!J52*'01 - Dados de Entrada'!$C$75+'04 - Veículos e Equipamentos'!J52*'01 - Dados de Entrada'!$C$111</f>
        <v>3943.7400000000002</v>
      </c>
      <c r="M29" s="46">
        <f>$B$28*'04 - Veículos e Equipamentos'!K52*'01 - Dados de Entrada'!$C$75+'04 - Veículos e Equipamentos'!K52*'01 - Dados de Entrada'!$C$111</f>
        <v>3943.7400000000002</v>
      </c>
      <c r="N29" s="46">
        <f>$B$28*'04 - Veículos e Equipamentos'!L52*'01 - Dados de Entrada'!$C$75+'04 - Veículos e Equipamentos'!L52*'01 - Dados de Entrada'!$C$111</f>
        <v>3943.7400000000002</v>
      </c>
      <c r="O29" s="46">
        <f>$B$28*'04 - Veículos e Equipamentos'!M52*'01 - Dados de Entrada'!$C$75+'04 - Veículos e Equipamentos'!M52*'01 - Dados de Entrada'!$C$111</f>
        <v>3943.7400000000002</v>
      </c>
      <c r="P29" s="46">
        <f>$B$28*'04 - Veículos e Equipamentos'!N52*'01 - Dados de Entrada'!$C$75+'04 - Veículos e Equipamentos'!N52*'01 - Dados de Entrada'!$C$111</f>
        <v>3943.7400000000002</v>
      </c>
      <c r="Q29" s="46">
        <f>$B$28*'04 - Veículos e Equipamentos'!O52*'01 - Dados de Entrada'!$C$75+'04 - Veículos e Equipamentos'!O52*'01 - Dados de Entrada'!$C$111</f>
        <v>3943.7400000000002</v>
      </c>
      <c r="R29" s="46">
        <f>$B$28*'04 - Veículos e Equipamentos'!P52*'01 - Dados de Entrada'!$C$75+'04 - Veículos e Equipamentos'!P52*'01 - Dados de Entrada'!$C$111</f>
        <v>3943.7400000000002</v>
      </c>
      <c r="S29" s="46">
        <f>$B$28*'04 - Veículos e Equipamentos'!Q52*'01 - Dados de Entrada'!$C$75+'04 - Veículos e Equipamentos'!Q52*'01 - Dados de Entrada'!$C$111</f>
        <v>3943.7400000000002</v>
      </c>
      <c r="T29" s="46">
        <f>$B$28*'04 - Veículos e Equipamentos'!R52*'01 - Dados de Entrada'!$C$75+'04 - Veículos e Equipamentos'!R52*'01 - Dados de Entrada'!$C$111</f>
        <v>3943.7400000000002</v>
      </c>
      <c r="U29" s="46">
        <f>$B$28*'04 - Veículos e Equipamentos'!S52*'01 - Dados de Entrada'!$C$75+'04 - Veículos e Equipamentos'!S52*'01 - Dados de Entrada'!$C$111</f>
        <v>3943.7400000000002</v>
      </c>
      <c r="V29" s="46">
        <f>$B$28*'04 - Veículos e Equipamentos'!T52*'01 - Dados de Entrada'!$C$75+'04 - Veículos e Equipamentos'!T52*'01 - Dados de Entrada'!$C$111</f>
        <v>3943.7400000000002</v>
      </c>
      <c r="W29" s="46">
        <f>$B$28*'04 - Veículos e Equipamentos'!U52*'01 - Dados de Entrada'!$C$75+'04 - Veículos e Equipamentos'!U52*'01 - Dados de Entrada'!$C$111</f>
        <v>3943.7400000000002</v>
      </c>
      <c r="X29" s="46">
        <f>$B$28*'04 - Veículos e Equipamentos'!V52*'01 - Dados de Entrada'!$C$75+'04 - Veículos e Equipamentos'!V52*'01 - Dados de Entrada'!$C$111</f>
        <v>3943.7400000000002</v>
      </c>
      <c r="Y29" s="46">
        <f>$B$28*'04 - Veículos e Equipamentos'!W52*'01 - Dados de Entrada'!$C$75+'04 - Veículos e Equipamentos'!W52*'01 - Dados de Entrada'!$C$111</f>
        <v>3943.7400000000002</v>
      </c>
      <c r="Z29" s="46">
        <f>$B$28*'04 - Veículos e Equipamentos'!X52*'01 - Dados de Entrada'!$C$75+'04 - Veículos e Equipamentos'!X52*'01 - Dados de Entrada'!$C$111</f>
        <v>3943.7400000000002</v>
      </c>
      <c r="AA29" s="46">
        <f>$B$28*'04 - Veículos e Equipamentos'!Y52*'01 - Dados de Entrada'!$C$75+'04 - Veículos e Equipamentos'!Y52*'01 - Dados de Entrada'!$C$111</f>
        <v>3943.7400000000002</v>
      </c>
      <c r="AB29" s="46">
        <f>$B$28*'04 - Veículos e Equipamentos'!Z52*'01 - Dados de Entrada'!$C$75+'04 - Veículos e Equipamentos'!Z52*'01 - Dados de Entrada'!$C$111</f>
        <v>3943.7400000000002</v>
      </c>
      <c r="AC29" s="46">
        <f>$B$28*'04 - Veículos e Equipamentos'!AA52*'01 - Dados de Entrada'!$C$75+'04 - Veículos e Equipamentos'!AA52*'01 - Dados de Entrada'!$C$111</f>
        <v>3943.7400000000002</v>
      </c>
      <c r="AD29" s="46">
        <f>$B$28*'04 - Veículos e Equipamentos'!AB52*'01 - Dados de Entrada'!$C$75+'04 - Veículos e Equipamentos'!AB52*'01 - Dados de Entrada'!$C$111</f>
        <v>3943.7400000000002</v>
      </c>
      <c r="AE29" s="46">
        <f>$B$28*'04 - Veículos e Equipamentos'!AC52*'01 - Dados de Entrada'!$C$75+'04 - Veículos e Equipamentos'!AC52*'01 - Dados de Entrada'!$C$111</f>
        <v>3943.7400000000002</v>
      </c>
      <c r="AF29" s="46">
        <f>$B$28*'04 - Veículos e Equipamentos'!AD52*'01 - Dados de Entrada'!$C$75+'04 - Veículos e Equipamentos'!AD52*'01 - Dados de Entrada'!$C$111</f>
        <v>3943.7400000000002</v>
      </c>
      <c r="AG29" s="46">
        <f>$B$28*'04 - Veículos e Equipamentos'!AE52*'01 - Dados de Entrada'!$C$75+'04 - Veículos e Equipamentos'!AE52*'01 - Dados de Entrada'!$C$111</f>
        <v>3943.7400000000002</v>
      </c>
      <c r="AH29" s="46">
        <f>$B$28*'04 - Veículos e Equipamentos'!AF52*'01 - Dados de Entrada'!$C$75+'04 - Veículos e Equipamentos'!AF52*'01 - Dados de Entrada'!$C$111</f>
        <v>3943.7400000000002</v>
      </c>
      <c r="AI29" s="46">
        <f>$B$28*'04 - Veículos e Equipamentos'!AG52*'01 - Dados de Entrada'!$C$75+'04 - Veículos e Equipamentos'!AG52*'01 - Dados de Entrada'!$C$111</f>
        <v>3943.7400000000002</v>
      </c>
      <c r="AJ29" s="46">
        <f>$B$28*'04 - Veículos e Equipamentos'!AH52*'01 - Dados de Entrada'!$C$75+'04 - Veículos e Equipamentos'!AH52*'01 - Dados de Entrada'!$C$111</f>
        <v>3943.7400000000002</v>
      </c>
      <c r="AK29" s="46">
        <f>$B$28*'04 - Veículos e Equipamentos'!AI52*'01 - Dados de Entrada'!$C$75+'04 - Veículos e Equipamentos'!AI52*'01 - Dados de Entrada'!$C$111</f>
        <v>3943.7400000000002</v>
      </c>
      <c r="AL29" s="46">
        <f>$B$28*'04 - Veículos e Equipamentos'!AJ52*'01 - Dados de Entrada'!$C$75+'04 - Veículos e Equipamentos'!AJ52*'01 - Dados de Entrada'!$C$111</f>
        <v>3943.7400000000002</v>
      </c>
    </row>
    <row r="30" spans="1:38" ht="13.15" customHeight="1" x14ac:dyDescent="0.2">
      <c r="A30" s="36" t="s">
        <v>819</v>
      </c>
      <c r="B30" s="314">
        <f>'01 - Dados de Entrada'!$C$107*'01 - Dados de Entrada'!$C$106</f>
        <v>0.01</v>
      </c>
      <c r="C30" s="279">
        <f t="shared" si="2"/>
        <v>10985.799999999996</v>
      </c>
      <c r="D30" s="46">
        <f>$B$30*'04 - Veículos e Equipamentos'!B53*'01 - Dados de Entrada'!$C$57+'04 - Veículos e Equipamentos'!B53*'01 - Dados de Entrada'!$C$113</f>
        <v>313.88</v>
      </c>
      <c r="E30" s="46">
        <f>$B$30*'04 - Veículos e Equipamentos'!C53*'01 - Dados de Entrada'!$C$57+'04 - Veículos e Equipamentos'!C53*'01 - Dados de Entrada'!$C$113</f>
        <v>313.88</v>
      </c>
      <c r="F30" s="46">
        <f>$B$30*'04 - Veículos e Equipamentos'!D53*'01 - Dados de Entrada'!$C$57+'04 - Veículos e Equipamentos'!D53*'01 - Dados de Entrada'!$C$113</f>
        <v>313.88</v>
      </c>
      <c r="G30" s="46">
        <f>$B$30*'04 - Veículos e Equipamentos'!E53*'01 - Dados de Entrada'!$C$57+'04 - Veículos e Equipamentos'!E53*'01 - Dados de Entrada'!$C$113</f>
        <v>313.88</v>
      </c>
      <c r="H30" s="46">
        <f>$B$30*'04 - Veículos e Equipamentos'!F53*'01 - Dados de Entrada'!$C$57+'04 - Veículos e Equipamentos'!F53*'01 - Dados de Entrada'!$C$113</f>
        <v>313.88</v>
      </c>
      <c r="I30" s="46">
        <f>$B$30*'04 - Veículos e Equipamentos'!G53*'01 - Dados de Entrada'!$C$57+'04 - Veículos e Equipamentos'!G53*'01 - Dados de Entrada'!$C$113</f>
        <v>313.88</v>
      </c>
      <c r="J30" s="46">
        <f>$B$30*'04 - Veículos e Equipamentos'!H53*'01 - Dados de Entrada'!$C$57+'04 - Veículos e Equipamentos'!H53*'01 - Dados de Entrada'!$C$113</f>
        <v>313.88</v>
      </c>
      <c r="K30" s="46">
        <f>$B$30*'04 - Veículos e Equipamentos'!I53*'01 - Dados de Entrada'!$C$57+'04 - Veículos e Equipamentos'!I53*'01 - Dados de Entrada'!$C$113</f>
        <v>313.88</v>
      </c>
      <c r="L30" s="46">
        <f>$B$30*'04 - Veículos e Equipamentos'!J53*'01 - Dados de Entrada'!$C$57+'04 - Veículos e Equipamentos'!J53*'01 - Dados de Entrada'!$C$113</f>
        <v>313.88</v>
      </c>
      <c r="M30" s="46">
        <f>$B$30*'04 - Veículos e Equipamentos'!K53*'01 - Dados de Entrada'!$C$57+'04 - Veículos e Equipamentos'!K53*'01 - Dados de Entrada'!$C$113</f>
        <v>313.88</v>
      </c>
      <c r="N30" s="46">
        <f>$B$30*'04 - Veículos e Equipamentos'!L53*'01 - Dados de Entrada'!$C$57+'04 - Veículos e Equipamentos'!L53*'01 - Dados de Entrada'!$C$113</f>
        <v>313.88</v>
      </c>
      <c r="O30" s="46">
        <f>$B$30*'04 - Veículos e Equipamentos'!M53*'01 - Dados de Entrada'!$C$57+'04 - Veículos e Equipamentos'!M53*'01 - Dados de Entrada'!$C$113</f>
        <v>313.88</v>
      </c>
      <c r="P30" s="46">
        <f>$B$30*'04 - Veículos e Equipamentos'!N53*'01 - Dados de Entrada'!$C$57+'04 - Veículos e Equipamentos'!N53*'01 - Dados de Entrada'!$C$113</f>
        <v>313.88</v>
      </c>
      <c r="Q30" s="46">
        <f>$B$30*'04 - Veículos e Equipamentos'!O53*'01 - Dados de Entrada'!$C$57+'04 - Veículos e Equipamentos'!O53*'01 - Dados de Entrada'!$C$113</f>
        <v>313.88</v>
      </c>
      <c r="R30" s="46">
        <f>$B$30*'04 - Veículos e Equipamentos'!P53*'01 - Dados de Entrada'!$C$57+'04 - Veículos e Equipamentos'!P53*'01 - Dados de Entrada'!$C$113</f>
        <v>313.88</v>
      </c>
      <c r="S30" s="46">
        <f>$B$30*'04 - Veículos e Equipamentos'!Q53*'01 - Dados de Entrada'!$C$57+'04 - Veículos e Equipamentos'!Q53*'01 - Dados de Entrada'!$C$113</f>
        <v>313.88</v>
      </c>
      <c r="T30" s="46">
        <f>$B$30*'04 - Veículos e Equipamentos'!R53*'01 - Dados de Entrada'!$C$57+'04 - Veículos e Equipamentos'!R53*'01 - Dados de Entrada'!$C$113</f>
        <v>313.88</v>
      </c>
      <c r="U30" s="46">
        <f>$B$30*'04 - Veículos e Equipamentos'!S53*'01 - Dados de Entrada'!$C$57+'04 - Veículos e Equipamentos'!S53*'01 - Dados de Entrada'!$C$113</f>
        <v>313.88</v>
      </c>
      <c r="V30" s="46">
        <f>$B$30*'04 - Veículos e Equipamentos'!T53*'01 - Dados de Entrada'!$C$57+'04 - Veículos e Equipamentos'!T53*'01 - Dados de Entrada'!$C$113</f>
        <v>313.88</v>
      </c>
      <c r="W30" s="46">
        <f>$B$30*'04 - Veículos e Equipamentos'!U53*'01 - Dados de Entrada'!$C$57+'04 - Veículos e Equipamentos'!U53*'01 - Dados de Entrada'!$C$113</f>
        <v>313.88</v>
      </c>
      <c r="X30" s="46">
        <f>$B$30*'04 - Veículos e Equipamentos'!V53*'01 - Dados de Entrada'!$C$57+'04 - Veículos e Equipamentos'!V53*'01 - Dados de Entrada'!$C$113</f>
        <v>313.88</v>
      </c>
      <c r="Y30" s="46">
        <f>$B$30*'04 - Veículos e Equipamentos'!W53*'01 - Dados de Entrada'!$C$57+'04 - Veículos e Equipamentos'!W53*'01 - Dados de Entrada'!$C$113</f>
        <v>313.88</v>
      </c>
      <c r="Z30" s="46">
        <f>$B$30*'04 - Veículos e Equipamentos'!X53*'01 - Dados de Entrada'!$C$57+'04 - Veículos e Equipamentos'!X53*'01 - Dados de Entrada'!$C$113</f>
        <v>313.88</v>
      </c>
      <c r="AA30" s="46">
        <f>$B$30*'04 - Veículos e Equipamentos'!Y53*'01 - Dados de Entrada'!$C$57+'04 - Veículos e Equipamentos'!Y53*'01 - Dados de Entrada'!$C$113</f>
        <v>313.88</v>
      </c>
      <c r="AB30" s="46">
        <f>$B$30*'04 - Veículos e Equipamentos'!Z53*'01 - Dados de Entrada'!$C$57+'04 - Veículos e Equipamentos'!Z53*'01 - Dados de Entrada'!$C$113</f>
        <v>313.88</v>
      </c>
      <c r="AC30" s="46">
        <f>$B$30*'04 - Veículos e Equipamentos'!AA53*'01 - Dados de Entrada'!$C$57+'04 - Veículos e Equipamentos'!AA53*'01 - Dados de Entrada'!$C$113</f>
        <v>313.88</v>
      </c>
      <c r="AD30" s="46">
        <f>$B$30*'04 - Veículos e Equipamentos'!AB53*'01 - Dados de Entrada'!$C$57+'04 - Veículos e Equipamentos'!AB53*'01 - Dados de Entrada'!$C$113</f>
        <v>313.88</v>
      </c>
      <c r="AE30" s="46">
        <f>$B$30*'04 - Veículos e Equipamentos'!AC53*'01 - Dados de Entrada'!$C$57+'04 - Veículos e Equipamentos'!AC53*'01 - Dados de Entrada'!$C$113</f>
        <v>313.88</v>
      </c>
      <c r="AF30" s="46">
        <f>$B$30*'04 - Veículos e Equipamentos'!AD53*'01 - Dados de Entrada'!$C$57+'04 - Veículos e Equipamentos'!AD53*'01 - Dados de Entrada'!$C$113</f>
        <v>313.88</v>
      </c>
      <c r="AG30" s="46">
        <f>$B$30*'04 - Veículos e Equipamentos'!AE53*'01 - Dados de Entrada'!$C$57+'04 - Veículos e Equipamentos'!AE53*'01 - Dados de Entrada'!$C$113</f>
        <v>313.88</v>
      </c>
      <c r="AH30" s="46">
        <f>$B$30*'04 - Veículos e Equipamentos'!AF53*'01 - Dados de Entrada'!$C$57+'04 - Veículos e Equipamentos'!AF53*'01 - Dados de Entrada'!$C$113</f>
        <v>313.88</v>
      </c>
      <c r="AI30" s="46">
        <f>$B$30*'04 - Veículos e Equipamentos'!AG53*'01 - Dados de Entrada'!$C$57+'04 - Veículos e Equipamentos'!AG53*'01 - Dados de Entrada'!$C$113</f>
        <v>313.88</v>
      </c>
      <c r="AJ30" s="46">
        <f>$B$30*'04 - Veículos e Equipamentos'!AH53*'01 - Dados de Entrada'!$C$57+'04 - Veículos e Equipamentos'!AH53*'01 - Dados de Entrada'!$C$113</f>
        <v>313.88</v>
      </c>
      <c r="AK30" s="46">
        <f>$B$30*'04 - Veículos e Equipamentos'!AI53*'01 - Dados de Entrada'!$C$57+'04 - Veículos e Equipamentos'!AI53*'01 - Dados de Entrada'!$C$113</f>
        <v>313.88</v>
      </c>
      <c r="AL30" s="46">
        <f>$B$30*'04 - Veículos e Equipamentos'!AJ53*'01 - Dados de Entrada'!$C$57+'04 - Veículos e Equipamentos'!AJ53*'01 - Dados de Entrada'!$C$113</f>
        <v>313.88</v>
      </c>
    </row>
    <row r="31" spans="1:38" ht="13.15" customHeight="1" x14ac:dyDescent="0.2">
      <c r="A31" s="59" t="s">
        <v>578</v>
      </c>
      <c r="B31" s="512"/>
      <c r="C31" s="58">
        <f>SUM(D31:AL31)</f>
        <v>282371.25</v>
      </c>
      <c r="D31" s="58">
        <f>SUM(D32:D34)</f>
        <v>8067.75</v>
      </c>
      <c r="E31" s="58">
        <f t="shared" ref="E31:AL31" si="7">SUM(E32:E34)</f>
        <v>8067.75</v>
      </c>
      <c r="F31" s="58">
        <f t="shared" si="7"/>
        <v>8067.75</v>
      </c>
      <c r="G31" s="58">
        <f t="shared" si="7"/>
        <v>8067.75</v>
      </c>
      <c r="H31" s="58">
        <f t="shared" si="7"/>
        <v>8067.75</v>
      </c>
      <c r="I31" s="58">
        <f t="shared" si="7"/>
        <v>8067.75</v>
      </c>
      <c r="J31" s="58">
        <f t="shared" si="7"/>
        <v>8067.75</v>
      </c>
      <c r="K31" s="58">
        <f t="shared" si="7"/>
        <v>8067.75</v>
      </c>
      <c r="L31" s="58">
        <f t="shared" si="7"/>
        <v>8067.75</v>
      </c>
      <c r="M31" s="58">
        <f t="shared" si="7"/>
        <v>8067.75</v>
      </c>
      <c r="N31" s="58">
        <f t="shared" si="7"/>
        <v>8067.75</v>
      </c>
      <c r="O31" s="58">
        <f t="shared" si="7"/>
        <v>8067.75</v>
      </c>
      <c r="P31" s="58">
        <f t="shared" si="7"/>
        <v>8067.75</v>
      </c>
      <c r="Q31" s="58">
        <f t="shared" si="7"/>
        <v>8067.75</v>
      </c>
      <c r="R31" s="58">
        <f t="shared" si="7"/>
        <v>8067.75</v>
      </c>
      <c r="S31" s="58">
        <f t="shared" si="7"/>
        <v>8067.75</v>
      </c>
      <c r="T31" s="58">
        <f t="shared" si="7"/>
        <v>8067.75</v>
      </c>
      <c r="U31" s="58">
        <f t="shared" si="7"/>
        <v>8067.75</v>
      </c>
      <c r="V31" s="58">
        <f t="shared" si="7"/>
        <v>8067.75</v>
      </c>
      <c r="W31" s="58">
        <f t="shared" si="7"/>
        <v>8067.75</v>
      </c>
      <c r="X31" s="58">
        <f t="shared" si="7"/>
        <v>8067.75</v>
      </c>
      <c r="Y31" s="58">
        <f t="shared" si="7"/>
        <v>8067.75</v>
      </c>
      <c r="Z31" s="58">
        <f t="shared" si="7"/>
        <v>8067.75</v>
      </c>
      <c r="AA31" s="58">
        <f t="shared" si="7"/>
        <v>8067.75</v>
      </c>
      <c r="AB31" s="58">
        <f t="shared" si="7"/>
        <v>8067.75</v>
      </c>
      <c r="AC31" s="58">
        <f t="shared" si="7"/>
        <v>8067.75</v>
      </c>
      <c r="AD31" s="58">
        <f t="shared" si="7"/>
        <v>8067.75</v>
      </c>
      <c r="AE31" s="58">
        <f t="shared" si="7"/>
        <v>8067.75</v>
      </c>
      <c r="AF31" s="58">
        <f t="shared" si="7"/>
        <v>8067.75</v>
      </c>
      <c r="AG31" s="58">
        <f t="shared" si="7"/>
        <v>8067.75</v>
      </c>
      <c r="AH31" s="58">
        <f t="shared" si="7"/>
        <v>8067.75</v>
      </c>
      <c r="AI31" s="58">
        <f t="shared" si="7"/>
        <v>8067.75</v>
      </c>
      <c r="AJ31" s="58">
        <f t="shared" si="7"/>
        <v>8067.75</v>
      </c>
      <c r="AK31" s="58">
        <f t="shared" si="7"/>
        <v>8067.75</v>
      </c>
      <c r="AL31" s="58">
        <f t="shared" si="7"/>
        <v>8067.75</v>
      </c>
    </row>
    <row r="32" spans="1:38" ht="13.15" customHeight="1" x14ac:dyDescent="0.2">
      <c r="A32" s="34" t="s">
        <v>580</v>
      </c>
      <c r="B32" s="314">
        <f>'01 - Dados de Entrada'!$C$107*'01 - Dados de Entrada'!$C$104</f>
        <v>0.01</v>
      </c>
      <c r="C32" s="279">
        <f t="shared" si="2"/>
        <v>202370</v>
      </c>
      <c r="D32" s="46">
        <f>$B$32*'04 - Veículos e Equipamentos'!B55*'01 - Dados de Entrada'!$C$65+'04 - Veículos e Equipamentos'!B55*'01 - Dados de Entrada'!$C$108</f>
        <v>5782</v>
      </c>
      <c r="E32" s="46">
        <f>$B$32*'04 - Veículos e Equipamentos'!C55*'01 - Dados de Entrada'!$C$65+'04 - Veículos e Equipamentos'!C55*'01 - Dados de Entrada'!$C$108</f>
        <v>5782</v>
      </c>
      <c r="F32" s="46">
        <f>$B$32*'04 - Veículos e Equipamentos'!D55*'01 - Dados de Entrada'!$C$65+'04 - Veículos e Equipamentos'!D55*'01 - Dados de Entrada'!$C$108</f>
        <v>5782</v>
      </c>
      <c r="G32" s="46">
        <f>$B$32*'04 - Veículos e Equipamentos'!E55*'01 - Dados de Entrada'!$C$65+'04 - Veículos e Equipamentos'!E55*'01 - Dados de Entrada'!$C$108</f>
        <v>5782</v>
      </c>
      <c r="H32" s="46">
        <f>$B$32*'04 - Veículos e Equipamentos'!F55*'01 - Dados de Entrada'!$C$65+'04 - Veículos e Equipamentos'!F55*'01 - Dados de Entrada'!$C$108</f>
        <v>5782</v>
      </c>
      <c r="I32" s="46">
        <f>$B$32*'04 - Veículos e Equipamentos'!G55*'01 - Dados de Entrada'!$C$65+'04 - Veículos e Equipamentos'!G55*'01 - Dados de Entrada'!$C$108</f>
        <v>5782</v>
      </c>
      <c r="J32" s="46">
        <f>$B$32*'04 - Veículos e Equipamentos'!H55*'01 - Dados de Entrada'!$C$65+'04 - Veículos e Equipamentos'!H55*'01 - Dados de Entrada'!$C$108</f>
        <v>5782</v>
      </c>
      <c r="K32" s="46">
        <f>$B$32*'04 - Veículos e Equipamentos'!I55*'01 - Dados de Entrada'!$C$65+'04 - Veículos e Equipamentos'!I55*'01 - Dados de Entrada'!$C$108</f>
        <v>5782</v>
      </c>
      <c r="L32" s="46">
        <f>$B$32*'04 - Veículos e Equipamentos'!J55*'01 - Dados de Entrada'!$C$65+'04 - Veículos e Equipamentos'!J55*'01 - Dados de Entrada'!$C$108</f>
        <v>5782</v>
      </c>
      <c r="M32" s="46">
        <f>$B$32*'04 - Veículos e Equipamentos'!K55*'01 - Dados de Entrada'!$C$65+'04 - Veículos e Equipamentos'!K55*'01 - Dados de Entrada'!$C$108</f>
        <v>5782</v>
      </c>
      <c r="N32" s="46">
        <f>$B$32*'04 - Veículos e Equipamentos'!L55*'01 - Dados de Entrada'!$C$65+'04 - Veículos e Equipamentos'!L55*'01 - Dados de Entrada'!$C$108</f>
        <v>5782</v>
      </c>
      <c r="O32" s="46">
        <f>$B$32*'04 - Veículos e Equipamentos'!M55*'01 - Dados de Entrada'!$C$65+'04 - Veículos e Equipamentos'!M55*'01 - Dados de Entrada'!$C$108</f>
        <v>5782</v>
      </c>
      <c r="P32" s="46">
        <f>$B$32*'04 - Veículos e Equipamentos'!N55*'01 - Dados de Entrada'!$C$65+'04 - Veículos e Equipamentos'!N55*'01 - Dados de Entrada'!$C$108</f>
        <v>5782</v>
      </c>
      <c r="Q32" s="46">
        <f>$B$32*'04 - Veículos e Equipamentos'!O55*'01 - Dados de Entrada'!$C$65+'04 - Veículos e Equipamentos'!O55*'01 - Dados de Entrada'!$C$108</f>
        <v>5782</v>
      </c>
      <c r="R32" s="46">
        <f>$B$32*'04 - Veículos e Equipamentos'!P55*'01 - Dados de Entrada'!$C$65+'04 - Veículos e Equipamentos'!P55*'01 - Dados de Entrada'!$C$108</f>
        <v>5782</v>
      </c>
      <c r="S32" s="46">
        <f>$B$32*'04 - Veículos e Equipamentos'!Q55*'01 - Dados de Entrada'!$C$65+'04 - Veículos e Equipamentos'!Q55*'01 - Dados de Entrada'!$C$108</f>
        <v>5782</v>
      </c>
      <c r="T32" s="46">
        <f>$B$32*'04 - Veículos e Equipamentos'!R55*'01 - Dados de Entrada'!$C$65+'04 - Veículos e Equipamentos'!R55*'01 - Dados de Entrada'!$C$108</f>
        <v>5782</v>
      </c>
      <c r="U32" s="46">
        <f>$B$32*'04 - Veículos e Equipamentos'!S55*'01 - Dados de Entrada'!$C$65+'04 - Veículos e Equipamentos'!S55*'01 - Dados de Entrada'!$C$108</f>
        <v>5782</v>
      </c>
      <c r="V32" s="46">
        <f>$B$32*'04 - Veículos e Equipamentos'!T55*'01 - Dados de Entrada'!$C$65+'04 - Veículos e Equipamentos'!T55*'01 - Dados de Entrada'!$C$108</f>
        <v>5782</v>
      </c>
      <c r="W32" s="46">
        <f>$B$32*'04 - Veículos e Equipamentos'!U55*'01 - Dados de Entrada'!$C$65+'04 - Veículos e Equipamentos'!U55*'01 - Dados de Entrada'!$C$108</f>
        <v>5782</v>
      </c>
      <c r="X32" s="46">
        <f>$B$32*'04 - Veículos e Equipamentos'!V55*'01 - Dados de Entrada'!$C$65+'04 - Veículos e Equipamentos'!V55*'01 - Dados de Entrada'!$C$108</f>
        <v>5782</v>
      </c>
      <c r="Y32" s="46">
        <f>$B$32*'04 - Veículos e Equipamentos'!W55*'01 - Dados de Entrada'!$C$65+'04 - Veículos e Equipamentos'!W55*'01 - Dados de Entrada'!$C$108</f>
        <v>5782</v>
      </c>
      <c r="Z32" s="46">
        <f>$B$32*'04 - Veículos e Equipamentos'!X55*'01 - Dados de Entrada'!$C$65+'04 - Veículos e Equipamentos'!X55*'01 - Dados de Entrada'!$C$108</f>
        <v>5782</v>
      </c>
      <c r="AA32" s="46">
        <f>$B$32*'04 - Veículos e Equipamentos'!Y55*'01 - Dados de Entrada'!$C$65+'04 - Veículos e Equipamentos'!Y55*'01 - Dados de Entrada'!$C$108</f>
        <v>5782</v>
      </c>
      <c r="AB32" s="46">
        <f>$B$32*'04 - Veículos e Equipamentos'!Z55*'01 - Dados de Entrada'!$C$65+'04 - Veículos e Equipamentos'!Z55*'01 - Dados de Entrada'!$C$108</f>
        <v>5782</v>
      </c>
      <c r="AC32" s="46">
        <f>$B$32*'04 - Veículos e Equipamentos'!AA55*'01 - Dados de Entrada'!$C$65+'04 - Veículos e Equipamentos'!AA55*'01 - Dados de Entrada'!$C$108</f>
        <v>5782</v>
      </c>
      <c r="AD32" s="46">
        <f>$B$32*'04 - Veículos e Equipamentos'!AB55*'01 - Dados de Entrada'!$C$65+'04 - Veículos e Equipamentos'!AB55*'01 - Dados de Entrada'!$C$108</f>
        <v>5782</v>
      </c>
      <c r="AE32" s="46">
        <f>$B$32*'04 - Veículos e Equipamentos'!AC55*'01 - Dados de Entrada'!$C$65+'04 - Veículos e Equipamentos'!AC55*'01 - Dados de Entrada'!$C$108</f>
        <v>5782</v>
      </c>
      <c r="AF32" s="46">
        <f>$B$32*'04 - Veículos e Equipamentos'!AD55*'01 - Dados de Entrada'!$C$65+'04 - Veículos e Equipamentos'!AD55*'01 - Dados de Entrada'!$C$108</f>
        <v>5782</v>
      </c>
      <c r="AG32" s="46">
        <f>$B$32*'04 - Veículos e Equipamentos'!AE55*'01 - Dados de Entrada'!$C$65+'04 - Veículos e Equipamentos'!AE55*'01 - Dados de Entrada'!$C$108</f>
        <v>5782</v>
      </c>
      <c r="AH32" s="46">
        <f>$B$32*'04 - Veículos e Equipamentos'!AF55*'01 - Dados de Entrada'!$C$65+'04 - Veículos e Equipamentos'!AF55*'01 - Dados de Entrada'!$C$108</f>
        <v>5782</v>
      </c>
      <c r="AI32" s="46">
        <f>$B$32*'04 - Veículos e Equipamentos'!AG55*'01 - Dados de Entrada'!$C$65+'04 - Veículos e Equipamentos'!AG55*'01 - Dados de Entrada'!$C$108</f>
        <v>5782</v>
      </c>
      <c r="AJ32" s="46">
        <f>$B$32*'04 - Veículos e Equipamentos'!AH55*'01 - Dados de Entrada'!$C$65+'04 - Veículos e Equipamentos'!AH55*'01 - Dados de Entrada'!$C$108</f>
        <v>5782</v>
      </c>
      <c r="AK32" s="46">
        <f>$B$32*'04 - Veículos e Equipamentos'!AI55*'01 - Dados de Entrada'!$C$65+'04 - Veículos e Equipamentos'!AI55*'01 - Dados de Entrada'!$C$108</f>
        <v>5782</v>
      </c>
      <c r="AL32" s="46">
        <f>$B$32*'04 - Veículos e Equipamentos'!AJ55*'01 - Dados de Entrada'!$C$65+'04 - Veículos e Equipamentos'!AJ55*'01 - Dados de Entrada'!$C$108</f>
        <v>5782</v>
      </c>
    </row>
    <row r="33" spans="1:38" ht="13.15" customHeight="1" x14ac:dyDescent="0.2">
      <c r="A33" s="34" t="s">
        <v>582</v>
      </c>
      <c r="B33" s="314">
        <f>'01 - Dados de Entrada'!$C$107*'01 - Dados de Entrada'!$C$105</f>
        <v>0.01</v>
      </c>
      <c r="C33" s="279">
        <f t="shared" si="2"/>
        <v>69015.450000000026</v>
      </c>
      <c r="D33" s="46">
        <f>$B$33*'04 - Veículos e Equipamentos'!B56*'01 - Dados de Entrada'!$C$75+'04 - Veículos e Equipamentos'!B56*'01 - Dados de Entrada'!$C$111</f>
        <v>1971.8700000000001</v>
      </c>
      <c r="E33" s="46">
        <f>$B$33*'04 - Veículos e Equipamentos'!C56*'01 - Dados de Entrada'!$C$75+'04 - Veículos e Equipamentos'!C56*'01 - Dados de Entrada'!$C$111</f>
        <v>1971.8700000000001</v>
      </c>
      <c r="F33" s="46">
        <f>$B$33*'04 - Veículos e Equipamentos'!D56*'01 - Dados de Entrada'!$C$75+'04 - Veículos e Equipamentos'!D56*'01 - Dados de Entrada'!$C$111</f>
        <v>1971.8700000000001</v>
      </c>
      <c r="G33" s="46">
        <f>$B$33*'04 - Veículos e Equipamentos'!E56*'01 - Dados de Entrada'!$C$75+'04 - Veículos e Equipamentos'!E56*'01 - Dados de Entrada'!$C$111</f>
        <v>1971.8700000000001</v>
      </c>
      <c r="H33" s="46">
        <f>$B$33*'04 - Veículos e Equipamentos'!F56*'01 - Dados de Entrada'!$C$75+'04 - Veículos e Equipamentos'!F56*'01 - Dados de Entrada'!$C$111</f>
        <v>1971.8700000000001</v>
      </c>
      <c r="I33" s="46">
        <f>$B$33*'04 - Veículos e Equipamentos'!G56*'01 - Dados de Entrada'!$C$75+'04 - Veículos e Equipamentos'!G56*'01 - Dados de Entrada'!$C$111</f>
        <v>1971.8700000000001</v>
      </c>
      <c r="J33" s="46">
        <f>$B$33*'04 - Veículos e Equipamentos'!H56*'01 - Dados de Entrada'!$C$75+'04 - Veículos e Equipamentos'!H56*'01 - Dados de Entrada'!$C$111</f>
        <v>1971.8700000000001</v>
      </c>
      <c r="K33" s="46">
        <f>$B$33*'04 - Veículos e Equipamentos'!I56*'01 - Dados de Entrada'!$C$75+'04 - Veículos e Equipamentos'!I56*'01 - Dados de Entrada'!$C$111</f>
        <v>1971.8700000000001</v>
      </c>
      <c r="L33" s="46">
        <f>$B$33*'04 - Veículos e Equipamentos'!J56*'01 - Dados de Entrada'!$C$75+'04 - Veículos e Equipamentos'!J56*'01 - Dados de Entrada'!$C$111</f>
        <v>1971.8700000000001</v>
      </c>
      <c r="M33" s="46">
        <f>$B$33*'04 - Veículos e Equipamentos'!K56*'01 - Dados de Entrada'!$C$75+'04 - Veículos e Equipamentos'!K56*'01 - Dados de Entrada'!$C$111</f>
        <v>1971.8700000000001</v>
      </c>
      <c r="N33" s="46">
        <f>$B$33*'04 - Veículos e Equipamentos'!L56*'01 - Dados de Entrada'!$C$75+'04 - Veículos e Equipamentos'!L56*'01 - Dados de Entrada'!$C$111</f>
        <v>1971.8700000000001</v>
      </c>
      <c r="O33" s="46">
        <f>$B$33*'04 - Veículos e Equipamentos'!M56*'01 - Dados de Entrada'!$C$75+'04 - Veículos e Equipamentos'!M56*'01 - Dados de Entrada'!$C$111</f>
        <v>1971.8700000000001</v>
      </c>
      <c r="P33" s="46">
        <f>$B$33*'04 - Veículos e Equipamentos'!N56*'01 - Dados de Entrada'!$C$75+'04 - Veículos e Equipamentos'!N56*'01 - Dados de Entrada'!$C$111</f>
        <v>1971.8700000000001</v>
      </c>
      <c r="Q33" s="46">
        <f>$B$33*'04 - Veículos e Equipamentos'!O56*'01 - Dados de Entrada'!$C$75+'04 - Veículos e Equipamentos'!O56*'01 - Dados de Entrada'!$C$111</f>
        <v>1971.8700000000001</v>
      </c>
      <c r="R33" s="46">
        <f>$B$33*'04 - Veículos e Equipamentos'!P56*'01 - Dados de Entrada'!$C$75+'04 - Veículos e Equipamentos'!P56*'01 - Dados de Entrada'!$C$111</f>
        <v>1971.8700000000001</v>
      </c>
      <c r="S33" s="46">
        <f>$B$33*'04 - Veículos e Equipamentos'!Q56*'01 - Dados de Entrada'!$C$75+'04 - Veículos e Equipamentos'!Q56*'01 - Dados de Entrada'!$C$111</f>
        <v>1971.8700000000001</v>
      </c>
      <c r="T33" s="46">
        <f>$B$33*'04 - Veículos e Equipamentos'!R56*'01 - Dados de Entrada'!$C$75+'04 - Veículos e Equipamentos'!R56*'01 - Dados de Entrada'!$C$111</f>
        <v>1971.8700000000001</v>
      </c>
      <c r="U33" s="46">
        <f>$B$33*'04 - Veículos e Equipamentos'!S56*'01 - Dados de Entrada'!$C$75+'04 - Veículos e Equipamentos'!S56*'01 - Dados de Entrada'!$C$111</f>
        <v>1971.8700000000001</v>
      </c>
      <c r="V33" s="46">
        <f>$B$33*'04 - Veículos e Equipamentos'!T56*'01 - Dados de Entrada'!$C$75+'04 - Veículos e Equipamentos'!T56*'01 - Dados de Entrada'!$C$111</f>
        <v>1971.8700000000001</v>
      </c>
      <c r="W33" s="46">
        <f>$B$33*'04 - Veículos e Equipamentos'!U56*'01 - Dados de Entrada'!$C$75+'04 - Veículos e Equipamentos'!U56*'01 - Dados de Entrada'!$C$111</f>
        <v>1971.8700000000001</v>
      </c>
      <c r="X33" s="46">
        <f>$B$33*'04 - Veículos e Equipamentos'!V56*'01 - Dados de Entrada'!$C$75+'04 - Veículos e Equipamentos'!V56*'01 - Dados de Entrada'!$C$111</f>
        <v>1971.8700000000001</v>
      </c>
      <c r="Y33" s="46">
        <f>$B$33*'04 - Veículos e Equipamentos'!W56*'01 - Dados de Entrada'!$C$75+'04 - Veículos e Equipamentos'!W56*'01 - Dados de Entrada'!$C$111</f>
        <v>1971.8700000000001</v>
      </c>
      <c r="Z33" s="46">
        <f>$B$33*'04 - Veículos e Equipamentos'!X56*'01 - Dados de Entrada'!$C$75+'04 - Veículos e Equipamentos'!X56*'01 - Dados de Entrada'!$C$111</f>
        <v>1971.8700000000001</v>
      </c>
      <c r="AA33" s="46">
        <f>$B$33*'04 - Veículos e Equipamentos'!Y56*'01 - Dados de Entrada'!$C$75+'04 - Veículos e Equipamentos'!Y56*'01 - Dados de Entrada'!$C$111</f>
        <v>1971.8700000000001</v>
      </c>
      <c r="AB33" s="46">
        <f>$B$33*'04 - Veículos e Equipamentos'!Z56*'01 - Dados de Entrada'!$C$75+'04 - Veículos e Equipamentos'!Z56*'01 - Dados de Entrada'!$C$111</f>
        <v>1971.8700000000001</v>
      </c>
      <c r="AC33" s="46">
        <f>$B$33*'04 - Veículos e Equipamentos'!AA56*'01 - Dados de Entrada'!$C$75+'04 - Veículos e Equipamentos'!AA56*'01 - Dados de Entrada'!$C$111</f>
        <v>1971.8700000000001</v>
      </c>
      <c r="AD33" s="46">
        <f>$B$33*'04 - Veículos e Equipamentos'!AB56*'01 - Dados de Entrada'!$C$75+'04 - Veículos e Equipamentos'!AB56*'01 - Dados de Entrada'!$C$111</f>
        <v>1971.8700000000001</v>
      </c>
      <c r="AE33" s="46">
        <f>$B$33*'04 - Veículos e Equipamentos'!AC56*'01 - Dados de Entrada'!$C$75+'04 - Veículos e Equipamentos'!AC56*'01 - Dados de Entrada'!$C$111</f>
        <v>1971.8700000000001</v>
      </c>
      <c r="AF33" s="46">
        <f>$B$33*'04 - Veículos e Equipamentos'!AD56*'01 - Dados de Entrada'!$C$75+'04 - Veículos e Equipamentos'!AD56*'01 - Dados de Entrada'!$C$111</f>
        <v>1971.8700000000001</v>
      </c>
      <c r="AG33" s="46">
        <f>$B$33*'04 - Veículos e Equipamentos'!AE56*'01 - Dados de Entrada'!$C$75+'04 - Veículos e Equipamentos'!AE56*'01 - Dados de Entrada'!$C$111</f>
        <v>1971.8700000000001</v>
      </c>
      <c r="AH33" s="46">
        <f>$B$33*'04 - Veículos e Equipamentos'!AF56*'01 - Dados de Entrada'!$C$75+'04 - Veículos e Equipamentos'!AF56*'01 - Dados de Entrada'!$C$111</f>
        <v>1971.8700000000001</v>
      </c>
      <c r="AI33" s="46">
        <f>$B$33*'04 - Veículos e Equipamentos'!AG56*'01 - Dados de Entrada'!$C$75+'04 - Veículos e Equipamentos'!AG56*'01 - Dados de Entrada'!$C$111</f>
        <v>1971.8700000000001</v>
      </c>
      <c r="AJ33" s="46">
        <f>$B$33*'04 - Veículos e Equipamentos'!AH56*'01 - Dados de Entrada'!$C$75+'04 - Veículos e Equipamentos'!AH56*'01 - Dados de Entrada'!$C$111</f>
        <v>1971.8700000000001</v>
      </c>
      <c r="AK33" s="46">
        <f>$B$33*'04 - Veículos e Equipamentos'!AI56*'01 - Dados de Entrada'!$C$75+'04 - Veículos e Equipamentos'!AI56*'01 - Dados de Entrada'!$C$111</f>
        <v>1971.8700000000001</v>
      </c>
      <c r="AL33" s="46">
        <f>$B$33*'04 - Veículos e Equipamentos'!AJ56*'01 - Dados de Entrada'!$C$75+'04 - Veículos e Equipamentos'!AJ56*'01 - Dados de Entrada'!$C$111</f>
        <v>1971.8700000000001</v>
      </c>
    </row>
    <row r="34" spans="1:38" ht="13.15" customHeight="1" x14ac:dyDescent="0.2">
      <c r="A34" s="36" t="s">
        <v>819</v>
      </c>
      <c r="B34" s="314">
        <f>'01 - Dados de Entrada'!$C$107*'01 - Dados de Entrada'!$C$106</f>
        <v>0.01</v>
      </c>
      <c r="C34" s="279">
        <f t="shared" si="2"/>
        <v>10985.799999999996</v>
      </c>
      <c r="D34" s="46">
        <f>$B$34*'04 - Veículos e Equipamentos'!B57*'01 - Dados de Entrada'!$C$57+'04 - Veículos e Equipamentos'!B57*'01 - Dados de Entrada'!$C$113</f>
        <v>313.88</v>
      </c>
      <c r="E34" s="46">
        <f>$B$34*'04 - Veículos e Equipamentos'!C57*'01 - Dados de Entrada'!$C$57+'04 - Veículos e Equipamentos'!C57*'01 - Dados de Entrada'!$C$113</f>
        <v>313.88</v>
      </c>
      <c r="F34" s="46">
        <f>$B$34*'04 - Veículos e Equipamentos'!D57*'01 - Dados de Entrada'!$C$57+'04 - Veículos e Equipamentos'!D57*'01 - Dados de Entrada'!$C$113</f>
        <v>313.88</v>
      </c>
      <c r="G34" s="46">
        <f>$B$34*'04 - Veículos e Equipamentos'!E57*'01 - Dados de Entrada'!$C$57+'04 - Veículos e Equipamentos'!E57*'01 - Dados de Entrada'!$C$113</f>
        <v>313.88</v>
      </c>
      <c r="H34" s="46">
        <f>$B$34*'04 - Veículos e Equipamentos'!F57*'01 - Dados de Entrada'!$C$57+'04 - Veículos e Equipamentos'!F57*'01 - Dados de Entrada'!$C$113</f>
        <v>313.88</v>
      </c>
      <c r="I34" s="46">
        <f>$B$34*'04 - Veículos e Equipamentos'!G57*'01 - Dados de Entrada'!$C$57+'04 - Veículos e Equipamentos'!G57*'01 - Dados de Entrada'!$C$113</f>
        <v>313.88</v>
      </c>
      <c r="J34" s="46">
        <f>$B$34*'04 - Veículos e Equipamentos'!H57*'01 - Dados de Entrada'!$C$57+'04 - Veículos e Equipamentos'!H57*'01 - Dados de Entrada'!$C$113</f>
        <v>313.88</v>
      </c>
      <c r="K34" s="46">
        <f>$B$34*'04 - Veículos e Equipamentos'!I57*'01 - Dados de Entrada'!$C$57+'04 - Veículos e Equipamentos'!I57*'01 - Dados de Entrada'!$C$113</f>
        <v>313.88</v>
      </c>
      <c r="L34" s="46">
        <f>$B$34*'04 - Veículos e Equipamentos'!J57*'01 - Dados de Entrada'!$C$57+'04 - Veículos e Equipamentos'!J57*'01 - Dados de Entrada'!$C$113</f>
        <v>313.88</v>
      </c>
      <c r="M34" s="46">
        <f>$B$34*'04 - Veículos e Equipamentos'!K57*'01 - Dados de Entrada'!$C$57+'04 - Veículos e Equipamentos'!K57*'01 - Dados de Entrada'!$C$113</f>
        <v>313.88</v>
      </c>
      <c r="N34" s="46">
        <f>$B$34*'04 - Veículos e Equipamentos'!L57*'01 - Dados de Entrada'!$C$57+'04 - Veículos e Equipamentos'!L57*'01 - Dados de Entrada'!$C$113</f>
        <v>313.88</v>
      </c>
      <c r="O34" s="46">
        <f>$B$34*'04 - Veículos e Equipamentos'!M57*'01 - Dados de Entrada'!$C$57+'04 - Veículos e Equipamentos'!M57*'01 - Dados de Entrada'!$C$113</f>
        <v>313.88</v>
      </c>
      <c r="P34" s="46">
        <f>$B$34*'04 - Veículos e Equipamentos'!N57*'01 - Dados de Entrada'!$C$57+'04 - Veículos e Equipamentos'!N57*'01 - Dados de Entrada'!$C$113</f>
        <v>313.88</v>
      </c>
      <c r="Q34" s="46">
        <f>$B$34*'04 - Veículos e Equipamentos'!O57*'01 - Dados de Entrada'!$C$57+'04 - Veículos e Equipamentos'!O57*'01 - Dados de Entrada'!$C$113</f>
        <v>313.88</v>
      </c>
      <c r="R34" s="46">
        <f>$B$34*'04 - Veículos e Equipamentos'!P57*'01 - Dados de Entrada'!$C$57+'04 - Veículos e Equipamentos'!P57*'01 - Dados de Entrada'!$C$113</f>
        <v>313.88</v>
      </c>
      <c r="S34" s="46">
        <f>$B$34*'04 - Veículos e Equipamentos'!Q57*'01 - Dados de Entrada'!$C$57+'04 - Veículos e Equipamentos'!Q57*'01 - Dados de Entrada'!$C$113</f>
        <v>313.88</v>
      </c>
      <c r="T34" s="46">
        <f>$B$34*'04 - Veículos e Equipamentos'!R57*'01 - Dados de Entrada'!$C$57+'04 - Veículos e Equipamentos'!R57*'01 - Dados de Entrada'!$C$113</f>
        <v>313.88</v>
      </c>
      <c r="U34" s="46">
        <f>$B$34*'04 - Veículos e Equipamentos'!S57*'01 - Dados de Entrada'!$C$57+'04 - Veículos e Equipamentos'!S57*'01 - Dados de Entrada'!$C$113</f>
        <v>313.88</v>
      </c>
      <c r="V34" s="46">
        <f>$B$34*'04 - Veículos e Equipamentos'!T57*'01 - Dados de Entrada'!$C$57+'04 - Veículos e Equipamentos'!T57*'01 - Dados de Entrada'!$C$113</f>
        <v>313.88</v>
      </c>
      <c r="W34" s="46">
        <f>$B$34*'04 - Veículos e Equipamentos'!U57*'01 - Dados de Entrada'!$C$57+'04 - Veículos e Equipamentos'!U57*'01 - Dados de Entrada'!$C$113</f>
        <v>313.88</v>
      </c>
      <c r="X34" s="46">
        <f>$B$34*'04 - Veículos e Equipamentos'!V57*'01 - Dados de Entrada'!$C$57+'04 - Veículos e Equipamentos'!V57*'01 - Dados de Entrada'!$C$113</f>
        <v>313.88</v>
      </c>
      <c r="Y34" s="46">
        <f>$B$34*'04 - Veículos e Equipamentos'!W57*'01 - Dados de Entrada'!$C$57+'04 - Veículos e Equipamentos'!W57*'01 - Dados de Entrada'!$C$113</f>
        <v>313.88</v>
      </c>
      <c r="Z34" s="46">
        <f>$B$34*'04 - Veículos e Equipamentos'!X57*'01 - Dados de Entrada'!$C$57+'04 - Veículos e Equipamentos'!X57*'01 - Dados de Entrada'!$C$113</f>
        <v>313.88</v>
      </c>
      <c r="AA34" s="46">
        <f>$B$34*'04 - Veículos e Equipamentos'!Y57*'01 - Dados de Entrada'!$C$57+'04 - Veículos e Equipamentos'!Y57*'01 - Dados de Entrada'!$C$113</f>
        <v>313.88</v>
      </c>
      <c r="AB34" s="46">
        <f>$B$34*'04 - Veículos e Equipamentos'!Z57*'01 - Dados de Entrada'!$C$57+'04 - Veículos e Equipamentos'!Z57*'01 - Dados de Entrada'!$C$113</f>
        <v>313.88</v>
      </c>
      <c r="AC34" s="46">
        <f>$B$34*'04 - Veículos e Equipamentos'!AA57*'01 - Dados de Entrada'!$C$57+'04 - Veículos e Equipamentos'!AA57*'01 - Dados de Entrada'!$C$113</f>
        <v>313.88</v>
      </c>
      <c r="AD34" s="46">
        <f>$B$34*'04 - Veículos e Equipamentos'!AB57*'01 - Dados de Entrada'!$C$57+'04 - Veículos e Equipamentos'!AB57*'01 - Dados de Entrada'!$C$113</f>
        <v>313.88</v>
      </c>
      <c r="AE34" s="46">
        <f>$B$34*'04 - Veículos e Equipamentos'!AC57*'01 - Dados de Entrada'!$C$57+'04 - Veículos e Equipamentos'!AC57*'01 - Dados de Entrada'!$C$113</f>
        <v>313.88</v>
      </c>
      <c r="AF34" s="46">
        <f>$B$34*'04 - Veículos e Equipamentos'!AD57*'01 - Dados de Entrada'!$C$57+'04 - Veículos e Equipamentos'!AD57*'01 - Dados de Entrada'!$C$113</f>
        <v>313.88</v>
      </c>
      <c r="AG34" s="46">
        <f>$B$34*'04 - Veículos e Equipamentos'!AE57*'01 - Dados de Entrada'!$C$57+'04 - Veículos e Equipamentos'!AE57*'01 - Dados de Entrada'!$C$113</f>
        <v>313.88</v>
      </c>
      <c r="AH34" s="46">
        <f>$B$34*'04 - Veículos e Equipamentos'!AF57*'01 - Dados de Entrada'!$C$57+'04 - Veículos e Equipamentos'!AF57*'01 - Dados de Entrada'!$C$113</f>
        <v>313.88</v>
      </c>
      <c r="AI34" s="46">
        <f>$B$34*'04 - Veículos e Equipamentos'!AG57*'01 - Dados de Entrada'!$C$57+'04 - Veículos e Equipamentos'!AG57*'01 - Dados de Entrada'!$C$113</f>
        <v>313.88</v>
      </c>
      <c r="AJ34" s="46">
        <f>$B$34*'04 - Veículos e Equipamentos'!AH57*'01 - Dados de Entrada'!$C$57+'04 - Veículos e Equipamentos'!AH57*'01 - Dados de Entrada'!$C$113</f>
        <v>313.88</v>
      </c>
      <c r="AK34" s="46">
        <f>$B$34*'04 - Veículos e Equipamentos'!AI57*'01 - Dados de Entrada'!$C$57+'04 - Veículos e Equipamentos'!AI57*'01 - Dados de Entrada'!$C$113</f>
        <v>313.88</v>
      </c>
      <c r="AL34" s="46">
        <f>$B$34*'04 - Veículos e Equipamentos'!AJ57*'01 - Dados de Entrada'!$C$57+'04 - Veículos e Equipamentos'!AJ57*'01 - Dados de Entrada'!$C$113</f>
        <v>313.88</v>
      </c>
    </row>
    <row r="35" spans="1:38" ht="13.15" customHeight="1" x14ac:dyDescent="0.2">
      <c r="A35" s="59" t="s">
        <v>884</v>
      </c>
      <c r="B35" s="512"/>
      <c r="C35" s="58">
        <f t="shared" si="2"/>
        <v>213355.8000000001</v>
      </c>
      <c r="D35" s="58">
        <f t="shared" ref="D35:AL35" si="8">SUM(D36:D37)</f>
        <v>6095.88</v>
      </c>
      <c r="E35" s="58">
        <f t="shared" si="8"/>
        <v>6095.88</v>
      </c>
      <c r="F35" s="58">
        <f t="shared" si="8"/>
        <v>6095.88</v>
      </c>
      <c r="G35" s="58">
        <f t="shared" si="8"/>
        <v>6095.88</v>
      </c>
      <c r="H35" s="58">
        <f t="shared" si="8"/>
        <v>6095.88</v>
      </c>
      <c r="I35" s="58">
        <f t="shared" si="8"/>
        <v>6095.88</v>
      </c>
      <c r="J35" s="58">
        <f t="shared" si="8"/>
        <v>6095.88</v>
      </c>
      <c r="K35" s="58">
        <f t="shared" si="8"/>
        <v>6095.88</v>
      </c>
      <c r="L35" s="58">
        <f t="shared" si="8"/>
        <v>6095.88</v>
      </c>
      <c r="M35" s="58">
        <f t="shared" si="8"/>
        <v>6095.88</v>
      </c>
      <c r="N35" s="58">
        <f t="shared" si="8"/>
        <v>6095.88</v>
      </c>
      <c r="O35" s="58">
        <f t="shared" si="8"/>
        <v>6095.88</v>
      </c>
      <c r="P35" s="58">
        <f t="shared" si="8"/>
        <v>6095.88</v>
      </c>
      <c r="Q35" s="58">
        <f t="shared" si="8"/>
        <v>6095.88</v>
      </c>
      <c r="R35" s="58">
        <f t="shared" si="8"/>
        <v>6095.88</v>
      </c>
      <c r="S35" s="58">
        <f t="shared" si="8"/>
        <v>6095.88</v>
      </c>
      <c r="T35" s="58">
        <f t="shared" si="8"/>
        <v>6095.88</v>
      </c>
      <c r="U35" s="58">
        <f t="shared" si="8"/>
        <v>6095.88</v>
      </c>
      <c r="V35" s="58">
        <f t="shared" si="8"/>
        <v>6095.88</v>
      </c>
      <c r="W35" s="58">
        <f t="shared" si="8"/>
        <v>6095.88</v>
      </c>
      <c r="X35" s="58">
        <f t="shared" si="8"/>
        <v>6095.88</v>
      </c>
      <c r="Y35" s="58">
        <f t="shared" si="8"/>
        <v>6095.88</v>
      </c>
      <c r="Z35" s="58">
        <f t="shared" si="8"/>
        <v>6095.88</v>
      </c>
      <c r="AA35" s="58">
        <f t="shared" si="8"/>
        <v>6095.88</v>
      </c>
      <c r="AB35" s="58">
        <f t="shared" si="8"/>
        <v>6095.88</v>
      </c>
      <c r="AC35" s="58">
        <f t="shared" si="8"/>
        <v>6095.88</v>
      </c>
      <c r="AD35" s="58">
        <f t="shared" si="8"/>
        <v>6095.88</v>
      </c>
      <c r="AE35" s="58">
        <f t="shared" si="8"/>
        <v>6095.88</v>
      </c>
      <c r="AF35" s="58">
        <f t="shared" si="8"/>
        <v>6095.88</v>
      </c>
      <c r="AG35" s="58">
        <f t="shared" si="8"/>
        <v>6095.88</v>
      </c>
      <c r="AH35" s="58">
        <f t="shared" si="8"/>
        <v>6095.88</v>
      </c>
      <c r="AI35" s="58">
        <f t="shared" si="8"/>
        <v>6095.88</v>
      </c>
      <c r="AJ35" s="58">
        <f t="shared" si="8"/>
        <v>6095.88</v>
      </c>
      <c r="AK35" s="58">
        <f t="shared" si="8"/>
        <v>6095.88</v>
      </c>
      <c r="AL35" s="58">
        <f t="shared" si="8"/>
        <v>6095.88</v>
      </c>
    </row>
    <row r="36" spans="1:38" ht="13.15" customHeight="1" x14ac:dyDescent="0.2">
      <c r="A36" s="34" t="s">
        <v>816</v>
      </c>
      <c r="B36" s="314">
        <f>'01 - Dados de Entrada'!$C$107*'01 - Dados de Entrada'!$C$104</f>
        <v>0.01</v>
      </c>
      <c r="C36" s="279">
        <f t="shared" si="2"/>
        <v>202370</v>
      </c>
      <c r="D36" s="46">
        <f>$B$36*'04 - Veículos e Equipamentos'!B65*'01 - Dados de Entrada'!$C$65+'04 - Veículos e Equipamentos'!B65*'01 - Dados de Entrada'!$C$108</f>
        <v>5782</v>
      </c>
      <c r="E36" s="46">
        <f>$B$36*'04 - Veículos e Equipamentos'!C65*'01 - Dados de Entrada'!$C$65+'04 - Veículos e Equipamentos'!C65*'01 - Dados de Entrada'!$C$108</f>
        <v>5782</v>
      </c>
      <c r="F36" s="46">
        <f>$B$36*'04 - Veículos e Equipamentos'!D65*'01 - Dados de Entrada'!$C$65+'04 - Veículos e Equipamentos'!D65*'01 - Dados de Entrada'!$C$108</f>
        <v>5782</v>
      </c>
      <c r="G36" s="46">
        <f>$B$36*'04 - Veículos e Equipamentos'!E65*'01 - Dados de Entrada'!$C$65+'04 - Veículos e Equipamentos'!E65*'01 - Dados de Entrada'!$C$108</f>
        <v>5782</v>
      </c>
      <c r="H36" s="46">
        <f>$B$36*'04 - Veículos e Equipamentos'!F65*'01 - Dados de Entrada'!$C$65+'04 - Veículos e Equipamentos'!F65*'01 - Dados de Entrada'!$C$108</f>
        <v>5782</v>
      </c>
      <c r="I36" s="46">
        <f>$B$36*'04 - Veículos e Equipamentos'!G65*'01 - Dados de Entrada'!$C$65+'04 - Veículos e Equipamentos'!G65*'01 - Dados de Entrada'!$C$108</f>
        <v>5782</v>
      </c>
      <c r="J36" s="46">
        <f>$B$36*'04 - Veículos e Equipamentos'!H65*'01 - Dados de Entrada'!$C$65+'04 - Veículos e Equipamentos'!H65*'01 - Dados de Entrada'!$C$108</f>
        <v>5782</v>
      </c>
      <c r="K36" s="46">
        <f>$B$36*'04 - Veículos e Equipamentos'!I65*'01 - Dados de Entrada'!$C$65+'04 - Veículos e Equipamentos'!I65*'01 - Dados de Entrada'!$C$108</f>
        <v>5782</v>
      </c>
      <c r="L36" s="46">
        <f>$B$36*'04 - Veículos e Equipamentos'!J65*'01 - Dados de Entrada'!$C$65+'04 - Veículos e Equipamentos'!J65*'01 - Dados de Entrada'!$C$108</f>
        <v>5782</v>
      </c>
      <c r="M36" s="46">
        <f>$B$36*'04 - Veículos e Equipamentos'!K65*'01 - Dados de Entrada'!$C$65+'04 - Veículos e Equipamentos'!K65*'01 - Dados de Entrada'!$C$108</f>
        <v>5782</v>
      </c>
      <c r="N36" s="46">
        <f>$B$36*'04 - Veículos e Equipamentos'!L65*'01 - Dados de Entrada'!$C$65+'04 - Veículos e Equipamentos'!L65*'01 - Dados de Entrada'!$C$108</f>
        <v>5782</v>
      </c>
      <c r="O36" s="46">
        <f>$B$36*'04 - Veículos e Equipamentos'!M65*'01 - Dados de Entrada'!$C$65+'04 - Veículos e Equipamentos'!M65*'01 - Dados de Entrada'!$C$108</f>
        <v>5782</v>
      </c>
      <c r="P36" s="46">
        <f>$B$36*'04 - Veículos e Equipamentos'!N65*'01 - Dados de Entrada'!$C$65+'04 - Veículos e Equipamentos'!N65*'01 - Dados de Entrada'!$C$108</f>
        <v>5782</v>
      </c>
      <c r="Q36" s="46">
        <f>$B$36*'04 - Veículos e Equipamentos'!O65*'01 - Dados de Entrada'!$C$65+'04 - Veículos e Equipamentos'!O65*'01 - Dados de Entrada'!$C$108</f>
        <v>5782</v>
      </c>
      <c r="R36" s="46">
        <f>$B$36*'04 - Veículos e Equipamentos'!P65*'01 - Dados de Entrada'!$C$65+'04 - Veículos e Equipamentos'!P65*'01 - Dados de Entrada'!$C$108</f>
        <v>5782</v>
      </c>
      <c r="S36" s="46">
        <f>$B$36*'04 - Veículos e Equipamentos'!Q65*'01 - Dados de Entrada'!$C$65+'04 - Veículos e Equipamentos'!Q65*'01 - Dados de Entrada'!$C$108</f>
        <v>5782</v>
      </c>
      <c r="T36" s="46">
        <f>$B$36*'04 - Veículos e Equipamentos'!R65*'01 - Dados de Entrada'!$C$65+'04 - Veículos e Equipamentos'!R65*'01 - Dados de Entrada'!$C$108</f>
        <v>5782</v>
      </c>
      <c r="U36" s="46">
        <f>$B$36*'04 - Veículos e Equipamentos'!S65*'01 - Dados de Entrada'!$C$65+'04 - Veículos e Equipamentos'!S65*'01 - Dados de Entrada'!$C$108</f>
        <v>5782</v>
      </c>
      <c r="V36" s="46">
        <f>$B$36*'04 - Veículos e Equipamentos'!T65*'01 - Dados de Entrada'!$C$65+'04 - Veículos e Equipamentos'!T65*'01 - Dados de Entrada'!$C$108</f>
        <v>5782</v>
      </c>
      <c r="W36" s="46">
        <f>$B$36*'04 - Veículos e Equipamentos'!U65*'01 - Dados de Entrada'!$C$65+'04 - Veículos e Equipamentos'!U65*'01 - Dados de Entrada'!$C$108</f>
        <v>5782</v>
      </c>
      <c r="X36" s="46">
        <f>$B$36*'04 - Veículos e Equipamentos'!V65*'01 - Dados de Entrada'!$C$65+'04 - Veículos e Equipamentos'!V65*'01 - Dados de Entrada'!$C$108</f>
        <v>5782</v>
      </c>
      <c r="Y36" s="46">
        <f>$B$36*'04 - Veículos e Equipamentos'!W65*'01 - Dados de Entrada'!$C$65+'04 - Veículos e Equipamentos'!W65*'01 - Dados de Entrada'!$C$108</f>
        <v>5782</v>
      </c>
      <c r="Z36" s="46">
        <f>$B$36*'04 - Veículos e Equipamentos'!X65*'01 - Dados de Entrada'!$C$65+'04 - Veículos e Equipamentos'!X65*'01 - Dados de Entrada'!$C$108</f>
        <v>5782</v>
      </c>
      <c r="AA36" s="46">
        <f>$B$36*'04 - Veículos e Equipamentos'!Y65*'01 - Dados de Entrada'!$C$65+'04 - Veículos e Equipamentos'!Y65*'01 - Dados de Entrada'!$C$108</f>
        <v>5782</v>
      </c>
      <c r="AB36" s="46">
        <f>$B$36*'04 - Veículos e Equipamentos'!Z65*'01 - Dados de Entrada'!$C$65+'04 - Veículos e Equipamentos'!Z65*'01 - Dados de Entrada'!$C$108</f>
        <v>5782</v>
      </c>
      <c r="AC36" s="46">
        <f>$B$36*'04 - Veículos e Equipamentos'!AA65*'01 - Dados de Entrada'!$C$65+'04 - Veículos e Equipamentos'!AA65*'01 - Dados de Entrada'!$C$108</f>
        <v>5782</v>
      </c>
      <c r="AD36" s="46">
        <f>$B$36*'04 - Veículos e Equipamentos'!AB65*'01 - Dados de Entrada'!$C$65+'04 - Veículos e Equipamentos'!AB65*'01 - Dados de Entrada'!$C$108</f>
        <v>5782</v>
      </c>
      <c r="AE36" s="46">
        <f>$B$36*'04 - Veículos e Equipamentos'!AC65*'01 - Dados de Entrada'!$C$65+'04 - Veículos e Equipamentos'!AC65*'01 - Dados de Entrada'!$C$108</f>
        <v>5782</v>
      </c>
      <c r="AF36" s="46">
        <f>$B$36*'04 - Veículos e Equipamentos'!AD65*'01 - Dados de Entrada'!$C$65+'04 - Veículos e Equipamentos'!AD65*'01 - Dados de Entrada'!$C$108</f>
        <v>5782</v>
      </c>
      <c r="AG36" s="46">
        <f>$B$36*'04 - Veículos e Equipamentos'!AE65*'01 - Dados de Entrada'!$C$65+'04 - Veículos e Equipamentos'!AE65*'01 - Dados de Entrada'!$C$108</f>
        <v>5782</v>
      </c>
      <c r="AH36" s="46">
        <f>$B$36*'04 - Veículos e Equipamentos'!AF65*'01 - Dados de Entrada'!$C$65+'04 - Veículos e Equipamentos'!AF65*'01 - Dados de Entrada'!$C$108</f>
        <v>5782</v>
      </c>
      <c r="AI36" s="46">
        <f>$B$36*'04 - Veículos e Equipamentos'!AG65*'01 - Dados de Entrada'!$C$65+'04 - Veículos e Equipamentos'!AG65*'01 - Dados de Entrada'!$C$108</f>
        <v>5782</v>
      </c>
      <c r="AJ36" s="46">
        <f>$B$36*'04 - Veículos e Equipamentos'!AH65*'01 - Dados de Entrada'!$C$65+'04 - Veículos e Equipamentos'!AH65*'01 - Dados de Entrada'!$C$108</f>
        <v>5782</v>
      </c>
      <c r="AK36" s="46">
        <f>$B$36*'04 - Veículos e Equipamentos'!AI65*'01 - Dados de Entrada'!$C$65+'04 - Veículos e Equipamentos'!AI65*'01 - Dados de Entrada'!$C$108</f>
        <v>5782</v>
      </c>
      <c r="AL36" s="46">
        <f>$B$36*'04 - Veículos e Equipamentos'!AJ65*'01 - Dados de Entrada'!$C$65+'04 - Veículos e Equipamentos'!AJ65*'01 - Dados de Entrada'!$C$108</f>
        <v>5782</v>
      </c>
    </row>
    <row r="37" spans="1:38" ht="13.15" customHeight="1" x14ac:dyDescent="0.2">
      <c r="A37" s="36" t="s">
        <v>819</v>
      </c>
      <c r="B37" s="314">
        <f>'01 - Dados de Entrada'!$C$107*'01 - Dados de Entrada'!$C$106</f>
        <v>0.01</v>
      </c>
      <c r="C37" s="279">
        <f t="shared" si="2"/>
        <v>10985.799999999996</v>
      </c>
      <c r="D37" s="46">
        <f>$B$37*'04 - Veículos e Equipamentos'!B66*'01 - Dados de Entrada'!$C$57+'04 - Veículos e Equipamentos'!B66*'01 - Dados de Entrada'!$C$113</f>
        <v>313.88</v>
      </c>
      <c r="E37" s="46">
        <f>$B$37*'04 - Veículos e Equipamentos'!C66*'01 - Dados de Entrada'!$C$57+'04 - Veículos e Equipamentos'!C66*'01 - Dados de Entrada'!$C$113</f>
        <v>313.88</v>
      </c>
      <c r="F37" s="46">
        <f>$B$37*'04 - Veículos e Equipamentos'!D66*'01 - Dados de Entrada'!$C$57+'04 - Veículos e Equipamentos'!D66*'01 - Dados de Entrada'!$C$113</f>
        <v>313.88</v>
      </c>
      <c r="G37" s="46">
        <f>$B$37*'04 - Veículos e Equipamentos'!E66*'01 - Dados de Entrada'!$C$57+'04 - Veículos e Equipamentos'!E66*'01 - Dados de Entrada'!$C$113</f>
        <v>313.88</v>
      </c>
      <c r="H37" s="46">
        <f>$B$37*'04 - Veículos e Equipamentos'!F66*'01 - Dados de Entrada'!$C$57+'04 - Veículos e Equipamentos'!F66*'01 - Dados de Entrada'!$C$113</f>
        <v>313.88</v>
      </c>
      <c r="I37" s="46">
        <f>$B$37*'04 - Veículos e Equipamentos'!G66*'01 - Dados de Entrada'!$C$57+'04 - Veículos e Equipamentos'!G66*'01 - Dados de Entrada'!$C$113</f>
        <v>313.88</v>
      </c>
      <c r="J37" s="46">
        <f>$B$37*'04 - Veículos e Equipamentos'!H66*'01 - Dados de Entrada'!$C$57+'04 - Veículos e Equipamentos'!H66*'01 - Dados de Entrada'!$C$113</f>
        <v>313.88</v>
      </c>
      <c r="K37" s="46">
        <f>$B$37*'04 - Veículos e Equipamentos'!I66*'01 - Dados de Entrada'!$C$57+'04 - Veículos e Equipamentos'!I66*'01 - Dados de Entrada'!$C$113</f>
        <v>313.88</v>
      </c>
      <c r="L37" s="46">
        <f>$B$37*'04 - Veículos e Equipamentos'!J66*'01 - Dados de Entrada'!$C$57+'04 - Veículos e Equipamentos'!J66*'01 - Dados de Entrada'!$C$113</f>
        <v>313.88</v>
      </c>
      <c r="M37" s="46">
        <f>$B$37*'04 - Veículos e Equipamentos'!K66*'01 - Dados de Entrada'!$C$57+'04 - Veículos e Equipamentos'!K66*'01 - Dados de Entrada'!$C$113</f>
        <v>313.88</v>
      </c>
      <c r="N37" s="46">
        <f>$B$37*'04 - Veículos e Equipamentos'!L66*'01 - Dados de Entrada'!$C$57+'04 - Veículos e Equipamentos'!L66*'01 - Dados de Entrada'!$C$113</f>
        <v>313.88</v>
      </c>
      <c r="O37" s="46">
        <f>$B$37*'04 - Veículos e Equipamentos'!M66*'01 - Dados de Entrada'!$C$57+'04 - Veículos e Equipamentos'!M66*'01 - Dados de Entrada'!$C$113</f>
        <v>313.88</v>
      </c>
      <c r="P37" s="46">
        <f>$B$37*'04 - Veículos e Equipamentos'!N66*'01 - Dados de Entrada'!$C$57+'04 - Veículos e Equipamentos'!N66*'01 - Dados de Entrada'!$C$113</f>
        <v>313.88</v>
      </c>
      <c r="Q37" s="46">
        <f>$B$37*'04 - Veículos e Equipamentos'!O66*'01 - Dados de Entrada'!$C$57+'04 - Veículos e Equipamentos'!O66*'01 - Dados de Entrada'!$C$113</f>
        <v>313.88</v>
      </c>
      <c r="R37" s="46">
        <f>$B$37*'04 - Veículos e Equipamentos'!P66*'01 - Dados de Entrada'!$C$57+'04 - Veículos e Equipamentos'!P66*'01 - Dados de Entrada'!$C$113</f>
        <v>313.88</v>
      </c>
      <c r="S37" s="46">
        <f>$B$37*'04 - Veículos e Equipamentos'!Q66*'01 - Dados de Entrada'!$C$57+'04 - Veículos e Equipamentos'!Q66*'01 - Dados de Entrada'!$C$113</f>
        <v>313.88</v>
      </c>
      <c r="T37" s="46">
        <f>$B$37*'04 - Veículos e Equipamentos'!R66*'01 - Dados de Entrada'!$C$57+'04 - Veículos e Equipamentos'!R66*'01 - Dados de Entrada'!$C$113</f>
        <v>313.88</v>
      </c>
      <c r="U37" s="46">
        <f>$B$37*'04 - Veículos e Equipamentos'!S66*'01 - Dados de Entrada'!$C$57+'04 - Veículos e Equipamentos'!S66*'01 - Dados de Entrada'!$C$113</f>
        <v>313.88</v>
      </c>
      <c r="V37" s="46">
        <f>$B$37*'04 - Veículos e Equipamentos'!T66*'01 - Dados de Entrada'!$C$57+'04 - Veículos e Equipamentos'!T66*'01 - Dados de Entrada'!$C$113</f>
        <v>313.88</v>
      </c>
      <c r="W37" s="46">
        <f>$B$37*'04 - Veículos e Equipamentos'!U66*'01 - Dados de Entrada'!$C$57+'04 - Veículos e Equipamentos'!U66*'01 - Dados de Entrada'!$C$113</f>
        <v>313.88</v>
      </c>
      <c r="X37" s="46">
        <f>$B$37*'04 - Veículos e Equipamentos'!V66*'01 - Dados de Entrada'!$C$57+'04 - Veículos e Equipamentos'!V66*'01 - Dados de Entrada'!$C$113</f>
        <v>313.88</v>
      </c>
      <c r="Y37" s="46">
        <f>$B$37*'04 - Veículos e Equipamentos'!W66*'01 - Dados de Entrada'!$C$57+'04 - Veículos e Equipamentos'!W66*'01 - Dados de Entrada'!$C$113</f>
        <v>313.88</v>
      </c>
      <c r="Z37" s="46">
        <f>$B$37*'04 - Veículos e Equipamentos'!X66*'01 - Dados de Entrada'!$C$57+'04 - Veículos e Equipamentos'!X66*'01 - Dados de Entrada'!$C$113</f>
        <v>313.88</v>
      </c>
      <c r="AA37" s="46">
        <f>$B$37*'04 - Veículos e Equipamentos'!Y66*'01 - Dados de Entrada'!$C$57+'04 - Veículos e Equipamentos'!Y66*'01 - Dados de Entrada'!$C$113</f>
        <v>313.88</v>
      </c>
      <c r="AB37" s="46">
        <f>$B$37*'04 - Veículos e Equipamentos'!Z66*'01 - Dados de Entrada'!$C$57+'04 - Veículos e Equipamentos'!Z66*'01 - Dados de Entrada'!$C$113</f>
        <v>313.88</v>
      </c>
      <c r="AC37" s="46">
        <f>$B$37*'04 - Veículos e Equipamentos'!AA66*'01 - Dados de Entrada'!$C$57+'04 - Veículos e Equipamentos'!AA66*'01 - Dados de Entrada'!$C$113</f>
        <v>313.88</v>
      </c>
      <c r="AD37" s="46">
        <f>$B$37*'04 - Veículos e Equipamentos'!AB66*'01 - Dados de Entrada'!$C$57+'04 - Veículos e Equipamentos'!AB66*'01 - Dados de Entrada'!$C$113</f>
        <v>313.88</v>
      </c>
      <c r="AE37" s="46">
        <f>$B$37*'04 - Veículos e Equipamentos'!AC66*'01 - Dados de Entrada'!$C$57+'04 - Veículos e Equipamentos'!AC66*'01 - Dados de Entrada'!$C$113</f>
        <v>313.88</v>
      </c>
      <c r="AF37" s="46">
        <f>$B$37*'04 - Veículos e Equipamentos'!AD66*'01 - Dados de Entrada'!$C$57+'04 - Veículos e Equipamentos'!AD66*'01 - Dados de Entrada'!$C$113</f>
        <v>313.88</v>
      </c>
      <c r="AG37" s="46">
        <f>$B$37*'04 - Veículos e Equipamentos'!AE66*'01 - Dados de Entrada'!$C$57+'04 - Veículos e Equipamentos'!AE66*'01 - Dados de Entrada'!$C$113</f>
        <v>313.88</v>
      </c>
      <c r="AH37" s="46">
        <f>$B$37*'04 - Veículos e Equipamentos'!AF66*'01 - Dados de Entrada'!$C$57+'04 - Veículos e Equipamentos'!AF66*'01 - Dados de Entrada'!$C$113</f>
        <v>313.88</v>
      </c>
      <c r="AI37" s="46">
        <f>$B$37*'04 - Veículos e Equipamentos'!AG66*'01 - Dados de Entrada'!$C$57+'04 - Veículos e Equipamentos'!AG66*'01 - Dados de Entrada'!$C$113</f>
        <v>313.88</v>
      </c>
      <c r="AJ37" s="46">
        <f>$B$37*'04 - Veículos e Equipamentos'!AH66*'01 - Dados de Entrada'!$C$57+'04 - Veículos e Equipamentos'!AH66*'01 - Dados de Entrada'!$C$113</f>
        <v>313.88</v>
      </c>
      <c r="AK37" s="46">
        <f>$B$37*'04 - Veículos e Equipamentos'!AI66*'01 - Dados de Entrada'!$C$57+'04 - Veículos e Equipamentos'!AI66*'01 - Dados de Entrada'!$C$113</f>
        <v>313.88</v>
      </c>
      <c r="AL37" s="46">
        <f>$B$37*'04 - Veículos e Equipamentos'!AJ66*'01 - Dados de Entrada'!$C$57+'04 - Veículos e Equipamentos'!AJ66*'01 - Dados de Entrada'!$C$113</f>
        <v>313.88</v>
      </c>
    </row>
    <row r="38" spans="1:38" ht="13.15" customHeight="1" x14ac:dyDescent="0.2">
      <c r="A38" s="59" t="s">
        <v>885</v>
      </c>
      <c r="B38" s="512"/>
      <c r="C38" s="58">
        <f t="shared" si="2"/>
        <v>21971.599999999991</v>
      </c>
      <c r="D38" s="58">
        <f t="shared" ref="D38:AL38" si="9">SUM(D39:D39)</f>
        <v>627.76</v>
      </c>
      <c r="E38" s="58">
        <f t="shared" si="9"/>
        <v>627.76</v>
      </c>
      <c r="F38" s="58">
        <f t="shared" si="9"/>
        <v>627.76</v>
      </c>
      <c r="G38" s="58">
        <f t="shared" si="9"/>
        <v>627.76</v>
      </c>
      <c r="H38" s="58">
        <f t="shared" si="9"/>
        <v>627.76</v>
      </c>
      <c r="I38" s="58">
        <f t="shared" si="9"/>
        <v>627.76</v>
      </c>
      <c r="J38" s="58">
        <f t="shared" si="9"/>
        <v>627.76</v>
      </c>
      <c r="K38" s="58">
        <f t="shared" si="9"/>
        <v>627.76</v>
      </c>
      <c r="L38" s="58">
        <f t="shared" si="9"/>
        <v>627.76</v>
      </c>
      <c r="M38" s="58">
        <f t="shared" si="9"/>
        <v>627.76</v>
      </c>
      <c r="N38" s="58">
        <f t="shared" si="9"/>
        <v>627.76</v>
      </c>
      <c r="O38" s="58">
        <f t="shared" si="9"/>
        <v>627.76</v>
      </c>
      <c r="P38" s="58">
        <f t="shared" si="9"/>
        <v>627.76</v>
      </c>
      <c r="Q38" s="58">
        <f t="shared" si="9"/>
        <v>627.76</v>
      </c>
      <c r="R38" s="58">
        <f t="shared" si="9"/>
        <v>627.76</v>
      </c>
      <c r="S38" s="58">
        <f t="shared" si="9"/>
        <v>627.76</v>
      </c>
      <c r="T38" s="58">
        <f t="shared" si="9"/>
        <v>627.76</v>
      </c>
      <c r="U38" s="58">
        <f t="shared" si="9"/>
        <v>627.76</v>
      </c>
      <c r="V38" s="58">
        <f t="shared" si="9"/>
        <v>627.76</v>
      </c>
      <c r="W38" s="58">
        <f t="shared" si="9"/>
        <v>627.76</v>
      </c>
      <c r="X38" s="58">
        <f t="shared" si="9"/>
        <v>627.76</v>
      </c>
      <c r="Y38" s="58">
        <f t="shared" si="9"/>
        <v>627.76</v>
      </c>
      <c r="Z38" s="58">
        <f t="shared" si="9"/>
        <v>627.76</v>
      </c>
      <c r="AA38" s="58">
        <f t="shared" si="9"/>
        <v>627.76</v>
      </c>
      <c r="AB38" s="58">
        <f t="shared" si="9"/>
        <v>627.76</v>
      </c>
      <c r="AC38" s="58">
        <f t="shared" si="9"/>
        <v>627.76</v>
      </c>
      <c r="AD38" s="58">
        <f t="shared" si="9"/>
        <v>627.76</v>
      </c>
      <c r="AE38" s="58">
        <f t="shared" si="9"/>
        <v>627.76</v>
      </c>
      <c r="AF38" s="58">
        <f t="shared" si="9"/>
        <v>627.76</v>
      </c>
      <c r="AG38" s="58">
        <f t="shared" si="9"/>
        <v>627.76</v>
      </c>
      <c r="AH38" s="58">
        <f t="shared" si="9"/>
        <v>627.76</v>
      </c>
      <c r="AI38" s="58">
        <f t="shared" si="9"/>
        <v>627.76</v>
      </c>
      <c r="AJ38" s="58">
        <f t="shared" si="9"/>
        <v>627.76</v>
      </c>
      <c r="AK38" s="58">
        <f t="shared" si="9"/>
        <v>627.76</v>
      </c>
      <c r="AL38" s="58">
        <f t="shared" si="9"/>
        <v>627.76</v>
      </c>
    </row>
    <row r="39" spans="1:38" ht="13.15" customHeight="1" x14ac:dyDescent="0.2">
      <c r="A39" s="34" t="s">
        <v>819</v>
      </c>
      <c r="B39" s="314">
        <f>'01 - Dados de Entrada'!$C$107*'01 - Dados de Entrada'!$C$106</f>
        <v>0.01</v>
      </c>
      <c r="C39" s="279">
        <f>SUM(D39:AL39)</f>
        <v>21971.599999999991</v>
      </c>
      <c r="D39" s="46">
        <f>$B$39*'04 - Veículos e Equipamentos'!B74*'01 - Dados de Entrada'!$C$57+'04 - Veículos e Equipamentos'!B74*'01 - Dados de Entrada'!$C$113</f>
        <v>627.76</v>
      </c>
      <c r="E39" s="46">
        <f>$B$39*'04 - Veículos e Equipamentos'!C74*'01 - Dados de Entrada'!$C$57+'04 - Veículos e Equipamentos'!C74*'01 - Dados de Entrada'!$C$113</f>
        <v>627.76</v>
      </c>
      <c r="F39" s="46">
        <f>$B$39*'04 - Veículos e Equipamentos'!D74*'01 - Dados de Entrada'!$C$57+'04 - Veículos e Equipamentos'!D74*'01 - Dados de Entrada'!$C$113</f>
        <v>627.76</v>
      </c>
      <c r="G39" s="46">
        <f>$B$39*'04 - Veículos e Equipamentos'!E74*'01 - Dados de Entrada'!$C$57+'04 - Veículos e Equipamentos'!E74*'01 - Dados de Entrada'!$C$113</f>
        <v>627.76</v>
      </c>
      <c r="H39" s="46">
        <f>$B$39*'04 - Veículos e Equipamentos'!F74*'01 - Dados de Entrada'!$C$57+'04 - Veículos e Equipamentos'!F74*'01 - Dados de Entrada'!$C$113</f>
        <v>627.76</v>
      </c>
      <c r="I39" s="46">
        <f>$B$39*'04 - Veículos e Equipamentos'!G74*'01 - Dados de Entrada'!$C$57+'04 - Veículos e Equipamentos'!G74*'01 - Dados de Entrada'!$C$113</f>
        <v>627.76</v>
      </c>
      <c r="J39" s="46">
        <f>$B$39*'04 - Veículos e Equipamentos'!H74*'01 - Dados de Entrada'!$C$57+'04 - Veículos e Equipamentos'!H74*'01 - Dados de Entrada'!$C$113</f>
        <v>627.76</v>
      </c>
      <c r="K39" s="46">
        <f>$B$39*'04 - Veículos e Equipamentos'!I74*'01 - Dados de Entrada'!$C$57+'04 - Veículos e Equipamentos'!I74*'01 - Dados de Entrada'!$C$113</f>
        <v>627.76</v>
      </c>
      <c r="L39" s="46">
        <f>$B$39*'04 - Veículos e Equipamentos'!J74*'01 - Dados de Entrada'!$C$57+'04 - Veículos e Equipamentos'!J74*'01 - Dados de Entrada'!$C$113</f>
        <v>627.76</v>
      </c>
      <c r="M39" s="46">
        <f>$B$39*'04 - Veículos e Equipamentos'!K74*'01 - Dados de Entrada'!$C$57+'04 - Veículos e Equipamentos'!K74*'01 - Dados de Entrada'!$C$113</f>
        <v>627.76</v>
      </c>
      <c r="N39" s="46">
        <f>$B$39*'04 - Veículos e Equipamentos'!L74*'01 - Dados de Entrada'!$C$57+'04 - Veículos e Equipamentos'!L74*'01 - Dados de Entrada'!$C$113</f>
        <v>627.76</v>
      </c>
      <c r="O39" s="46">
        <f>$B$39*'04 - Veículos e Equipamentos'!M74*'01 - Dados de Entrada'!$C$57+'04 - Veículos e Equipamentos'!M74*'01 - Dados de Entrada'!$C$113</f>
        <v>627.76</v>
      </c>
      <c r="P39" s="46">
        <f>$B$39*'04 - Veículos e Equipamentos'!N74*'01 - Dados de Entrada'!$C$57+'04 - Veículos e Equipamentos'!N74*'01 - Dados de Entrada'!$C$113</f>
        <v>627.76</v>
      </c>
      <c r="Q39" s="46">
        <f>$B$39*'04 - Veículos e Equipamentos'!O74*'01 - Dados de Entrada'!$C$57+'04 - Veículos e Equipamentos'!O74*'01 - Dados de Entrada'!$C$113</f>
        <v>627.76</v>
      </c>
      <c r="R39" s="46">
        <f>$B$39*'04 - Veículos e Equipamentos'!P74*'01 - Dados de Entrada'!$C$57+'04 - Veículos e Equipamentos'!P74*'01 - Dados de Entrada'!$C$113</f>
        <v>627.76</v>
      </c>
      <c r="S39" s="46">
        <f>$B$39*'04 - Veículos e Equipamentos'!Q74*'01 - Dados de Entrada'!$C$57+'04 - Veículos e Equipamentos'!Q74*'01 - Dados de Entrada'!$C$113</f>
        <v>627.76</v>
      </c>
      <c r="T39" s="46">
        <f>$B$39*'04 - Veículos e Equipamentos'!R74*'01 - Dados de Entrada'!$C$57+'04 - Veículos e Equipamentos'!R74*'01 - Dados de Entrada'!$C$113</f>
        <v>627.76</v>
      </c>
      <c r="U39" s="46">
        <f>$B$39*'04 - Veículos e Equipamentos'!S74*'01 - Dados de Entrada'!$C$57+'04 - Veículos e Equipamentos'!S74*'01 - Dados de Entrada'!$C$113</f>
        <v>627.76</v>
      </c>
      <c r="V39" s="46">
        <f>$B$39*'04 - Veículos e Equipamentos'!T74*'01 - Dados de Entrada'!$C$57+'04 - Veículos e Equipamentos'!T74*'01 - Dados de Entrada'!$C$113</f>
        <v>627.76</v>
      </c>
      <c r="W39" s="46">
        <f>$B$39*'04 - Veículos e Equipamentos'!U74*'01 - Dados de Entrada'!$C$57+'04 - Veículos e Equipamentos'!U74*'01 - Dados de Entrada'!$C$113</f>
        <v>627.76</v>
      </c>
      <c r="X39" s="46">
        <f>$B$39*'04 - Veículos e Equipamentos'!V74*'01 - Dados de Entrada'!$C$57+'04 - Veículos e Equipamentos'!V74*'01 - Dados de Entrada'!$C$113</f>
        <v>627.76</v>
      </c>
      <c r="Y39" s="46">
        <f>$B$39*'04 - Veículos e Equipamentos'!W74*'01 - Dados de Entrada'!$C$57+'04 - Veículos e Equipamentos'!W74*'01 - Dados de Entrada'!$C$113</f>
        <v>627.76</v>
      </c>
      <c r="Z39" s="46">
        <f>$B$39*'04 - Veículos e Equipamentos'!X74*'01 - Dados de Entrada'!$C$57+'04 - Veículos e Equipamentos'!X74*'01 - Dados de Entrada'!$C$113</f>
        <v>627.76</v>
      </c>
      <c r="AA39" s="46">
        <f>$B$39*'04 - Veículos e Equipamentos'!Y74*'01 - Dados de Entrada'!$C$57+'04 - Veículos e Equipamentos'!Y74*'01 - Dados de Entrada'!$C$113</f>
        <v>627.76</v>
      </c>
      <c r="AB39" s="46">
        <f>$B$39*'04 - Veículos e Equipamentos'!Z74*'01 - Dados de Entrada'!$C$57+'04 - Veículos e Equipamentos'!Z74*'01 - Dados de Entrada'!$C$113</f>
        <v>627.76</v>
      </c>
      <c r="AC39" s="46">
        <f>$B$39*'04 - Veículos e Equipamentos'!AA74*'01 - Dados de Entrada'!$C$57+'04 - Veículos e Equipamentos'!AA74*'01 - Dados de Entrada'!$C$113</f>
        <v>627.76</v>
      </c>
      <c r="AD39" s="46">
        <f>$B$39*'04 - Veículos e Equipamentos'!AB74*'01 - Dados de Entrada'!$C$57+'04 - Veículos e Equipamentos'!AB74*'01 - Dados de Entrada'!$C$113</f>
        <v>627.76</v>
      </c>
      <c r="AE39" s="46">
        <f>$B$39*'04 - Veículos e Equipamentos'!AC74*'01 - Dados de Entrada'!$C$57+'04 - Veículos e Equipamentos'!AC74*'01 - Dados de Entrada'!$C$113</f>
        <v>627.76</v>
      </c>
      <c r="AF39" s="46">
        <f>$B$39*'04 - Veículos e Equipamentos'!AD74*'01 - Dados de Entrada'!$C$57+'04 - Veículos e Equipamentos'!AD74*'01 - Dados de Entrada'!$C$113</f>
        <v>627.76</v>
      </c>
      <c r="AG39" s="46">
        <f>$B$39*'04 - Veículos e Equipamentos'!AE74*'01 - Dados de Entrada'!$C$57+'04 - Veículos e Equipamentos'!AE74*'01 - Dados de Entrada'!$C$113</f>
        <v>627.76</v>
      </c>
      <c r="AH39" s="46">
        <f>$B$39*'04 - Veículos e Equipamentos'!AF74*'01 - Dados de Entrada'!$C$57+'04 - Veículos e Equipamentos'!AF74*'01 - Dados de Entrada'!$C$113</f>
        <v>627.76</v>
      </c>
      <c r="AI39" s="46">
        <f>$B$39*'04 - Veículos e Equipamentos'!AG74*'01 - Dados de Entrada'!$C$57+'04 - Veículos e Equipamentos'!AG74*'01 - Dados de Entrada'!$C$113</f>
        <v>627.76</v>
      </c>
      <c r="AJ39" s="46">
        <f>$B$39*'04 - Veículos e Equipamentos'!AH74*'01 - Dados de Entrada'!$C$57+'04 - Veículos e Equipamentos'!AH74*'01 - Dados de Entrada'!$C$113</f>
        <v>627.76</v>
      </c>
      <c r="AK39" s="46">
        <f>$B$39*'04 - Veículos e Equipamentos'!AI74*'01 - Dados de Entrada'!$C$57+'04 - Veículos e Equipamentos'!AI74*'01 - Dados de Entrada'!$C$113</f>
        <v>627.76</v>
      </c>
      <c r="AL39" s="46">
        <f>$B$39*'04 - Veículos e Equipamentos'!AJ74*'01 - Dados de Entrada'!$C$57+'04 - Veículos e Equipamentos'!AJ74*'01 - Dados de Entrada'!$C$113</f>
        <v>627.76</v>
      </c>
    </row>
  </sheetData>
  <mergeCells count="1">
    <mergeCell ref="A5:B5"/>
  </mergeCells>
  <conditionalFormatting sqref="C8:AL13 C15:AL18 C20:AL23 C27:AL30 C39:AL39">
    <cfRule type="cellIs" dxfId="7" priority="29" stopIfTrue="1" operator="equal">
      <formula>"N"</formula>
    </cfRule>
  </conditionalFormatting>
  <conditionalFormatting sqref="C25:AL25">
    <cfRule type="cellIs" dxfId="6" priority="9" stopIfTrue="1" operator="equal">
      <formula>"N"</formula>
    </cfRule>
  </conditionalFormatting>
  <conditionalFormatting sqref="C32:AL34">
    <cfRule type="cellIs" dxfId="5" priority="4" stopIfTrue="1" operator="equal">
      <formula>"N"</formula>
    </cfRule>
  </conditionalFormatting>
  <conditionalFormatting sqref="C36:AL37">
    <cfRule type="cellIs" dxfId="4" priority="1" stopIfTrue="1" operator="equal">
      <formula>"N"</formula>
    </cfRule>
  </conditionalFormatting>
  <conditionalFormatting sqref="D5:AL5">
    <cfRule type="cellIs" dxfId="3" priority="54" stopIfTrue="1" operator="equal">
      <formula>"N"</formula>
    </cfRule>
  </conditionalFormatting>
  <pageMargins left="0.51181102362204722" right="0.51181102362204722" top="0.78740157480314965" bottom="0.78740157480314965" header="0.31496062992125984" footer="0.31496062992125984"/>
  <pageSetup paperSize="9" scale="2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ilha13"/>
  <dimension ref="A1:AN38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74.7109375" style="20" customWidth="1"/>
    <col min="2" max="2" width="17.28515625" style="20" bestFit="1" customWidth="1"/>
    <col min="3" max="3" width="15.28515625" style="20" bestFit="1" customWidth="1"/>
    <col min="4" max="4" width="9.28515625" style="20"/>
    <col min="5" max="5" width="14.7109375" style="20" bestFit="1" customWidth="1"/>
    <col min="6" max="40" width="13.57031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</row>
    <row r="2" spans="1:40" ht="13.15" customHeight="1" x14ac:dyDescent="0.2">
      <c r="A2" s="21" t="s">
        <v>1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</row>
    <row r="3" spans="1:40" ht="13.15" customHeight="1" x14ac:dyDescent="0.2">
      <c r="A3" s="21" t="s">
        <v>1052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  <c r="AK3" s="493"/>
      <c r="AL3" s="493"/>
      <c r="AM3" s="493"/>
      <c r="AN3" s="493"/>
    </row>
    <row r="5" spans="1:40" ht="13.15" customHeight="1" x14ac:dyDescent="0.2">
      <c r="A5" s="21" t="s">
        <v>1053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  <c r="Z5" s="493"/>
      <c r="AA5" s="493"/>
      <c r="AB5" s="493"/>
      <c r="AC5" s="493"/>
      <c r="AD5" s="493"/>
      <c r="AE5" s="493"/>
      <c r="AF5" s="493"/>
      <c r="AG5" s="493"/>
      <c r="AH5" s="493"/>
      <c r="AI5" s="493"/>
      <c r="AJ5" s="493"/>
      <c r="AK5" s="493"/>
      <c r="AL5" s="493"/>
      <c r="AM5" s="493"/>
      <c r="AN5" s="493"/>
    </row>
    <row r="6" spans="1:40" ht="13.15" customHeight="1" x14ac:dyDescent="0.2">
      <c r="A6" s="73" t="s">
        <v>1054</v>
      </c>
      <c r="B6" s="93" t="s">
        <v>1055</v>
      </c>
      <c r="C6" s="73" t="s">
        <v>1056</v>
      </c>
      <c r="D6" s="493"/>
      <c r="E6" s="81" t="s">
        <v>1057</v>
      </c>
      <c r="F6" s="81" t="s">
        <v>708</v>
      </c>
      <c r="G6" s="81" t="s">
        <v>709</v>
      </c>
      <c r="H6" s="81" t="s">
        <v>710</v>
      </c>
      <c r="I6" s="81" t="s">
        <v>711</v>
      </c>
      <c r="J6" s="81" t="s">
        <v>712</v>
      </c>
      <c r="K6" s="81" t="s">
        <v>713</v>
      </c>
      <c r="L6" s="81" t="s">
        <v>714</v>
      </c>
      <c r="M6" s="81" t="s">
        <v>715</v>
      </c>
      <c r="N6" s="81" t="s">
        <v>716</v>
      </c>
      <c r="O6" s="81" t="s">
        <v>717</v>
      </c>
      <c r="P6" s="81" t="s">
        <v>718</v>
      </c>
      <c r="Q6" s="81" t="s">
        <v>719</v>
      </c>
      <c r="R6" s="81" t="s">
        <v>720</v>
      </c>
      <c r="S6" s="81" t="s">
        <v>721</v>
      </c>
      <c r="T6" s="81" t="s">
        <v>722</v>
      </c>
      <c r="U6" s="81" t="s">
        <v>723</v>
      </c>
      <c r="V6" s="81" t="s">
        <v>724</v>
      </c>
      <c r="W6" s="81" t="s">
        <v>725</v>
      </c>
      <c r="X6" s="81" t="s">
        <v>726</v>
      </c>
      <c r="Y6" s="81" t="s">
        <v>727</v>
      </c>
      <c r="Z6" s="81" t="s">
        <v>728</v>
      </c>
      <c r="AA6" s="81" t="s">
        <v>729</v>
      </c>
      <c r="AB6" s="81" t="s">
        <v>730</v>
      </c>
      <c r="AC6" s="81" t="s">
        <v>731</v>
      </c>
      <c r="AD6" s="81" t="s">
        <v>732</v>
      </c>
      <c r="AE6" s="81" t="s">
        <v>733</v>
      </c>
      <c r="AF6" s="81" t="s">
        <v>734</v>
      </c>
      <c r="AG6" s="81" t="s">
        <v>735</v>
      </c>
      <c r="AH6" s="81" t="s">
        <v>736</v>
      </c>
      <c r="AI6" s="81" t="s">
        <v>737</v>
      </c>
      <c r="AJ6" s="81" t="s">
        <v>738</v>
      </c>
      <c r="AK6" s="81" t="s">
        <v>739</v>
      </c>
      <c r="AL6" s="81" t="s">
        <v>740</v>
      </c>
      <c r="AM6" s="81" t="s">
        <v>741</v>
      </c>
      <c r="AN6" s="81" t="s">
        <v>742</v>
      </c>
    </row>
    <row r="7" spans="1:40" ht="13.15" customHeight="1" x14ac:dyDescent="0.2">
      <c r="A7" s="110" t="s">
        <v>1058</v>
      </c>
      <c r="B7" s="96">
        <f>SUM(B8:B18)</f>
        <v>31610.666666666664</v>
      </c>
      <c r="C7" s="92">
        <f>SUM(C8:C18)</f>
        <v>379328</v>
      </c>
      <c r="D7" s="493"/>
      <c r="E7" s="92">
        <f>SUM(E8:E18)</f>
        <v>11356480</v>
      </c>
      <c r="F7" s="92">
        <f>SUM(F8:F18)</f>
        <v>379328</v>
      </c>
      <c r="G7" s="92">
        <f>SUM(G8:G18)</f>
        <v>379328</v>
      </c>
      <c r="H7" s="92">
        <f t="shared" ref="H7:AI7" si="0">SUM(H8:H18)</f>
        <v>379328</v>
      </c>
      <c r="I7" s="92">
        <f t="shared" si="0"/>
        <v>319328</v>
      </c>
      <c r="J7" s="92">
        <f t="shared" si="0"/>
        <v>319328</v>
      </c>
      <c r="K7" s="92">
        <f t="shared" si="0"/>
        <v>319328</v>
      </c>
      <c r="L7" s="92">
        <f t="shared" si="0"/>
        <v>319328</v>
      </c>
      <c r="M7" s="92">
        <f t="shared" si="0"/>
        <v>319328</v>
      </c>
      <c r="N7" s="92">
        <f t="shared" si="0"/>
        <v>319328</v>
      </c>
      <c r="O7" s="92">
        <f t="shared" si="0"/>
        <v>319328</v>
      </c>
      <c r="P7" s="92">
        <f t="shared" si="0"/>
        <v>319328</v>
      </c>
      <c r="Q7" s="92">
        <f t="shared" si="0"/>
        <v>319328</v>
      </c>
      <c r="R7" s="92">
        <f t="shared" si="0"/>
        <v>319328</v>
      </c>
      <c r="S7" s="92">
        <f t="shared" si="0"/>
        <v>319328</v>
      </c>
      <c r="T7" s="92">
        <f t="shared" si="0"/>
        <v>319328</v>
      </c>
      <c r="U7" s="92">
        <f t="shared" si="0"/>
        <v>319328</v>
      </c>
      <c r="V7" s="92">
        <f t="shared" si="0"/>
        <v>319328</v>
      </c>
      <c r="W7" s="92">
        <f t="shared" si="0"/>
        <v>319328</v>
      </c>
      <c r="X7" s="92">
        <f t="shared" si="0"/>
        <v>319328</v>
      </c>
      <c r="Y7" s="92">
        <f t="shared" si="0"/>
        <v>319328</v>
      </c>
      <c r="Z7" s="92">
        <f t="shared" si="0"/>
        <v>319328</v>
      </c>
      <c r="AA7" s="92">
        <f t="shared" si="0"/>
        <v>319328</v>
      </c>
      <c r="AB7" s="92">
        <f t="shared" si="0"/>
        <v>319328</v>
      </c>
      <c r="AC7" s="92">
        <f t="shared" si="0"/>
        <v>319328</v>
      </c>
      <c r="AD7" s="92">
        <f t="shared" si="0"/>
        <v>319328</v>
      </c>
      <c r="AE7" s="92">
        <f t="shared" si="0"/>
        <v>319328</v>
      </c>
      <c r="AF7" s="92">
        <f t="shared" si="0"/>
        <v>319328</v>
      </c>
      <c r="AG7" s="92">
        <f t="shared" si="0"/>
        <v>319328</v>
      </c>
      <c r="AH7" s="92">
        <f t="shared" si="0"/>
        <v>319328</v>
      </c>
      <c r="AI7" s="92">
        <f t="shared" si="0"/>
        <v>319328</v>
      </c>
      <c r="AJ7" s="92">
        <f>SUM(AJ8:AJ18)</f>
        <v>319328</v>
      </c>
      <c r="AK7" s="92">
        <f>SUM(AK8:AK18)</f>
        <v>319328</v>
      </c>
      <c r="AL7" s="92">
        <f>SUM(AL8:AL18)</f>
        <v>319328</v>
      </c>
      <c r="AM7" s="92">
        <f>SUM(AM8:AM18)</f>
        <v>319328</v>
      </c>
      <c r="AN7" s="92">
        <f>SUM(AN8:AN18)</f>
        <v>319328</v>
      </c>
    </row>
    <row r="8" spans="1:40" ht="13.15" customHeight="1" x14ac:dyDescent="0.2">
      <c r="A8" s="514" t="s">
        <v>1059</v>
      </c>
      <c r="B8" s="515">
        <f>'01 - Dados de Entrada'!C372/12/2</f>
        <v>5000</v>
      </c>
      <c r="C8" s="516">
        <f>B8*12</f>
        <v>60000</v>
      </c>
      <c r="D8" s="493"/>
      <c r="E8" s="516">
        <f>SUM(F8:AN8)</f>
        <v>180000</v>
      </c>
      <c r="F8" s="516">
        <f t="shared" ref="F8:F18" si="1">C8</f>
        <v>60000</v>
      </c>
      <c r="G8" s="516">
        <f t="shared" ref="G8:G18" si="2">F8</f>
        <v>60000</v>
      </c>
      <c r="H8" s="516">
        <f>G8</f>
        <v>60000</v>
      </c>
      <c r="I8" s="516">
        <v>0</v>
      </c>
      <c r="J8" s="516">
        <v>0</v>
      </c>
      <c r="K8" s="516">
        <v>0</v>
      </c>
      <c r="L8" s="516">
        <v>0</v>
      </c>
      <c r="M8" s="516">
        <v>0</v>
      </c>
      <c r="N8" s="516">
        <v>0</v>
      </c>
      <c r="O8" s="516">
        <v>0</v>
      </c>
      <c r="P8" s="516">
        <v>0</v>
      </c>
      <c r="Q8" s="516">
        <v>0</v>
      </c>
      <c r="R8" s="516">
        <v>0</v>
      </c>
      <c r="S8" s="516">
        <v>0</v>
      </c>
      <c r="T8" s="516">
        <v>0</v>
      </c>
      <c r="U8" s="516">
        <v>0</v>
      </c>
      <c r="V8" s="516">
        <v>0</v>
      </c>
      <c r="W8" s="516">
        <v>0</v>
      </c>
      <c r="X8" s="516">
        <v>0</v>
      </c>
      <c r="Y8" s="516">
        <v>0</v>
      </c>
      <c r="Z8" s="516">
        <v>0</v>
      </c>
      <c r="AA8" s="516">
        <v>0</v>
      </c>
      <c r="AB8" s="516">
        <v>0</v>
      </c>
      <c r="AC8" s="516">
        <v>0</v>
      </c>
      <c r="AD8" s="516">
        <v>0</v>
      </c>
      <c r="AE8" s="516">
        <v>0</v>
      </c>
      <c r="AF8" s="516">
        <v>0</v>
      </c>
      <c r="AG8" s="516">
        <v>0</v>
      </c>
      <c r="AH8" s="516">
        <v>0</v>
      </c>
      <c r="AI8" s="516">
        <v>0</v>
      </c>
      <c r="AJ8" s="516">
        <v>0</v>
      </c>
      <c r="AK8" s="516">
        <v>0</v>
      </c>
      <c r="AL8" s="516">
        <v>0</v>
      </c>
      <c r="AM8" s="516">
        <v>0</v>
      </c>
      <c r="AN8" s="516">
        <v>0</v>
      </c>
    </row>
    <row r="9" spans="1:40" ht="13.15" customHeight="1" x14ac:dyDescent="0.2">
      <c r="A9" s="514" t="s">
        <v>1060</v>
      </c>
      <c r="B9" s="516">
        <v>1500</v>
      </c>
      <c r="C9" s="516">
        <f t="shared" ref="C9:C36" si="3">B9*12</f>
        <v>18000</v>
      </c>
      <c r="D9" s="493"/>
      <c r="E9" s="516">
        <f t="shared" ref="E9:E18" si="4">SUM(F9:AN9)</f>
        <v>630000</v>
      </c>
      <c r="F9" s="516">
        <f t="shared" si="1"/>
        <v>18000</v>
      </c>
      <c r="G9" s="516">
        <f t="shared" si="2"/>
        <v>18000</v>
      </c>
      <c r="H9" s="516">
        <f t="shared" ref="H9:AI9" si="5">G9</f>
        <v>18000</v>
      </c>
      <c r="I9" s="516">
        <f t="shared" si="5"/>
        <v>18000</v>
      </c>
      <c r="J9" s="516">
        <f t="shared" si="5"/>
        <v>18000</v>
      </c>
      <c r="K9" s="516">
        <f t="shared" si="5"/>
        <v>18000</v>
      </c>
      <c r="L9" s="516">
        <f t="shared" si="5"/>
        <v>18000</v>
      </c>
      <c r="M9" s="516">
        <f t="shared" si="5"/>
        <v>18000</v>
      </c>
      <c r="N9" s="516">
        <f t="shared" si="5"/>
        <v>18000</v>
      </c>
      <c r="O9" s="516">
        <f t="shared" si="5"/>
        <v>18000</v>
      </c>
      <c r="P9" s="516">
        <f t="shared" si="5"/>
        <v>18000</v>
      </c>
      <c r="Q9" s="516">
        <f t="shared" si="5"/>
        <v>18000</v>
      </c>
      <c r="R9" s="516">
        <f t="shared" si="5"/>
        <v>18000</v>
      </c>
      <c r="S9" s="516">
        <f t="shared" si="5"/>
        <v>18000</v>
      </c>
      <c r="T9" s="516">
        <f t="shared" si="5"/>
        <v>18000</v>
      </c>
      <c r="U9" s="516">
        <f t="shared" si="5"/>
        <v>18000</v>
      </c>
      <c r="V9" s="516">
        <f t="shared" si="5"/>
        <v>18000</v>
      </c>
      <c r="W9" s="516">
        <f t="shared" si="5"/>
        <v>18000</v>
      </c>
      <c r="X9" s="516">
        <f t="shared" si="5"/>
        <v>18000</v>
      </c>
      <c r="Y9" s="516">
        <f t="shared" si="5"/>
        <v>18000</v>
      </c>
      <c r="Z9" s="516">
        <f t="shared" si="5"/>
        <v>18000</v>
      </c>
      <c r="AA9" s="516">
        <f t="shared" si="5"/>
        <v>18000</v>
      </c>
      <c r="AB9" s="516">
        <f t="shared" si="5"/>
        <v>18000</v>
      </c>
      <c r="AC9" s="516">
        <f t="shared" si="5"/>
        <v>18000</v>
      </c>
      <c r="AD9" s="516">
        <f t="shared" si="5"/>
        <v>18000</v>
      </c>
      <c r="AE9" s="516">
        <f t="shared" si="5"/>
        <v>18000</v>
      </c>
      <c r="AF9" s="516">
        <f t="shared" si="5"/>
        <v>18000</v>
      </c>
      <c r="AG9" s="516">
        <f t="shared" si="5"/>
        <v>18000</v>
      </c>
      <c r="AH9" s="516">
        <f t="shared" si="5"/>
        <v>18000</v>
      </c>
      <c r="AI9" s="516">
        <f t="shared" si="5"/>
        <v>18000</v>
      </c>
      <c r="AJ9" s="516">
        <f t="shared" ref="AJ9:AN18" si="6">AI9</f>
        <v>18000</v>
      </c>
      <c r="AK9" s="516">
        <f t="shared" si="6"/>
        <v>18000</v>
      </c>
      <c r="AL9" s="516">
        <f t="shared" si="6"/>
        <v>18000</v>
      </c>
      <c r="AM9" s="516">
        <f t="shared" si="6"/>
        <v>18000</v>
      </c>
      <c r="AN9" s="516">
        <f t="shared" si="6"/>
        <v>18000</v>
      </c>
    </row>
    <row r="10" spans="1:40" ht="13.15" customHeight="1" x14ac:dyDescent="0.2">
      <c r="A10" s="514" t="s">
        <v>1061</v>
      </c>
      <c r="B10" s="433">
        <v>200</v>
      </c>
      <c r="C10" s="516">
        <f t="shared" si="3"/>
        <v>2400</v>
      </c>
      <c r="D10" s="494"/>
      <c r="E10" s="516">
        <f t="shared" si="4"/>
        <v>84000</v>
      </c>
      <c r="F10" s="516">
        <f t="shared" si="1"/>
        <v>2400</v>
      </c>
      <c r="G10" s="516">
        <f t="shared" si="2"/>
        <v>2400</v>
      </c>
      <c r="H10" s="516">
        <f t="shared" ref="H10:AI10" si="7">G10</f>
        <v>2400</v>
      </c>
      <c r="I10" s="516">
        <f t="shared" si="7"/>
        <v>2400</v>
      </c>
      <c r="J10" s="516">
        <f t="shared" si="7"/>
        <v>2400</v>
      </c>
      <c r="K10" s="516">
        <f t="shared" si="7"/>
        <v>2400</v>
      </c>
      <c r="L10" s="516">
        <f t="shared" si="7"/>
        <v>2400</v>
      </c>
      <c r="M10" s="516">
        <f t="shared" si="7"/>
        <v>2400</v>
      </c>
      <c r="N10" s="516">
        <f t="shared" si="7"/>
        <v>2400</v>
      </c>
      <c r="O10" s="516">
        <f t="shared" si="7"/>
        <v>2400</v>
      </c>
      <c r="P10" s="516">
        <f t="shared" si="7"/>
        <v>2400</v>
      </c>
      <c r="Q10" s="516">
        <f t="shared" si="7"/>
        <v>2400</v>
      </c>
      <c r="R10" s="516">
        <f t="shared" si="7"/>
        <v>2400</v>
      </c>
      <c r="S10" s="516">
        <f t="shared" si="7"/>
        <v>2400</v>
      </c>
      <c r="T10" s="516">
        <f t="shared" si="7"/>
        <v>2400</v>
      </c>
      <c r="U10" s="516">
        <f t="shared" si="7"/>
        <v>2400</v>
      </c>
      <c r="V10" s="516">
        <f t="shared" si="7"/>
        <v>2400</v>
      </c>
      <c r="W10" s="516">
        <f t="shared" si="7"/>
        <v>2400</v>
      </c>
      <c r="X10" s="516">
        <f t="shared" si="7"/>
        <v>2400</v>
      </c>
      <c r="Y10" s="516">
        <f t="shared" si="7"/>
        <v>2400</v>
      </c>
      <c r="Z10" s="516">
        <f t="shared" si="7"/>
        <v>2400</v>
      </c>
      <c r="AA10" s="516">
        <f t="shared" si="7"/>
        <v>2400</v>
      </c>
      <c r="AB10" s="516">
        <f t="shared" si="7"/>
        <v>2400</v>
      </c>
      <c r="AC10" s="516">
        <f t="shared" si="7"/>
        <v>2400</v>
      </c>
      <c r="AD10" s="516">
        <f t="shared" si="7"/>
        <v>2400</v>
      </c>
      <c r="AE10" s="516">
        <f t="shared" si="7"/>
        <v>2400</v>
      </c>
      <c r="AF10" s="516">
        <f t="shared" si="7"/>
        <v>2400</v>
      </c>
      <c r="AG10" s="516">
        <f t="shared" si="7"/>
        <v>2400</v>
      </c>
      <c r="AH10" s="516">
        <f t="shared" si="7"/>
        <v>2400</v>
      </c>
      <c r="AI10" s="516">
        <f t="shared" si="7"/>
        <v>2400</v>
      </c>
      <c r="AJ10" s="516">
        <f t="shared" si="6"/>
        <v>2400</v>
      </c>
      <c r="AK10" s="516">
        <f t="shared" si="6"/>
        <v>2400</v>
      </c>
      <c r="AL10" s="516">
        <f t="shared" si="6"/>
        <v>2400</v>
      </c>
      <c r="AM10" s="516">
        <f t="shared" si="6"/>
        <v>2400</v>
      </c>
      <c r="AN10" s="516">
        <f t="shared" si="6"/>
        <v>2400</v>
      </c>
    </row>
    <row r="11" spans="1:40" ht="13.15" customHeight="1" x14ac:dyDescent="0.2">
      <c r="A11" s="514" t="s">
        <v>1062</v>
      </c>
      <c r="B11" s="516">
        <v>150</v>
      </c>
      <c r="C11" s="516">
        <f t="shared" si="3"/>
        <v>1800</v>
      </c>
      <c r="D11" s="493"/>
      <c r="E11" s="516">
        <f t="shared" si="4"/>
        <v>63000</v>
      </c>
      <c r="F11" s="516">
        <f t="shared" si="1"/>
        <v>1800</v>
      </c>
      <c r="G11" s="516">
        <f t="shared" si="2"/>
        <v>1800</v>
      </c>
      <c r="H11" s="516">
        <f t="shared" ref="H11:AI11" si="8">G11</f>
        <v>1800</v>
      </c>
      <c r="I11" s="516">
        <f t="shared" si="8"/>
        <v>1800</v>
      </c>
      <c r="J11" s="516">
        <f t="shared" si="8"/>
        <v>1800</v>
      </c>
      <c r="K11" s="516">
        <f t="shared" si="8"/>
        <v>1800</v>
      </c>
      <c r="L11" s="516">
        <f t="shared" si="8"/>
        <v>1800</v>
      </c>
      <c r="M11" s="516">
        <f t="shared" si="8"/>
        <v>1800</v>
      </c>
      <c r="N11" s="516">
        <f t="shared" si="8"/>
        <v>1800</v>
      </c>
      <c r="O11" s="516">
        <f t="shared" si="8"/>
        <v>1800</v>
      </c>
      <c r="P11" s="516">
        <f t="shared" si="8"/>
        <v>1800</v>
      </c>
      <c r="Q11" s="516">
        <f t="shared" si="8"/>
        <v>1800</v>
      </c>
      <c r="R11" s="516">
        <f t="shared" si="8"/>
        <v>1800</v>
      </c>
      <c r="S11" s="516">
        <f t="shared" si="8"/>
        <v>1800</v>
      </c>
      <c r="T11" s="516">
        <f t="shared" si="8"/>
        <v>1800</v>
      </c>
      <c r="U11" s="516">
        <f t="shared" si="8"/>
        <v>1800</v>
      </c>
      <c r="V11" s="516">
        <f t="shared" si="8"/>
        <v>1800</v>
      </c>
      <c r="W11" s="516">
        <f t="shared" si="8"/>
        <v>1800</v>
      </c>
      <c r="X11" s="516">
        <f t="shared" si="8"/>
        <v>1800</v>
      </c>
      <c r="Y11" s="516">
        <f t="shared" si="8"/>
        <v>1800</v>
      </c>
      <c r="Z11" s="516">
        <f t="shared" si="8"/>
        <v>1800</v>
      </c>
      <c r="AA11" s="516">
        <f t="shared" si="8"/>
        <v>1800</v>
      </c>
      <c r="AB11" s="516">
        <f t="shared" si="8"/>
        <v>1800</v>
      </c>
      <c r="AC11" s="516">
        <f t="shared" si="8"/>
        <v>1800</v>
      </c>
      <c r="AD11" s="516">
        <f t="shared" si="8"/>
        <v>1800</v>
      </c>
      <c r="AE11" s="516">
        <f t="shared" si="8"/>
        <v>1800</v>
      </c>
      <c r="AF11" s="516">
        <f t="shared" si="8"/>
        <v>1800</v>
      </c>
      <c r="AG11" s="516">
        <f t="shared" si="8"/>
        <v>1800</v>
      </c>
      <c r="AH11" s="516">
        <f t="shared" si="8"/>
        <v>1800</v>
      </c>
      <c r="AI11" s="516">
        <f t="shared" si="8"/>
        <v>1800</v>
      </c>
      <c r="AJ11" s="516">
        <f t="shared" si="6"/>
        <v>1800</v>
      </c>
      <c r="AK11" s="516">
        <f t="shared" si="6"/>
        <v>1800</v>
      </c>
      <c r="AL11" s="516">
        <f t="shared" si="6"/>
        <v>1800</v>
      </c>
      <c r="AM11" s="516">
        <f t="shared" si="6"/>
        <v>1800</v>
      </c>
      <c r="AN11" s="516">
        <f t="shared" si="6"/>
        <v>1800</v>
      </c>
    </row>
    <row r="12" spans="1:40" ht="13.15" customHeight="1" x14ac:dyDescent="0.2">
      <c r="A12" s="514" t="s">
        <v>1063</v>
      </c>
      <c r="B12" s="516">
        <v>600</v>
      </c>
      <c r="C12" s="516">
        <f t="shared" si="3"/>
        <v>7200</v>
      </c>
      <c r="D12" s="493"/>
      <c r="E12" s="516">
        <f t="shared" si="4"/>
        <v>252000</v>
      </c>
      <c r="F12" s="516">
        <f t="shared" si="1"/>
        <v>7200</v>
      </c>
      <c r="G12" s="516">
        <f t="shared" si="2"/>
        <v>7200</v>
      </c>
      <c r="H12" s="516">
        <f t="shared" ref="H12:AI12" si="9">G12</f>
        <v>7200</v>
      </c>
      <c r="I12" s="516">
        <f t="shared" si="9"/>
        <v>7200</v>
      </c>
      <c r="J12" s="516">
        <f t="shared" si="9"/>
        <v>7200</v>
      </c>
      <c r="K12" s="516">
        <f t="shared" si="9"/>
        <v>7200</v>
      </c>
      <c r="L12" s="516">
        <f t="shared" si="9"/>
        <v>7200</v>
      </c>
      <c r="M12" s="516">
        <f t="shared" si="9"/>
        <v>7200</v>
      </c>
      <c r="N12" s="516">
        <f t="shared" si="9"/>
        <v>7200</v>
      </c>
      <c r="O12" s="516">
        <f t="shared" si="9"/>
        <v>7200</v>
      </c>
      <c r="P12" s="516">
        <f t="shared" si="9"/>
        <v>7200</v>
      </c>
      <c r="Q12" s="516">
        <f t="shared" si="9"/>
        <v>7200</v>
      </c>
      <c r="R12" s="516">
        <f t="shared" si="9"/>
        <v>7200</v>
      </c>
      <c r="S12" s="516">
        <f t="shared" si="9"/>
        <v>7200</v>
      </c>
      <c r="T12" s="516">
        <f t="shared" si="9"/>
        <v>7200</v>
      </c>
      <c r="U12" s="516">
        <f t="shared" si="9"/>
        <v>7200</v>
      </c>
      <c r="V12" s="516">
        <f t="shared" si="9"/>
        <v>7200</v>
      </c>
      <c r="W12" s="516">
        <f t="shared" si="9"/>
        <v>7200</v>
      </c>
      <c r="X12" s="516">
        <f t="shared" si="9"/>
        <v>7200</v>
      </c>
      <c r="Y12" s="516">
        <f t="shared" si="9"/>
        <v>7200</v>
      </c>
      <c r="Z12" s="516">
        <f t="shared" si="9"/>
        <v>7200</v>
      </c>
      <c r="AA12" s="516">
        <f t="shared" si="9"/>
        <v>7200</v>
      </c>
      <c r="AB12" s="516">
        <f t="shared" si="9"/>
        <v>7200</v>
      </c>
      <c r="AC12" s="516">
        <f t="shared" si="9"/>
        <v>7200</v>
      </c>
      <c r="AD12" s="516">
        <f t="shared" si="9"/>
        <v>7200</v>
      </c>
      <c r="AE12" s="516">
        <f t="shared" si="9"/>
        <v>7200</v>
      </c>
      <c r="AF12" s="516">
        <f t="shared" si="9"/>
        <v>7200</v>
      </c>
      <c r="AG12" s="516">
        <f t="shared" si="9"/>
        <v>7200</v>
      </c>
      <c r="AH12" s="516">
        <f t="shared" si="9"/>
        <v>7200</v>
      </c>
      <c r="AI12" s="516">
        <f t="shared" si="9"/>
        <v>7200</v>
      </c>
      <c r="AJ12" s="516">
        <f t="shared" si="6"/>
        <v>7200</v>
      </c>
      <c r="AK12" s="516">
        <f t="shared" si="6"/>
        <v>7200</v>
      </c>
      <c r="AL12" s="516">
        <f t="shared" si="6"/>
        <v>7200</v>
      </c>
      <c r="AM12" s="516">
        <f t="shared" si="6"/>
        <v>7200</v>
      </c>
      <c r="AN12" s="516">
        <f t="shared" si="6"/>
        <v>7200</v>
      </c>
    </row>
    <row r="13" spans="1:40" ht="13.15" customHeight="1" x14ac:dyDescent="0.2">
      <c r="A13" s="514" t="s">
        <v>1064</v>
      </c>
      <c r="B13" s="516">
        <v>2500</v>
      </c>
      <c r="C13" s="516">
        <f t="shared" si="3"/>
        <v>30000</v>
      </c>
      <c r="D13" s="493"/>
      <c r="E13" s="516">
        <f t="shared" si="4"/>
        <v>1050000</v>
      </c>
      <c r="F13" s="516">
        <f t="shared" si="1"/>
        <v>30000</v>
      </c>
      <c r="G13" s="516">
        <f t="shared" si="2"/>
        <v>30000</v>
      </c>
      <c r="H13" s="516">
        <f t="shared" ref="H13:AI13" si="10">G13</f>
        <v>30000</v>
      </c>
      <c r="I13" s="516">
        <f t="shared" si="10"/>
        <v>30000</v>
      </c>
      <c r="J13" s="516">
        <f t="shared" si="10"/>
        <v>30000</v>
      </c>
      <c r="K13" s="516">
        <f t="shared" si="10"/>
        <v>30000</v>
      </c>
      <c r="L13" s="516">
        <f t="shared" si="10"/>
        <v>30000</v>
      </c>
      <c r="M13" s="516">
        <f t="shared" si="10"/>
        <v>30000</v>
      </c>
      <c r="N13" s="516">
        <f t="shared" si="10"/>
        <v>30000</v>
      </c>
      <c r="O13" s="516">
        <f t="shared" si="10"/>
        <v>30000</v>
      </c>
      <c r="P13" s="516">
        <f t="shared" si="10"/>
        <v>30000</v>
      </c>
      <c r="Q13" s="516">
        <f t="shared" si="10"/>
        <v>30000</v>
      </c>
      <c r="R13" s="516">
        <f t="shared" si="10"/>
        <v>30000</v>
      </c>
      <c r="S13" s="516">
        <f t="shared" si="10"/>
        <v>30000</v>
      </c>
      <c r="T13" s="516">
        <f t="shared" si="10"/>
        <v>30000</v>
      </c>
      <c r="U13" s="516">
        <f t="shared" si="10"/>
        <v>30000</v>
      </c>
      <c r="V13" s="516">
        <f t="shared" si="10"/>
        <v>30000</v>
      </c>
      <c r="W13" s="516">
        <f t="shared" si="10"/>
        <v>30000</v>
      </c>
      <c r="X13" s="516">
        <f t="shared" si="10"/>
        <v>30000</v>
      </c>
      <c r="Y13" s="516">
        <f t="shared" si="10"/>
        <v>30000</v>
      </c>
      <c r="Z13" s="516">
        <f t="shared" si="10"/>
        <v>30000</v>
      </c>
      <c r="AA13" s="516">
        <f t="shared" si="10"/>
        <v>30000</v>
      </c>
      <c r="AB13" s="516">
        <f t="shared" si="10"/>
        <v>30000</v>
      </c>
      <c r="AC13" s="516">
        <f t="shared" si="10"/>
        <v>30000</v>
      </c>
      <c r="AD13" s="516">
        <f t="shared" si="10"/>
        <v>30000</v>
      </c>
      <c r="AE13" s="516">
        <f t="shared" si="10"/>
        <v>30000</v>
      </c>
      <c r="AF13" s="516">
        <f t="shared" si="10"/>
        <v>30000</v>
      </c>
      <c r="AG13" s="516">
        <f t="shared" si="10"/>
        <v>30000</v>
      </c>
      <c r="AH13" s="516">
        <f t="shared" si="10"/>
        <v>30000</v>
      </c>
      <c r="AI13" s="516">
        <f t="shared" si="10"/>
        <v>30000</v>
      </c>
      <c r="AJ13" s="516">
        <f t="shared" si="6"/>
        <v>30000</v>
      </c>
      <c r="AK13" s="516">
        <f t="shared" si="6"/>
        <v>30000</v>
      </c>
      <c r="AL13" s="516">
        <f t="shared" si="6"/>
        <v>30000</v>
      </c>
      <c r="AM13" s="516">
        <f t="shared" si="6"/>
        <v>30000</v>
      </c>
      <c r="AN13" s="516">
        <f t="shared" si="6"/>
        <v>30000</v>
      </c>
    </row>
    <row r="14" spans="1:40" ht="13.15" customHeight="1" x14ac:dyDescent="0.2">
      <c r="A14" s="514" t="s">
        <v>1065</v>
      </c>
      <c r="B14" s="516">
        <f>(0.1/12)*20000</f>
        <v>166.66666666666666</v>
      </c>
      <c r="C14" s="516">
        <f t="shared" si="3"/>
        <v>2000</v>
      </c>
      <c r="D14" s="493"/>
      <c r="E14" s="516">
        <f t="shared" si="4"/>
        <v>70000</v>
      </c>
      <c r="F14" s="516">
        <f t="shared" si="1"/>
        <v>2000</v>
      </c>
      <c r="G14" s="516">
        <f t="shared" si="2"/>
        <v>2000</v>
      </c>
      <c r="H14" s="516">
        <f t="shared" ref="H14:AI14" si="11">G14</f>
        <v>2000</v>
      </c>
      <c r="I14" s="516">
        <f t="shared" si="11"/>
        <v>2000</v>
      </c>
      <c r="J14" s="516">
        <f t="shared" si="11"/>
        <v>2000</v>
      </c>
      <c r="K14" s="516">
        <f t="shared" si="11"/>
        <v>2000</v>
      </c>
      <c r="L14" s="516">
        <f t="shared" si="11"/>
        <v>2000</v>
      </c>
      <c r="M14" s="516">
        <f t="shared" si="11"/>
        <v>2000</v>
      </c>
      <c r="N14" s="516">
        <f t="shared" si="11"/>
        <v>2000</v>
      </c>
      <c r="O14" s="516">
        <f t="shared" si="11"/>
        <v>2000</v>
      </c>
      <c r="P14" s="516">
        <f t="shared" si="11"/>
        <v>2000</v>
      </c>
      <c r="Q14" s="516">
        <f t="shared" si="11"/>
        <v>2000</v>
      </c>
      <c r="R14" s="516">
        <f t="shared" si="11"/>
        <v>2000</v>
      </c>
      <c r="S14" s="516">
        <f t="shared" si="11"/>
        <v>2000</v>
      </c>
      <c r="T14" s="516">
        <f t="shared" si="11"/>
        <v>2000</v>
      </c>
      <c r="U14" s="516">
        <f t="shared" si="11"/>
        <v>2000</v>
      </c>
      <c r="V14" s="516">
        <f t="shared" si="11"/>
        <v>2000</v>
      </c>
      <c r="W14" s="516">
        <f t="shared" si="11"/>
        <v>2000</v>
      </c>
      <c r="X14" s="516">
        <f t="shared" si="11"/>
        <v>2000</v>
      </c>
      <c r="Y14" s="516">
        <f t="shared" si="11"/>
        <v>2000</v>
      </c>
      <c r="Z14" s="516">
        <f t="shared" si="11"/>
        <v>2000</v>
      </c>
      <c r="AA14" s="516">
        <f t="shared" si="11"/>
        <v>2000</v>
      </c>
      <c r="AB14" s="516">
        <f t="shared" si="11"/>
        <v>2000</v>
      </c>
      <c r="AC14" s="516">
        <f t="shared" si="11"/>
        <v>2000</v>
      </c>
      <c r="AD14" s="516">
        <f t="shared" si="11"/>
        <v>2000</v>
      </c>
      <c r="AE14" s="516">
        <f t="shared" si="11"/>
        <v>2000</v>
      </c>
      <c r="AF14" s="516">
        <f t="shared" si="11"/>
        <v>2000</v>
      </c>
      <c r="AG14" s="516">
        <f t="shared" si="11"/>
        <v>2000</v>
      </c>
      <c r="AH14" s="516">
        <f t="shared" si="11"/>
        <v>2000</v>
      </c>
      <c r="AI14" s="516">
        <f t="shared" si="11"/>
        <v>2000</v>
      </c>
      <c r="AJ14" s="516">
        <f t="shared" si="6"/>
        <v>2000</v>
      </c>
      <c r="AK14" s="516">
        <f t="shared" si="6"/>
        <v>2000</v>
      </c>
      <c r="AL14" s="516">
        <f t="shared" si="6"/>
        <v>2000</v>
      </c>
      <c r="AM14" s="516">
        <f t="shared" si="6"/>
        <v>2000</v>
      </c>
      <c r="AN14" s="516">
        <f t="shared" si="6"/>
        <v>2000</v>
      </c>
    </row>
    <row r="15" spans="1:40" ht="13.15" customHeight="1" x14ac:dyDescent="0.2">
      <c r="A15" s="514" t="s">
        <v>1066</v>
      </c>
      <c r="B15" s="516">
        <f>(0.97/100)*20000</f>
        <v>194</v>
      </c>
      <c r="C15" s="516">
        <f t="shared" si="3"/>
        <v>2328</v>
      </c>
      <c r="D15" s="493"/>
      <c r="E15" s="516">
        <f t="shared" si="4"/>
        <v>81480</v>
      </c>
      <c r="F15" s="516">
        <f t="shared" si="1"/>
        <v>2328</v>
      </c>
      <c r="G15" s="516">
        <f t="shared" si="2"/>
        <v>2328</v>
      </c>
      <c r="H15" s="516">
        <f t="shared" ref="H15:AI15" si="12">G15</f>
        <v>2328</v>
      </c>
      <c r="I15" s="516">
        <f t="shared" si="12"/>
        <v>2328</v>
      </c>
      <c r="J15" s="516">
        <f t="shared" si="12"/>
        <v>2328</v>
      </c>
      <c r="K15" s="516">
        <f t="shared" si="12"/>
        <v>2328</v>
      </c>
      <c r="L15" s="516">
        <f t="shared" si="12"/>
        <v>2328</v>
      </c>
      <c r="M15" s="516">
        <f t="shared" si="12"/>
        <v>2328</v>
      </c>
      <c r="N15" s="516">
        <f t="shared" si="12"/>
        <v>2328</v>
      </c>
      <c r="O15" s="516">
        <f t="shared" si="12"/>
        <v>2328</v>
      </c>
      <c r="P15" s="516">
        <f t="shared" si="12"/>
        <v>2328</v>
      </c>
      <c r="Q15" s="516">
        <f t="shared" si="12"/>
        <v>2328</v>
      </c>
      <c r="R15" s="516">
        <f t="shared" si="12"/>
        <v>2328</v>
      </c>
      <c r="S15" s="516">
        <f t="shared" si="12"/>
        <v>2328</v>
      </c>
      <c r="T15" s="516">
        <f t="shared" si="12"/>
        <v>2328</v>
      </c>
      <c r="U15" s="516">
        <f t="shared" si="12"/>
        <v>2328</v>
      </c>
      <c r="V15" s="516">
        <f t="shared" si="12"/>
        <v>2328</v>
      </c>
      <c r="W15" s="516">
        <f t="shared" si="12"/>
        <v>2328</v>
      </c>
      <c r="X15" s="516">
        <f t="shared" si="12"/>
        <v>2328</v>
      </c>
      <c r="Y15" s="516">
        <f t="shared" si="12"/>
        <v>2328</v>
      </c>
      <c r="Z15" s="516">
        <f t="shared" si="12"/>
        <v>2328</v>
      </c>
      <c r="AA15" s="516">
        <f t="shared" si="12"/>
        <v>2328</v>
      </c>
      <c r="AB15" s="516">
        <f t="shared" si="12"/>
        <v>2328</v>
      </c>
      <c r="AC15" s="516">
        <f t="shared" si="12"/>
        <v>2328</v>
      </c>
      <c r="AD15" s="516">
        <f t="shared" si="12"/>
        <v>2328</v>
      </c>
      <c r="AE15" s="516">
        <f t="shared" si="12"/>
        <v>2328</v>
      </c>
      <c r="AF15" s="516">
        <f t="shared" si="12"/>
        <v>2328</v>
      </c>
      <c r="AG15" s="516">
        <f t="shared" si="12"/>
        <v>2328</v>
      </c>
      <c r="AH15" s="516">
        <f t="shared" si="12"/>
        <v>2328</v>
      </c>
      <c r="AI15" s="516">
        <f t="shared" si="12"/>
        <v>2328</v>
      </c>
      <c r="AJ15" s="516">
        <f t="shared" si="6"/>
        <v>2328</v>
      </c>
      <c r="AK15" s="516">
        <f t="shared" si="6"/>
        <v>2328</v>
      </c>
      <c r="AL15" s="516">
        <f t="shared" si="6"/>
        <v>2328</v>
      </c>
      <c r="AM15" s="516">
        <f t="shared" si="6"/>
        <v>2328</v>
      </c>
      <c r="AN15" s="516">
        <f t="shared" si="6"/>
        <v>2328</v>
      </c>
    </row>
    <row r="16" spans="1:40" ht="13.15" customHeight="1" x14ac:dyDescent="0.2">
      <c r="A16" s="514" t="s">
        <v>1067</v>
      </c>
      <c r="B16" s="433">
        <f>2*150</f>
        <v>300</v>
      </c>
      <c r="C16" s="516">
        <f t="shared" si="3"/>
        <v>3600</v>
      </c>
      <c r="D16" s="493"/>
      <c r="E16" s="516">
        <f t="shared" si="4"/>
        <v>126000</v>
      </c>
      <c r="F16" s="516">
        <f t="shared" si="1"/>
        <v>3600</v>
      </c>
      <c r="G16" s="516">
        <f t="shared" si="2"/>
        <v>3600</v>
      </c>
      <c r="H16" s="516">
        <f t="shared" ref="H16:AI16" si="13">G16</f>
        <v>3600</v>
      </c>
      <c r="I16" s="516">
        <f t="shared" si="13"/>
        <v>3600</v>
      </c>
      <c r="J16" s="516">
        <f t="shared" si="13"/>
        <v>3600</v>
      </c>
      <c r="K16" s="516">
        <f t="shared" si="13"/>
        <v>3600</v>
      </c>
      <c r="L16" s="516">
        <f t="shared" si="13"/>
        <v>3600</v>
      </c>
      <c r="M16" s="516">
        <f t="shared" si="13"/>
        <v>3600</v>
      </c>
      <c r="N16" s="516">
        <f t="shared" si="13"/>
        <v>3600</v>
      </c>
      <c r="O16" s="516">
        <f t="shared" si="13"/>
        <v>3600</v>
      </c>
      <c r="P16" s="516">
        <f t="shared" si="13"/>
        <v>3600</v>
      </c>
      <c r="Q16" s="516">
        <f t="shared" si="13"/>
        <v>3600</v>
      </c>
      <c r="R16" s="516">
        <f t="shared" si="13"/>
        <v>3600</v>
      </c>
      <c r="S16" s="516">
        <f t="shared" si="13"/>
        <v>3600</v>
      </c>
      <c r="T16" s="516">
        <f t="shared" si="13"/>
        <v>3600</v>
      </c>
      <c r="U16" s="516">
        <f t="shared" si="13"/>
        <v>3600</v>
      </c>
      <c r="V16" s="516">
        <f t="shared" si="13"/>
        <v>3600</v>
      </c>
      <c r="W16" s="516">
        <f t="shared" si="13"/>
        <v>3600</v>
      </c>
      <c r="X16" s="516">
        <f t="shared" si="13"/>
        <v>3600</v>
      </c>
      <c r="Y16" s="516">
        <f t="shared" si="13"/>
        <v>3600</v>
      </c>
      <c r="Z16" s="516">
        <f t="shared" si="13"/>
        <v>3600</v>
      </c>
      <c r="AA16" s="516">
        <f t="shared" si="13"/>
        <v>3600</v>
      </c>
      <c r="AB16" s="516">
        <f t="shared" si="13"/>
        <v>3600</v>
      </c>
      <c r="AC16" s="516">
        <f t="shared" si="13"/>
        <v>3600</v>
      </c>
      <c r="AD16" s="516">
        <f t="shared" si="13"/>
        <v>3600</v>
      </c>
      <c r="AE16" s="516">
        <f t="shared" si="13"/>
        <v>3600</v>
      </c>
      <c r="AF16" s="516">
        <f t="shared" si="13"/>
        <v>3600</v>
      </c>
      <c r="AG16" s="516">
        <f t="shared" si="13"/>
        <v>3600</v>
      </c>
      <c r="AH16" s="516">
        <f t="shared" si="13"/>
        <v>3600</v>
      </c>
      <c r="AI16" s="516">
        <f t="shared" si="13"/>
        <v>3600</v>
      </c>
      <c r="AJ16" s="516">
        <f t="shared" si="6"/>
        <v>3600</v>
      </c>
      <c r="AK16" s="516">
        <f t="shared" si="6"/>
        <v>3600</v>
      </c>
      <c r="AL16" s="516">
        <f t="shared" si="6"/>
        <v>3600</v>
      </c>
      <c r="AM16" s="516">
        <f t="shared" si="6"/>
        <v>3600</v>
      </c>
      <c r="AN16" s="516">
        <f t="shared" si="6"/>
        <v>3600</v>
      </c>
    </row>
    <row r="17" spans="1:40" ht="13.15" customHeight="1" x14ac:dyDescent="0.2">
      <c r="A17" s="514" t="s">
        <v>1068</v>
      </c>
      <c r="B17" s="516">
        <v>1000</v>
      </c>
      <c r="C17" s="516">
        <f t="shared" si="3"/>
        <v>12000</v>
      </c>
      <c r="D17" s="493"/>
      <c r="E17" s="516">
        <f t="shared" si="4"/>
        <v>420000</v>
      </c>
      <c r="F17" s="516">
        <f t="shared" si="1"/>
        <v>12000</v>
      </c>
      <c r="G17" s="516">
        <f t="shared" si="2"/>
        <v>12000</v>
      </c>
      <c r="H17" s="516">
        <f t="shared" ref="H17:AI17" si="14">G17</f>
        <v>12000</v>
      </c>
      <c r="I17" s="516">
        <f t="shared" si="14"/>
        <v>12000</v>
      </c>
      <c r="J17" s="516">
        <f t="shared" si="14"/>
        <v>12000</v>
      </c>
      <c r="K17" s="516">
        <f t="shared" si="14"/>
        <v>12000</v>
      </c>
      <c r="L17" s="516">
        <f t="shared" si="14"/>
        <v>12000</v>
      </c>
      <c r="M17" s="516">
        <f t="shared" si="14"/>
        <v>12000</v>
      </c>
      <c r="N17" s="516">
        <f t="shared" si="14"/>
        <v>12000</v>
      </c>
      <c r="O17" s="516">
        <f t="shared" si="14"/>
        <v>12000</v>
      </c>
      <c r="P17" s="516">
        <f t="shared" si="14"/>
        <v>12000</v>
      </c>
      <c r="Q17" s="516">
        <f t="shared" si="14"/>
        <v>12000</v>
      </c>
      <c r="R17" s="516">
        <f t="shared" si="14"/>
        <v>12000</v>
      </c>
      <c r="S17" s="516">
        <f t="shared" si="14"/>
        <v>12000</v>
      </c>
      <c r="T17" s="516">
        <f t="shared" si="14"/>
        <v>12000</v>
      </c>
      <c r="U17" s="516">
        <f t="shared" si="14"/>
        <v>12000</v>
      </c>
      <c r="V17" s="516">
        <f t="shared" si="14"/>
        <v>12000</v>
      </c>
      <c r="W17" s="516">
        <f t="shared" si="14"/>
        <v>12000</v>
      </c>
      <c r="X17" s="516">
        <f t="shared" si="14"/>
        <v>12000</v>
      </c>
      <c r="Y17" s="516">
        <f t="shared" si="14"/>
        <v>12000</v>
      </c>
      <c r="Z17" s="516">
        <f t="shared" si="14"/>
        <v>12000</v>
      </c>
      <c r="AA17" s="516">
        <f t="shared" si="14"/>
        <v>12000</v>
      </c>
      <c r="AB17" s="516">
        <f t="shared" si="14"/>
        <v>12000</v>
      </c>
      <c r="AC17" s="516">
        <f t="shared" si="14"/>
        <v>12000</v>
      </c>
      <c r="AD17" s="516">
        <f t="shared" si="14"/>
        <v>12000</v>
      </c>
      <c r="AE17" s="516">
        <f t="shared" si="14"/>
        <v>12000</v>
      </c>
      <c r="AF17" s="516">
        <f t="shared" si="14"/>
        <v>12000</v>
      </c>
      <c r="AG17" s="516">
        <f t="shared" si="14"/>
        <v>12000</v>
      </c>
      <c r="AH17" s="516">
        <f t="shared" si="14"/>
        <v>12000</v>
      </c>
      <c r="AI17" s="516">
        <f t="shared" si="14"/>
        <v>12000</v>
      </c>
      <c r="AJ17" s="516">
        <f t="shared" si="6"/>
        <v>12000</v>
      </c>
      <c r="AK17" s="516">
        <f t="shared" si="6"/>
        <v>12000</v>
      </c>
      <c r="AL17" s="516">
        <f t="shared" si="6"/>
        <v>12000</v>
      </c>
      <c r="AM17" s="516">
        <f t="shared" si="6"/>
        <v>12000</v>
      </c>
      <c r="AN17" s="516">
        <f t="shared" si="6"/>
        <v>12000</v>
      </c>
    </row>
    <row r="18" spans="1:40" ht="13.15" customHeight="1" x14ac:dyDescent="0.2">
      <c r="A18" s="514" t="s">
        <v>1069</v>
      </c>
      <c r="B18" s="516">
        <v>20000</v>
      </c>
      <c r="C18" s="516">
        <f t="shared" si="3"/>
        <v>240000</v>
      </c>
      <c r="D18" s="493"/>
      <c r="E18" s="516">
        <f t="shared" si="4"/>
        <v>8400000</v>
      </c>
      <c r="F18" s="516">
        <f t="shared" si="1"/>
        <v>240000</v>
      </c>
      <c r="G18" s="516">
        <f t="shared" si="2"/>
        <v>240000</v>
      </c>
      <c r="H18" s="516">
        <f t="shared" ref="H18:AI18" si="15">G18</f>
        <v>240000</v>
      </c>
      <c r="I18" s="516">
        <f t="shared" si="15"/>
        <v>240000</v>
      </c>
      <c r="J18" s="516">
        <f t="shared" si="15"/>
        <v>240000</v>
      </c>
      <c r="K18" s="516">
        <f t="shared" si="15"/>
        <v>240000</v>
      </c>
      <c r="L18" s="516">
        <f t="shared" si="15"/>
        <v>240000</v>
      </c>
      <c r="M18" s="516">
        <f t="shared" si="15"/>
        <v>240000</v>
      </c>
      <c r="N18" s="516">
        <f t="shared" si="15"/>
        <v>240000</v>
      </c>
      <c r="O18" s="516">
        <f t="shared" si="15"/>
        <v>240000</v>
      </c>
      <c r="P18" s="516">
        <f t="shared" si="15"/>
        <v>240000</v>
      </c>
      <c r="Q18" s="516">
        <f t="shared" si="15"/>
        <v>240000</v>
      </c>
      <c r="R18" s="516">
        <f t="shared" si="15"/>
        <v>240000</v>
      </c>
      <c r="S18" s="516">
        <f t="shared" si="15"/>
        <v>240000</v>
      </c>
      <c r="T18" s="516">
        <f t="shared" si="15"/>
        <v>240000</v>
      </c>
      <c r="U18" s="516">
        <f t="shared" si="15"/>
        <v>240000</v>
      </c>
      <c r="V18" s="516">
        <f t="shared" si="15"/>
        <v>240000</v>
      </c>
      <c r="W18" s="516">
        <f t="shared" si="15"/>
        <v>240000</v>
      </c>
      <c r="X18" s="516">
        <f t="shared" si="15"/>
        <v>240000</v>
      </c>
      <c r="Y18" s="516">
        <f t="shared" si="15"/>
        <v>240000</v>
      </c>
      <c r="Z18" s="516">
        <f t="shared" si="15"/>
        <v>240000</v>
      </c>
      <c r="AA18" s="516">
        <f t="shared" si="15"/>
        <v>240000</v>
      </c>
      <c r="AB18" s="516">
        <f t="shared" si="15"/>
        <v>240000</v>
      </c>
      <c r="AC18" s="516">
        <f t="shared" si="15"/>
        <v>240000</v>
      </c>
      <c r="AD18" s="516">
        <f t="shared" si="15"/>
        <v>240000</v>
      </c>
      <c r="AE18" s="516">
        <f t="shared" si="15"/>
        <v>240000</v>
      </c>
      <c r="AF18" s="516">
        <f t="shared" si="15"/>
        <v>240000</v>
      </c>
      <c r="AG18" s="516">
        <f t="shared" si="15"/>
        <v>240000</v>
      </c>
      <c r="AH18" s="516">
        <f t="shared" si="15"/>
        <v>240000</v>
      </c>
      <c r="AI18" s="516">
        <f t="shared" si="15"/>
        <v>240000</v>
      </c>
      <c r="AJ18" s="516">
        <f t="shared" si="6"/>
        <v>240000</v>
      </c>
      <c r="AK18" s="516">
        <f t="shared" si="6"/>
        <v>240000</v>
      </c>
      <c r="AL18" s="516">
        <f t="shared" si="6"/>
        <v>240000</v>
      </c>
      <c r="AM18" s="516">
        <f t="shared" si="6"/>
        <v>240000</v>
      </c>
      <c r="AN18" s="516">
        <f t="shared" si="6"/>
        <v>240000</v>
      </c>
    </row>
    <row r="19" spans="1:40" ht="13.15" customHeight="1" x14ac:dyDescent="0.2">
      <c r="A19" s="110" t="s">
        <v>1070</v>
      </c>
      <c r="B19" s="96">
        <f>SUM(B20:B25)</f>
        <v>6430.33</v>
      </c>
      <c r="C19" s="92">
        <f>SUM(C20:C25)</f>
        <v>77163.960000000006</v>
      </c>
      <c r="D19" s="493"/>
      <c r="E19" s="92">
        <f>SUM(E20:E25)</f>
        <v>780738.6</v>
      </c>
      <c r="F19" s="92">
        <f>SUM(F20:F25)</f>
        <v>77163.960000000006</v>
      </c>
      <c r="G19" s="92">
        <f>SUM(G20:G25)</f>
        <v>77163.960000000006</v>
      </c>
      <c r="H19" s="92">
        <f t="shared" ref="H19:AI19" si="16">SUM(H20:H25)</f>
        <v>77163.960000000006</v>
      </c>
      <c r="I19" s="92">
        <f t="shared" si="16"/>
        <v>17163.96</v>
      </c>
      <c r="J19" s="92">
        <f t="shared" si="16"/>
        <v>17163.96</v>
      </c>
      <c r="K19" s="92">
        <f t="shared" si="16"/>
        <v>17163.96</v>
      </c>
      <c r="L19" s="92">
        <f t="shared" si="16"/>
        <v>17163.96</v>
      </c>
      <c r="M19" s="92">
        <f t="shared" si="16"/>
        <v>17163.96</v>
      </c>
      <c r="N19" s="92">
        <f t="shared" si="16"/>
        <v>17163.96</v>
      </c>
      <c r="O19" s="92">
        <f t="shared" si="16"/>
        <v>17163.96</v>
      </c>
      <c r="P19" s="92">
        <f t="shared" si="16"/>
        <v>17163.96</v>
      </c>
      <c r="Q19" s="92">
        <f t="shared" si="16"/>
        <v>17163.96</v>
      </c>
      <c r="R19" s="92">
        <f t="shared" si="16"/>
        <v>17163.96</v>
      </c>
      <c r="S19" s="92">
        <f t="shared" si="16"/>
        <v>17163.96</v>
      </c>
      <c r="T19" s="92">
        <f t="shared" si="16"/>
        <v>17163.96</v>
      </c>
      <c r="U19" s="92">
        <f t="shared" si="16"/>
        <v>17163.96</v>
      </c>
      <c r="V19" s="92">
        <f t="shared" si="16"/>
        <v>17163.96</v>
      </c>
      <c r="W19" s="92">
        <f t="shared" si="16"/>
        <v>17163.96</v>
      </c>
      <c r="X19" s="92">
        <f t="shared" si="16"/>
        <v>17163.96</v>
      </c>
      <c r="Y19" s="92">
        <f t="shared" si="16"/>
        <v>17163.96</v>
      </c>
      <c r="Z19" s="92">
        <f t="shared" si="16"/>
        <v>17163.96</v>
      </c>
      <c r="AA19" s="92">
        <f t="shared" si="16"/>
        <v>17163.96</v>
      </c>
      <c r="AB19" s="92">
        <f t="shared" si="16"/>
        <v>17163.96</v>
      </c>
      <c r="AC19" s="92">
        <f t="shared" si="16"/>
        <v>17163.96</v>
      </c>
      <c r="AD19" s="92">
        <f t="shared" si="16"/>
        <v>17163.96</v>
      </c>
      <c r="AE19" s="92">
        <f t="shared" si="16"/>
        <v>17163.96</v>
      </c>
      <c r="AF19" s="92">
        <f t="shared" si="16"/>
        <v>17163.96</v>
      </c>
      <c r="AG19" s="92">
        <f t="shared" si="16"/>
        <v>17163.96</v>
      </c>
      <c r="AH19" s="92">
        <f t="shared" si="16"/>
        <v>17163.96</v>
      </c>
      <c r="AI19" s="92">
        <f t="shared" si="16"/>
        <v>17163.96</v>
      </c>
      <c r="AJ19" s="92">
        <f>SUM(AJ20:AJ25)</f>
        <v>17163.96</v>
      </c>
      <c r="AK19" s="92">
        <f>SUM(AK20:AK25)</f>
        <v>17163.96</v>
      </c>
      <c r="AL19" s="92">
        <f>SUM(AL20:AL25)</f>
        <v>17163.96</v>
      </c>
      <c r="AM19" s="92">
        <f>SUM(AM20:AM25)</f>
        <v>17163.96</v>
      </c>
      <c r="AN19" s="92">
        <f>SUM(AN20:AN25)</f>
        <v>17163.96</v>
      </c>
    </row>
    <row r="20" spans="1:40" ht="13.15" customHeight="1" x14ac:dyDescent="0.2">
      <c r="A20" s="514" t="s">
        <v>1059</v>
      </c>
      <c r="B20" s="516">
        <v>5000</v>
      </c>
      <c r="C20" s="516">
        <f t="shared" si="3"/>
        <v>60000</v>
      </c>
      <c r="D20" s="493"/>
      <c r="E20" s="516">
        <f t="shared" ref="E20:E25" si="17">SUM(F20:AN20)</f>
        <v>180000</v>
      </c>
      <c r="F20" s="516">
        <f t="shared" ref="F20:F25" si="18">C20</f>
        <v>60000</v>
      </c>
      <c r="G20" s="516">
        <f t="shared" ref="G20:G25" si="19">F20</f>
        <v>60000</v>
      </c>
      <c r="H20" s="516">
        <f>G20</f>
        <v>60000</v>
      </c>
      <c r="I20" s="516">
        <v>0</v>
      </c>
      <c r="J20" s="516">
        <v>0</v>
      </c>
      <c r="K20" s="516">
        <v>0</v>
      </c>
      <c r="L20" s="516">
        <v>0</v>
      </c>
      <c r="M20" s="516">
        <v>0</v>
      </c>
      <c r="N20" s="516">
        <v>0</v>
      </c>
      <c r="O20" s="516">
        <v>0</v>
      </c>
      <c r="P20" s="516">
        <v>0</v>
      </c>
      <c r="Q20" s="516">
        <v>0</v>
      </c>
      <c r="R20" s="516">
        <v>0</v>
      </c>
      <c r="S20" s="516">
        <v>0</v>
      </c>
      <c r="T20" s="516">
        <v>0</v>
      </c>
      <c r="U20" s="516">
        <v>0</v>
      </c>
      <c r="V20" s="516">
        <v>0</v>
      </c>
      <c r="W20" s="516">
        <v>0</v>
      </c>
      <c r="X20" s="516">
        <v>0</v>
      </c>
      <c r="Y20" s="516">
        <v>0</v>
      </c>
      <c r="Z20" s="516">
        <v>0</v>
      </c>
      <c r="AA20" s="516">
        <v>0</v>
      </c>
      <c r="AB20" s="516">
        <v>0</v>
      </c>
      <c r="AC20" s="516">
        <v>0</v>
      </c>
      <c r="AD20" s="516">
        <v>0</v>
      </c>
      <c r="AE20" s="516">
        <v>0</v>
      </c>
      <c r="AF20" s="516">
        <v>0</v>
      </c>
      <c r="AG20" s="516">
        <v>0</v>
      </c>
      <c r="AH20" s="516">
        <v>0</v>
      </c>
      <c r="AI20" s="516">
        <v>0</v>
      </c>
      <c r="AJ20" s="516">
        <v>0</v>
      </c>
      <c r="AK20" s="516">
        <v>0</v>
      </c>
      <c r="AL20" s="516">
        <v>0</v>
      </c>
      <c r="AM20" s="516">
        <v>0</v>
      </c>
      <c r="AN20" s="516">
        <v>0</v>
      </c>
    </row>
    <row r="21" spans="1:40" ht="13.15" customHeight="1" x14ac:dyDescent="0.2">
      <c r="A21" s="514" t="s">
        <v>1060</v>
      </c>
      <c r="B21" s="516">
        <v>600</v>
      </c>
      <c r="C21" s="516">
        <f t="shared" si="3"/>
        <v>7200</v>
      </c>
      <c r="D21" s="493"/>
      <c r="E21" s="516">
        <f t="shared" si="17"/>
        <v>252000</v>
      </c>
      <c r="F21" s="516">
        <f t="shared" si="18"/>
        <v>7200</v>
      </c>
      <c r="G21" s="516">
        <f t="shared" si="19"/>
        <v>7200</v>
      </c>
      <c r="H21" s="516">
        <f t="shared" ref="H21:AI21" si="20">G21</f>
        <v>7200</v>
      </c>
      <c r="I21" s="516">
        <f t="shared" si="20"/>
        <v>7200</v>
      </c>
      <c r="J21" s="516">
        <f t="shared" si="20"/>
        <v>7200</v>
      </c>
      <c r="K21" s="516">
        <f t="shared" si="20"/>
        <v>7200</v>
      </c>
      <c r="L21" s="516">
        <f t="shared" si="20"/>
        <v>7200</v>
      </c>
      <c r="M21" s="516">
        <f t="shared" si="20"/>
        <v>7200</v>
      </c>
      <c r="N21" s="516">
        <f t="shared" si="20"/>
        <v>7200</v>
      </c>
      <c r="O21" s="516">
        <f t="shared" si="20"/>
        <v>7200</v>
      </c>
      <c r="P21" s="516">
        <f t="shared" si="20"/>
        <v>7200</v>
      </c>
      <c r="Q21" s="516">
        <f t="shared" si="20"/>
        <v>7200</v>
      </c>
      <c r="R21" s="516">
        <f t="shared" si="20"/>
        <v>7200</v>
      </c>
      <c r="S21" s="516">
        <f t="shared" si="20"/>
        <v>7200</v>
      </c>
      <c r="T21" s="516">
        <f t="shared" si="20"/>
        <v>7200</v>
      </c>
      <c r="U21" s="516">
        <f t="shared" si="20"/>
        <v>7200</v>
      </c>
      <c r="V21" s="516">
        <f t="shared" si="20"/>
        <v>7200</v>
      </c>
      <c r="W21" s="516">
        <f t="shared" si="20"/>
        <v>7200</v>
      </c>
      <c r="X21" s="516">
        <f t="shared" si="20"/>
        <v>7200</v>
      </c>
      <c r="Y21" s="516">
        <f t="shared" si="20"/>
        <v>7200</v>
      </c>
      <c r="Z21" s="516">
        <f t="shared" si="20"/>
        <v>7200</v>
      </c>
      <c r="AA21" s="516">
        <f t="shared" si="20"/>
        <v>7200</v>
      </c>
      <c r="AB21" s="516">
        <f t="shared" si="20"/>
        <v>7200</v>
      </c>
      <c r="AC21" s="516">
        <f t="shared" si="20"/>
        <v>7200</v>
      </c>
      <c r="AD21" s="516">
        <f t="shared" si="20"/>
        <v>7200</v>
      </c>
      <c r="AE21" s="516">
        <f t="shared" si="20"/>
        <v>7200</v>
      </c>
      <c r="AF21" s="516">
        <f t="shared" si="20"/>
        <v>7200</v>
      </c>
      <c r="AG21" s="516">
        <f t="shared" si="20"/>
        <v>7200</v>
      </c>
      <c r="AH21" s="516">
        <f t="shared" si="20"/>
        <v>7200</v>
      </c>
      <c r="AI21" s="516">
        <f t="shared" si="20"/>
        <v>7200</v>
      </c>
      <c r="AJ21" s="516">
        <f t="shared" ref="AJ21:AN25" si="21">AI21</f>
        <v>7200</v>
      </c>
      <c r="AK21" s="516">
        <f t="shared" si="21"/>
        <v>7200</v>
      </c>
      <c r="AL21" s="516">
        <f t="shared" si="21"/>
        <v>7200</v>
      </c>
      <c r="AM21" s="516">
        <f t="shared" si="21"/>
        <v>7200</v>
      </c>
      <c r="AN21" s="516">
        <f t="shared" si="21"/>
        <v>7200</v>
      </c>
    </row>
    <row r="22" spans="1:40" ht="13.15" customHeight="1" x14ac:dyDescent="0.2">
      <c r="A22" s="514" t="s">
        <v>1064</v>
      </c>
      <c r="B22" s="516">
        <v>500</v>
      </c>
      <c r="C22" s="516">
        <f t="shared" si="3"/>
        <v>6000</v>
      </c>
      <c r="D22" s="493"/>
      <c r="E22" s="516">
        <f t="shared" si="17"/>
        <v>210000</v>
      </c>
      <c r="F22" s="516">
        <f t="shared" si="18"/>
        <v>6000</v>
      </c>
      <c r="G22" s="516">
        <f t="shared" si="19"/>
        <v>6000</v>
      </c>
      <c r="H22" s="516">
        <f t="shared" ref="H22:AI22" si="22">G22</f>
        <v>6000</v>
      </c>
      <c r="I22" s="516">
        <f t="shared" si="22"/>
        <v>6000</v>
      </c>
      <c r="J22" s="516">
        <f t="shared" si="22"/>
        <v>6000</v>
      </c>
      <c r="K22" s="516">
        <f t="shared" si="22"/>
        <v>6000</v>
      </c>
      <c r="L22" s="516">
        <f t="shared" si="22"/>
        <v>6000</v>
      </c>
      <c r="M22" s="516">
        <f t="shared" si="22"/>
        <v>6000</v>
      </c>
      <c r="N22" s="516">
        <f t="shared" si="22"/>
        <v>6000</v>
      </c>
      <c r="O22" s="516">
        <f t="shared" si="22"/>
        <v>6000</v>
      </c>
      <c r="P22" s="516">
        <f t="shared" si="22"/>
        <v>6000</v>
      </c>
      <c r="Q22" s="516">
        <f t="shared" si="22"/>
        <v>6000</v>
      </c>
      <c r="R22" s="516">
        <f t="shared" si="22"/>
        <v>6000</v>
      </c>
      <c r="S22" s="516">
        <f t="shared" si="22"/>
        <v>6000</v>
      </c>
      <c r="T22" s="516">
        <f t="shared" si="22"/>
        <v>6000</v>
      </c>
      <c r="U22" s="516">
        <f t="shared" si="22"/>
        <v>6000</v>
      </c>
      <c r="V22" s="516">
        <f t="shared" si="22"/>
        <v>6000</v>
      </c>
      <c r="W22" s="516">
        <f t="shared" si="22"/>
        <v>6000</v>
      </c>
      <c r="X22" s="516">
        <f t="shared" si="22"/>
        <v>6000</v>
      </c>
      <c r="Y22" s="516">
        <f t="shared" si="22"/>
        <v>6000</v>
      </c>
      <c r="Z22" s="516">
        <f t="shared" si="22"/>
        <v>6000</v>
      </c>
      <c r="AA22" s="516">
        <f t="shared" si="22"/>
        <v>6000</v>
      </c>
      <c r="AB22" s="516">
        <f t="shared" si="22"/>
        <v>6000</v>
      </c>
      <c r="AC22" s="516">
        <f t="shared" si="22"/>
        <v>6000</v>
      </c>
      <c r="AD22" s="516">
        <f t="shared" si="22"/>
        <v>6000</v>
      </c>
      <c r="AE22" s="516">
        <f t="shared" si="22"/>
        <v>6000</v>
      </c>
      <c r="AF22" s="516">
        <f t="shared" si="22"/>
        <v>6000</v>
      </c>
      <c r="AG22" s="516">
        <f t="shared" si="22"/>
        <v>6000</v>
      </c>
      <c r="AH22" s="516">
        <f t="shared" si="22"/>
        <v>6000</v>
      </c>
      <c r="AI22" s="516">
        <f t="shared" si="22"/>
        <v>6000</v>
      </c>
      <c r="AJ22" s="516">
        <f t="shared" si="21"/>
        <v>6000</v>
      </c>
      <c r="AK22" s="516">
        <f t="shared" si="21"/>
        <v>6000</v>
      </c>
      <c r="AL22" s="516">
        <f t="shared" si="21"/>
        <v>6000</v>
      </c>
      <c r="AM22" s="516">
        <f t="shared" si="21"/>
        <v>6000</v>
      </c>
      <c r="AN22" s="516">
        <f t="shared" si="21"/>
        <v>6000</v>
      </c>
    </row>
    <row r="23" spans="1:40" ht="13.15" customHeight="1" x14ac:dyDescent="0.2">
      <c r="A23" s="514" t="s">
        <v>1071</v>
      </c>
      <c r="B23" s="516">
        <v>83.33</v>
      </c>
      <c r="C23" s="516">
        <f t="shared" si="3"/>
        <v>999.96</v>
      </c>
      <c r="D23" s="493"/>
      <c r="E23" s="516">
        <f t="shared" si="17"/>
        <v>34998.599999999977</v>
      </c>
      <c r="F23" s="516">
        <f t="shared" si="18"/>
        <v>999.96</v>
      </c>
      <c r="G23" s="516">
        <f t="shared" si="19"/>
        <v>999.96</v>
      </c>
      <c r="H23" s="516">
        <f t="shared" ref="H23:AI23" si="23">G23</f>
        <v>999.96</v>
      </c>
      <c r="I23" s="516">
        <f t="shared" si="23"/>
        <v>999.96</v>
      </c>
      <c r="J23" s="516">
        <f t="shared" si="23"/>
        <v>999.96</v>
      </c>
      <c r="K23" s="516">
        <f t="shared" si="23"/>
        <v>999.96</v>
      </c>
      <c r="L23" s="516">
        <f t="shared" si="23"/>
        <v>999.96</v>
      </c>
      <c r="M23" s="516">
        <f t="shared" si="23"/>
        <v>999.96</v>
      </c>
      <c r="N23" s="516">
        <f t="shared" si="23"/>
        <v>999.96</v>
      </c>
      <c r="O23" s="516">
        <f t="shared" si="23"/>
        <v>999.96</v>
      </c>
      <c r="P23" s="516">
        <f t="shared" si="23"/>
        <v>999.96</v>
      </c>
      <c r="Q23" s="516">
        <f t="shared" si="23"/>
        <v>999.96</v>
      </c>
      <c r="R23" s="516">
        <f t="shared" si="23"/>
        <v>999.96</v>
      </c>
      <c r="S23" s="516">
        <f t="shared" si="23"/>
        <v>999.96</v>
      </c>
      <c r="T23" s="516">
        <f t="shared" si="23"/>
        <v>999.96</v>
      </c>
      <c r="U23" s="516">
        <f t="shared" si="23"/>
        <v>999.96</v>
      </c>
      <c r="V23" s="516">
        <f t="shared" si="23"/>
        <v>999.96</v>
      </c>
      <c r="W23" s="516">
        <f t="shared" si="23"/>
        <v>999.96</v>
      </c>
      <c r="X23" s="516">
        <f t="shared" si="23"/>
        <v>999.96</v>
      </c>
      <c r="Y23" s="516">
        <f t="shared" si="23"/>
        <v>999.96</v>
      </c>
      <c r="Z23" s="516">
        <f t="shared" si="23"/>
        <v>999.96</v>
      </c>
      <c r="AA23" s="516">
        <f t="shared" si="23"/>
        <v>999.96</v>
      </c>
      <c r="AB23" s="516">
        <f t="shared" si="23"/>
        <v>999.96</v>
      </c>
      <c r="AC23" s="516">
        <f t="shared" si="23"/>
        <v>999.96</v>
      </c>
      <c r="AD23" s="516">
        <f t="shared" si="23"/>
        <v>999.96</v>
      </c>
      <c r="AE23" s="516">
        <f t="shared" si="23"/>
        <v>999.96</v>
      </c>
      <c r="AF23" s="516">
        <f t="shared" si="23"/>
        <v>999.96</v>
      </c>
      <c r="AG23" s="516">
        <f t="shared" si="23"/>
        <v>999.96</v>
      </c>
      <c r="AH23" s="516">
        <f t="shared" si="23"/>
        <v>999.96</v>
      </c>
      <c r="AI23" s="516">
        <f t="shared" si="23"/>
        <v>999.96</v>
      </c>
      <c r="AJ23" s="516">
        <f t="shared" si="21"/>
        <v>999.96</v>
      </c>
      <c r="AK23" s="516">
        <f t="shared" si="21"/>
        <v>999.96</v>
      </c>
      <c r="AL23" s="516">
        <f t="shared" si="21"/>
        <v>999.96</v>
      </c>
      <c r="AM23" s="516">
        <f t="shared" si="21"/>
        <v>999.96</v>
      </c>
      <c r="AN23" s="516">
        <f t="shared" si="21"/>
        <v>999.96</v>
      </c>
    </row>
    <row r="24" spans="1:40" ht="13.15" customHeight="1" x14ac:dyDescent="0.2">
      <c r="A24" s="514" t="s">
        <v>1072</v>
      </c>
      <c r="B24" s="516">
        <v>97</v>
      </c>
      <c r="C24" s="516">
        <f t="shared" si="3"/>
        <v>1164</v>
      </c>
      <c r="D24" s="493"/>
      <c r="E24" s="516">
        <f t="shared" si="17"/>
        <v>40740</v>
      </c>
      <c r="F24" s="516">
        <f t="shared" si="18"/>
        <v>1164</v>
      </c>
      <c r="G24" s="516">
        <f t="shared" si="19"/>
        <v>1164</v>
      </c>
      <c r="H24" s="516">
        <f t="shared" ref="H24:AI24" si="24">G24</f>
        <v>1164</v>
      </c>
      <c r="I24" s="516">
        <f t="shared" si="24"/>
        <v>1164</v>
      </c>
      <c r="J24" s="516">
        <f t="shared" si="24"/>
        <v>1164</v>
      </c>
      <c r="K24" s="516">
        <f t="shared" si="24"/>
        <v>1164</v>
      </c>
      <c r="L24" s="516">
        <f t="shared" si="24"/>
        <v>1164</v>
      </c>
      <c r="M24" s="516">
        <f t="shared" si="24"/>
        <v>1164</v>
      </c>
      <c r="N24" s="516">
        <f t="shared" si="24"/>
        <v>1164</v>
      </c>
      <c r="O24" s="516">
        <f t="shared" si="24"/>
        <v>1164</v>
      </c>
      <c r="P24" s="516">
        <f t="shared" si="24"/>
        <v>1164</v>
      </c>
      <c r="Q24" s="516">
        <f t="shared" si="24"/>
        <v>1164</v>
      </c>
      <c r="R24" s="516">
        <f t="shared" si="24"/>
        <v>1164</v>
      </c>
      <c r="S24" s="516">
        <f t="shared" si="24"/>
        <v>1164</v>
      </c>
      <c r="T24" s="516">
        <f t="shared" si="24"/>
        <v>1164</v>
      </c>
      <c r="U24" s="516">
        <f t="shared" si="24"/>
        <v>1164</v>
      </c>
      <c r="V24" s="516">
        <f t="shared" si="24"/>
        <v>1164</v>
      </c>
      <c r="W24" s="516">
        <f t="shared" si="24"/>
        <v>1164</v>
      </c>
      <c r="X24" s="516">
        <f t="shared" si="24"/>
        <v>1164</v>
      </c>
      <c r="Y24" s="516">
        <f t="shared" si="24"/>
        <v>1164</v>
      </c>
      <c r="Z24" s="516">
        <f t="shared" si="24"/>
        <v>1164</v>
      </c>
      <c r="AA24" s="516">
        <f t="shared" si="24"/>
        <v>1164</v>
      </c>
      <c r="AB24" s="516">
        <f t="shared" si="24"/>
        <v>1164</v>
      </c>
      <c r="AC24" s="516">
        <f t="shared" si="24"/>
        <v>1164</v>
      </c>
      <c r="AD24" s="516">
        <f t="shared" si="24"/>
        <v>1164</v>
      </c>
      <c r="AE24" s="516">
        <f t="shared" si="24"/>
        <v>1164</v>
      </c>
      <c r="AF24" s="516">
        <f t="shared" si="24"/>
        <v>1164</v>
      </c>
      <c r="AG24" s="516">
        <f t="shared" si="24"/>
        <v>1164</v>
      </c>
      <c r="AH24" s="516">
        <f t="shared" si="24"/>
        <v>1164</v>
      </c>
      <c r="AI24" s="516">
        <f t="shared" si="24"/>
        <v>1164</v>
      </c>
      <c r="AJ24" s="516">
        <f t="shared" si="21"/>
        <v>1164</v>
      </c>
      <c r="AK24" s="516">
        <f t="shared" si="21"/>
        <v>1164</v>
      </c>
      <c r="AL24" s="516">
        <f t="shared" si="21"/>
        <v>1164</v>
      </c>
      <c r="AM24" s="516">
        <f t="shared" si="21"/>
        <v>1164</v>
      </c>
      <c r="AN24" s="516">
        <f t="shared" si="21"/>
        <v>1164</v>
      </c>
    </row>
    <row r="25" spans="1:40" ht="13.15" customHeight="1" x14ac:dyDescent="0.2">
      <c r="A25" s="514" t="s">
        <v>1067</v>
      </c>
      <c r="B25" s="516">
        <v>150</v>
      </c>
      <c r="C25" s="516">
        <f t="shared" si="3"/>
        <v>1800</v>
      </c>
      <c r="D25" s="493"/>
      <c r="E25" s="516">
        <f t="shared" si="17"/>
        <v>63000</v>
      </c>
      <c r="F25" s="516">
        <f t="shared" si="18"/>
        <v>1800</v>
      </c>
      <c r="G25" s="516">
        <f t="shared" si="19"/>
        <v>1800</v>
      </c>
      <c r="H25" s="516">
        <f t="shared" ref="H25:AI25" si="25">G25</f>
        <v>1800</v>
      </c>
      <c r="I25" s="516">
        <f t="shared" si="25"/>
        <v>1800</v>
      </c>
      <c r="J25" s="516">
        <f t="shared" si="25"/>
        <v>1800</v>
      </c>
      <c r="K25" s="516">
        <f t="shared" si="25"/>
        <v>1800</v>
      </c>
      <c r="L25" s="516">
        <f t="shared" si="25"/>
        <v>1800</v>
      </c>
      <c r="M25" s="516">
        <f t="shared" si="25"/>
        <v>1800</v>
      </c>
      <c r="N25" s="516">
        <f t="shared" si="25"/>
        <v>1800</v>
      </c>
      <c r="O25" s="516">
        <f t="shared" si="25"/>
        <v>1800</v>
      </c>
      <c r="P25" s="516">
        <f t="shared" si="25"/>
        <v>1800</v>
      </c>
      <c r="Q25" s="516">
        <f t="shared" si="25"/>
        <v>1800</v>
      </c>
      <c r="R25" s="516">
        <f t="shared" si="25"/>
        <v>1800</v>
      </c>
      <c r="S25" s="516">
        <f t="shared" si="25"/>
        <v>1800</v>
      </c>
      <c r="T25" s="516">
        <f t="shared" si="25"/>
        <v>1800</v>
      </c>
      <c r="U25" s="516">
        <f t="shared" si="25"/>
        <v>1800</v>
      </c>
      <c r="V25" s="516">
        <f t="shared" si="25"/>
        <v>1800</v>
      </c>
      <c r="W25" s="516">
        <f t="shared" si="25"/>
        <v>1800</v>
      </c>
      <c r="X25" s="516">
        <f t="shared" si="25"/>
        <v>1800</v>
      </c>
      <c r="Y25" s="516">
        <f t="shared" si="25"/>
        <v>1800</v>
      </c>
      <c r="Z25" s="516">
        <f t="shared" si="25"/>
        <v>1800</v>
      </c>
      <c r="AA25" s="516">
        <f t="shared" si="25"/>
        <v>1800</v>
      </c>
      <c r="AB25" s="516">
        <f t="shared" si="25"/>
        <v>1800</v>
      </c>
      <c r="AC25" s="516">
        <f t="shared" si="25"/>
        <v>1800</v>
      </c>
      <c r="AD25" s="516">
        <f t="shared" si="25"/>
        <v>1800</v>
      </c>
      <c r="AE25" s="516">
        <f t="shared" si="25"/>
        <v>1800</v>
      </c>
      <c r="AF25" s="516">
        <f t="shared" si="25"/>
        <v>1800</v>
      </c>
      <c r="AG25" s="516">
        <f t="shared" si="25"/>
        <v>1800</v>
      </c>
      <c r="AH25" s="516">
        <f t="shared" si="25"/>
        <v>1800</v>
      </c>
      <c r="AI25" s="516">
        <f t="shared" si="25"/>
        <v>1800</v>
      </c>
      <c r="AJ25" s="516">
        <f t="shared" si="21"/>
        <v>1800</v>
      </c>
      <c r="AK25" s="516">
        <f t="shared" si="21"/>
        <v>1800</v>
      </c>
      <c r="AL25" s="516">
        <f t="shared" si="21"/>
        <v>1800</v>
      </c>
      <c r="AM25" s="516">
        <f t="shared" si="21"/>
        <v>1800</v>
      </c>
      <c r="AN25" s="516">
        <f t="shared" si="21"/>
        <v>1800</v>
      </c>
    </row>
    <row r="26" spans="1:40" ht="13.15" customHeight="1" x14ac:dyDescent="0.2">
      <c r="A26" s="110" t="s">
        <v>1073</v>
      </c>
      <c r="B26" s="96">
        <f>SUM(B27:B34)</f>
        <v>23500</v>
      </c>
      <c r="C26" s="92">
        <f>SUM(C27:C34)</f>
        <v>282000</v>
      </c>
      <c r="D26" s="493"/>
      <c r="E26" s="92">
        <f>SUM(E27:E34)</f>
        <v>9870000</v>
      </c>
      <c r="F26" s="92">
        <f>SUM(F27:F34)</f>
        <v>282000</v>
      </c>
      <c r="G26" s="92">
        <f>SUM(G27:G34)</f>
        <v>282000</v>
      </c>
      <c r="H26" s="92">
        <f t="shared" ref="H26:AI26" si="26">SUM(H27:H34)</f>
        <v>282000</v>
      </c>
      <c r="I26" s="92">
        <f t="shared" si="26"/>
        <v>282000</v>
      </c>
      <c r="J26" s="92">
        <f t="shared" si="26"/>
        <v>282000</v>
      </c>
      <c r="K26" s="92">
        <f t="shared" si="26"/>
        <v>282000</v>
      </c>
      <c r="L26" s="92">
        <f t="shared" si="26"/>
        <v>282000</v>
      </c>
      <c r="M26" s="92">
        <f t="shared" si="26"/>
        <v>282000</v>
      </c>
      <c r="N26" s="92">
        <f t="shared" si="26"/>
        <v>282000</v>
      </c>
      <c r="O26" s="92">
        <f t="shared" si="26"/>
        <v>282000</v>
      </c>
      <c r="P26" s="92">
        <f t="shared" si="26"/>
        <v>282000</v>
      </c>
      <c r="Q26" s="92">
        <f t="shared" si="26"/>
        <v>282000</v>
      </c>
      <c r="R26" s="92">
        <f t="shared" si="26"/>
        <v>282000</v>
      </c>
      <c r="S26" s="92">
        <f t="shared" si="26"/>
        <v>282000</v>
      </c>
      <c r="T26" s="92">
        <f t="shared" si="26"/>
        <v>282000</v>
      </c>
      <c r="U26" s="92">
        <f t="shared" si="26"/>
        <v>282000</v>
      </c>
      <c r="V26" s="92">
        <f t="shared" si="26"/>
        <v>282000</v>
      </c>
      <c r="W26" s="92">
        <f t="shared" si="26"/>
        <v>282000</v>
      </c>
      <c r="X26" s="92">
        <f t="shared" si="26"/>
        <v>282000</v>
      </c>
      <c r="Y26" s="92">
        <f t="shared" si="26"/>
        <v>282000</v>
      </c>
      <c r="Z26" s="92">
        <f t="shared" si="26"/>
        <v>282000</v>
      </c>
      <c r="AA26" s="92">
        <f t="shared" si="26"/>
        <v>282000</v>
      </c>
      <c r="AB26" s="92">
        <f t="shared" si="26"/>
        <v>282000</v>
      </c>
      <c r="AC26" s="92">
        <f t="shared" si="26"/>
        <v>282000</v>
      </c>
      <c r="AD26" s="92">
        <f t="shared" si="26"/>
        <v>282000</v>
      </c>
      <c r="AE26" s="92">
        <f t="shared" si="26"/>
        <v>282000</v>
      </c>
      <c r="AF26" s="92">
        <f t="shared" si="26"/>
        <v>282000</v>
      </c>
      <c r="AG26" s="92">
        <f t="shared" si="26"/>
        <v>282000</v>
      </c>
      <c r="AH26" s="92">
        <f t="shared" si="26"/>
        <v>282000</v>
      </c>
      <c r="AI26" s="92">
        <f t="shared" si="26"/>
        <v>282000</v>
      </c>
      <c r="AJ26" s="92">
        <f>SUM(AJ27:AJ34)</f>
        <v>282000</v>
      </c>
      <c r="AK26" s="92">
        <f>SUM(AK27:AK34)</f>
        <v>282000</v>
      </c>
      <c r="AL26" s="92">
        <f>SUM(AL27:AL34)</f>
        <v>282000</v>
      </c>
      <c r="AM26" s="92">
        <f>SUM(AM27:AM34)</f>
        <v>282000</v>
      </c>
      <c r="AN26" s="92">
        <f>SUM(AN27:AN34)</f>
        <v>282000</v>
      </c>
    </row>
    <row r="27" spans="1:40" ht="13.15" customHeight="1" x14ac:dyDescent="0.2">
      <c r="A27" s="514" t="s">
        <v>1059</v>
      </c>
      <c r="B27" s="332">
        <v>4500</v>
      </c>
      <c r="C27" s="516">
        <f t="shared" si="3"/>
        <v>54000</v>
      </c>
      <c r="D27" s="493"/>
      <c r="E27" s="516">
        <f t="shared" ref="E27:E36" si="27">SUM(F27:AN27)</f>
        <v>1890000</v>
      </c>
      <c r="F27" s="516">
        <f t="shared" ref="F27:F34" si="28">C27</f>
        <v>54000</v>
      </c>
      <c r="G27" s="516">
        <f t="shared" ref="G27:G34" si="29">F27</f>
        <v>54000</v>
      </c>
      <c r="H27" s="516">
        <f t="shared" ref="H27:AI27" si="30">G27</f>
        <v>54000</v>
      </c>
      <c r="I27" s="516">
        <f t="shared" si="30"/>
        <v>54000</v>
      </c>
      <c r="J27" s="516">
        <f t="shared" si="30"/>
        <v>54000</v>
      </c>
      <c r="K27" s="516">
        <f t="shared" si="30"/>
        <v>54000</v>
      </c>
      <c r="L27" s="516">
        <f t="shared" si="30"/>
        <v>54000</v>
      </c>
      <c r="M27" s="516">
        <f t="shared" si="30"/>
        <v>54000</v>
      </c>
      <c r="N27" s="516">
        <f t="shared" si="30"/>
        <v>54000</v>
      </c>
      <c r="O27" s="516">
        <f t="shared" si="30"/>
        <v>54000</v>
      </c>
      <c r="P27" s="516">
        <f t="shared" si="30"/>
        <v>54000</v>
      </c>
      <c r="Q27" s="516">
        <f t="shared" si="30"/>
        <v>54000</v>
      </c>
      <c r="R27" s="516">
        <f t="shared" si="30"/>
        <v>54000</v>
      </c>
      <c r="S27" s="516">
        <f t="shared" si="30"/>
        <v>54000</v>
      </c>
      <c r="T27" s="516">
        <f t="shared" si="30"/>
        <v>54000</v>
      </c>
      <c r="U27" s="516">
        <f t="shared" si="30"/>
        <v>54000</v>
      </c>
      <c r="V27" s="516">
        <f t="shared" si="30"/>
        <v>54000</v>
      </c>
      <c r="W27" s="516">
        <f t="shared" si="30"/>
        <v>54000</v>
      </c>
      <c r="X27" s="516">
        <f t="shared" si="30"/>
        <v>54000</v>
      </c>
      <c r="Y27" s="516">
        <f t="shared" si="30"/>
        <v>54000</v>
      </c>
      <c r="Z27" s="516">
        <f t="shared" si="30"/>
        <v>54000</v>
      </c>
      <c r="AA27" s="516">
        <f t="shared" si="30"/>
        <v>54000</v>
      </c>
      <c r="AB27" s="516">
        <f t="shared" si="30"/>
        <v>54000</v>
      </c>
      <c r="AC27" s="516">
        <f t="shared" si="30"/>
        <v>54000</v>
      </c>
      <c r="AD27" s="516">
        <f t="shared" si="30"/>
        <v>54000</v>
      </c>
      <c r="AE27" s="516">
        <f t="shared" si="30"/>
        <v>54000</v>
      </c>
      <c r="AF27" s="516">
        <f t="shared" si="30"/>
        <v>54000</v>
      </c>
      <c r="AG27" s="516">
        <f t="shared" si="30"/>
        <v>54000</v>
      </c>
      <c r="AH27" s="516">
        <f t="shared" si="30"/>
        <v>54000</v>
      </c>
      <c r="AI27" s="516">
        <f t="shared" si="30"/>
        <v>54000</v>
      </c>
      <c r="AJ27" s="516">
        <f t="shared" ref="AJ27:AN34" si="31">AI27</f>
        <v>54000</v>
      </c>
      <c r="AK27" s="516">
        <f t="shared" si="31"/>
        <v>54000</v>
      </c>
      <c r="AL27" s="516">
        <f t="shared" si="31"/>
        <v>54000</v>
      </c>
      <c r="AM27" s="516">
        <f t="shared" si="31"/>
        <v>54000</v>
      </c>
      <c r="AN27" s="516">
        <f t="shared" si="31"/>
        <v>54000</v>
      </c>
    </row>
    <row r="28" spans="1:40" ht="13.15" customHeight="1" x14ac:dyDescent="0.2">
      <c r="A28" s="514" t="s">
        <v>1060</v>
      </c>
      <c r="B28" s="332">
        <v>1115</v>
      </c>
      <c r="C28" s="516">
        <f t="shared" si="3"/>
        <v>13380</v>
      </c>
      <c r="D28" s="493"/>
      <c r="E28" s="516">
        <f t="shared" si="27"/>
        <v>468300</v>
      </c>
      <c r="F28" s="516">
        <f t="shared" si="28"/>
        <v>13380</v>
      </c>
      <c r="G28" s="516">
        <f t="shared" si="29"/>
        <v>13380</v>
      </c>
      <c r="H28" s="516">
        <f t="shared" ref="H28:AI28" si="32">G28</f>
        <v>13380</v>
      </c>
      <c r="I28" s="516">
        <f t="shared" si="32"/>
        <v>13380</v>
      </c>
      <c r="J28" s="516">
        <f t="shared" si="32"/>
        <v>13380</v>
      </c>
      <c r="K28" s="516">
        <f t="shared" si="32"/>
        <v>13380</v>
      </c>
      <c r="L28" s="516">
        <f t="shared" si="32"/>
        <v>13380</v>
      </c>
      <c r="M28" s="516">
        <f t="shared" si="32"/>
        <v>13380</v>
      </c>
      <c r="N28" s="516">
        <f t="shared" si="32"/>
        <v>13380</v>
      </c>
      <c r="O28" s="516">
        <f t="shared" si="32"/>
        <v>13380</v>
      </c>
      <c r="P28" s="516">
        <f t="shared" si="32"/>
        <v>13380</v>
      </c>
      <c r="Q28" s="516">
        <f t="shared" si="32"/>
        <v>13380</v>
      </c>
      <c r="R28" s="516">
        <f t="shared" si="32"/>
        <v>13380</v>
      </c>
      <c r="S28" s="516">
        <f t="shared" si="32"/>
        <v>13380</v>
      </c>
      <c r="T28" s="516">
        <f t="shared" si="32"/>
        <v>13380</v>
      </c>
      <c r="U28" s="516">
        <f t="shared" si="32"/>
        <v>13380</v>
      </c>
      <c r="V28" s="516">
        <f t="shared" si="32"/>
        <v>13380</v>
      </c>
      <c r="W28" s="516">
        <f t="shared" si="32"/>
        <v>13380</v>
      </c>
      <c r="X28" s="516">
        <f t="shared" si="32"/>
        <v>13380</v>
      </c>
      <c r="Y28" s="516">
        <f t="shared" si="32"/>
        <v>13380</v>
      </c>
      <c r="Z28" s="516">
        <f t="shared" si="32"/>
        <v>13380</v>
      </c>
      <c r="AA28" s="516">
        <f t="shared" si="32"/>
        <v>13380</v>
      </c>
      <c r="AB28" s="516">
        <f t="shared" si="32"/>
        <v>13380</v>
      </c>
      <c r="AC28" s="516">
        <f t="shared" si="32"/>
        <v>13380</v>
      </c>
      <c r="AD28" s="516">
        <f t="shared" si="32"/>
        <v>13380</v>
      </c>
      <c r="AE28" s="516">
        <f t="shared" si="32"/>
        <v>13380</v>
      </c>
      <c r="AF28" s="516">
        <f t="shared" si="32"/>
        <v>13380</v>
      </c>
      <c r="AG28" s="516">
        <f t="shared" si="32"/>
        <v>13380</v>
      </c>
      <c r="AH28" s="516">
        <f t="shared" si="32"/>
        <v>13380</v>
      </c>
      <c r="AI28" s="516">
        <f t="shared" si="32"/>
        <v>13380</v>
      </c>
      <c r="AJ28" s="516">
        <f t="shared" si="31"/>
        <v>13380</v>
      </c>
      <c r="AK28" s="516">
        <f t="shared" si="31"/>
        <v>13380</v>
      </c>
      <c r="AL28" s="516">
        <f t="shared" si="31"/>
        <v>13380</v>
      </c>
      <c r="AM28" s="516">
        <f t="shared" si="31"/>
        <v>13380</v>
      </c>
      <c r="AN28" s="516">
        <f t="shared" si="31"/>
        <v>13380</v>
      </c>
    </row>
    <row r="29" spans="1:40" ht="13.15" customHeight="1" x14ac:dyDescent="0.2">
      <c r="A29" s="514" t="s">
        <v>1064</v>
      </c>
      <c r="B29" s="516">
        <v>500</v>
      </c>
      <c r="C29" s="516">
        <f t="shared" si="3"/>
        <v>6000</v>
      </c>
      <c r="D29" s="493"/>
      <c r="E29" s="516">
        <f t="shared" si="27"/>
        <v>210000</v>
      </c>
      <c r="F29" s="516">
        <f t="shared" si="28"/>
        <v>6000</v>
      </c>
      <c r="G29" s="516">
        <f t="shared" si="29"/>
        <v>6000</v>
      </c>
      <c r="H29" s="516">
        <f t="shared" ref="H29:AI29" si="33">G29</f>
        <v>6000</v>
      </c>
      <c r="I29" s="516">
        <f t="shared" si="33"/>
        <v>6000</v>
      </c>
      <c r="J29" s="516">
        <f t="shared" si="33"/>
        <v>6000</v>
      </c>
      <c r="K29" s="516">
        <f t="shared" si="33"/>
        <v>6000</v>
      </c>
      <c r="L29" s="516">
        <f t="shared" si="33"/>
        <v>6000</v>
      </c>
      <c r="M29" s="516">
        <f t="shared" si="33"/>
        <v>6000</v>
      </c>
      <c r="N29" s="516">
        <f t="shared" si="33"/>
        <v>6000</v>
      </c>
      <c r="O29" s="516">
        <f t="shared" si="33"/>
        <v>6000</v>
      </c>
      <c r="P29" s="516">
        <f t="shared" si="33"/>
        <v>6000</v>
      </c>
      <c r="Q29" s="516">
        <f t="shared" si="33"/>
        <v>6000</v>
      </c>
      <c r="R29" s="516">
        <f t="shared" si="33"/>
        <v>6000</v>
      </c>
      <c r="S29" s="516">
        <f t="shared" si="33"/>
        <v>6000</v>
      </c>
      <c r="T29" s="516">
        <f t="shared" si="33"/>
        <v>6000</v>
      </c>
      <c r="U29" s="516">
        <f t="shared" si="33"/>
        <v>6000</v>
      </c>
      <c r="V29" s="516">
        <f t="shared" si="33"/>
        <v>6000</v>
      </c>
      <c r="W29" s="516">
        <f t="shared" si="33"/>
        <v>6000</v>
      </c>
      <c r="X29" s="516">
        <f t="shared" si="33"/>
        <v>6000</v>
      </c>
      <c r="Y29" s="516">
        <f t="shared" si="33"/>
        <v>6000</v>
      </c>
      <c r="Z29" s="516">
        <f t="shared" si="33"/>
        <v>6000</v>
      </c>
      <c r="AA29" s="516">
        <f t="shared" si="33"/>
        <v>6000</v>
      </c>
      <c r="AB29" s="516">
        <f t="shared" si="33"/>
        <v>6000</v>
      </c>
      <c r="AC29" s="516">
        <f t="shared" si="33"/>
        <v>6000</v>
      </c>
      <c r="AD29" s="516">
        <f t="shared" si="33"/>
        <v>6000</v>
      </c>
      <c r="AE29" s="516">
        <f t="shared" si="33"/>
        <v>6000</v>
      </c>
      <c r="AF29" s="516">
        <f t="shared" si="33"/>
        <v>6000</v>
      </c>
      <c r="AG29" s="516">
        <f t="shared" si="33"/>
        <v>6000</v>
      </c>
      <c r="AH29" s="516">
        <f t="shared" si="33"/>
        <v>6000</v>
      </c>
      <c r="AI29" s="516">
        <f t="shared" si="33"/>
        <v>6000</v>
      </c>
      <c r="AJ29" s="516">
        <f t="shared" si="31"/>
        <v>6000</v>
      </c>
      <c r="AK29" s="516">
        <f t="shared" si="31"/>
        <v>6000</v>
      </c>
      <c r="AL29" s="516">
        <f t="shared" si="31"/>
        <v>6000</v>
      </c>
      <c r="AM29" s="516">
        <f t="shared" si="31"/>
        <v>6000</v>
      </c>
      <c r="AN29" s="516">
        <f t="shared" si="31"/>
        <v>6000</v>
      </c>
    </row>
    <row r="30" spans="1:40" ht="13.15" customHeight="1" x14ac:dyDescent="0.2">
      <c r="A30" s="514" t="s">
        <v>1074</v>
      </c>
      <c r="B30" s="516">
        <f>(0.1/12)*30000</f>
        <v>250</v>
      </c>
      <c r="C30" s="516">
        <f t="shared" si="3"/>
        <v>3000</v>
      </c>
      <c r="D30" s="493"/>
      <c r="E30" s="516">
        <f t="shared" si="27"/>
        <v>105000</v>
      </c>
      <c r="F30" s="516">
        <f t="shared" si="28"/>
        <v>3000</v>
      </c>
      <c r="G30" s="516">
        <f t="shared" si="29"/>
        <v>3000</v>
      </c>
      <c r="H30" s="516">
        <f t="shared" ref="H30:AI30" si="34">G30</f>
        <v>3000</v>
      </c>
      <c r="I30" s="516">
        <f t="shared" si="34"/>
        <v>3000</v>
      </c>
      <c r="J30" s="516">
        <f t="shared" si="34"/>
        <v>3000</v>
      </c>
      <c r="K30" s="516">
        <f t="shared" si="34"/>
        <v>3000</v>
      </c>
      <c r="L30" s="516">
        <f t="shared" si="34"/>
        <v>3000</v>
      </c>
      <c r="M30" s="516">
        <f t="shared" si="34"/>
        <v>3000</v>
      </c>
      <c r="N30" s="516">
        <f t="shared" si="34"/>
        <v>3000</v>
      </c>
      <c r="O30" s="516">
        <f t="shared" si="34"/>
        <v>3000</v>
      </c>
      <c r="P30" s="516">
        <f t="shared" si="34"/>
        <v>3000</v>
      </c>
      <c r="Q30" s="516">
        <f t="shared" si="34"/>
        <v>3000</v>
      </c>
      <c r="R30" s="516">
        <f t="shared" si="34"/>
        <v>3000</v>
      </c>
      <c r="S30" s="516">
        <f t="shared" si="34"/>
        <v>3000</v>
      </c>
      <c r="T30" s="516">
        <f t="shared" si="34"/>
        <v>3000</v>
      </c>
      <c r="U30" s="516">
        <f t="shared" si="34"/>
        <v>3000</v>
      </c>
      <c r="V30" s="516">
        <f t="shared" si="34"/>
        <v>3000</v>
      </c>
      <c r="W30" s="516">
        <f t="shared" si="34"/>
        <v>3000</v>
      </c>
      <c r="X30" s="516">
        <f t="shared" si="34"/>
        <v>3000</v>
      </c>
      <c r="Y30" s="516">
        <f t="shared" si="34"/>
        <v>3000</v>
      </c>
      <c r="Z30" s="516">
        <f t="shared" si="34"/>
        <v>3000</v>
      </c>
      <c r="AA30" s="516">
        <f t="shared" si="34"/>
        <v>3000</v>
      </c>
      <c r="AB30" s="516">
        <f t="shared" si="34"/>
        <v>3000</v>
      </c>
      <c r="AC30" s="516">
        <f t="shared" si="34"/>
        <v>3000</v>
      </c>
      <c r="AD30" s="516">
        <f t="shared" si="34"/>
        <v>3000</v>
      </c>
      <c r="AE30" s="516">
        <f t="shared" si="34"/>
        <v>3000</v>
      </c>
      <c r="AF30" s="516">
        <f t="shared" si="34"/>
        <v>3000</v>
      </c>
      <c r="AG30" s="516">
        <f t="shared" si="34"/>
        <v>3000</v>
      </c>
      <c r="AH30" s="516">
        <f t="shared" si="34"/>
        <v>3000</v>
      </c>
      <c r="AI30" s="516">
        <f t="shared" si="34"/>
        <v>3000</v>
      </c>
      <c r="AJ30" s="516">
        <f t="shared" si="31"/>
        <v>3000</v>
      </c>
      <c r="AK30" s="516">
        <f t="shared" si="31"/>
        <v>3000</v>
      </c>
      <c r="AL30" s="516">
        <f t="shared" si="31"/>
        <v>3000</v>
      </c>
      <c r="AM30" s="516">
        <f t="shared" si="31"/>
        <v>3000</v>
      </c>
      <c r="AN30" s="516">
        <f t="shared" si="31"/>
        <v>3000</v>
      </c>
    </row>
    <row r="31" spans="1:40" ht="13.15" customHeight="1" x14ac:dyDescent="0.2">
      <c r="A31" s="514" t="s">
        <v>1075</v>
      </c>
      <c r="B31" s="516">
        <f>(0.97/100)*50000</f>
        <v>485</v>
      </c>
      <c r="C31" s="516">
        <f t="shared" si="3"/>
        <v>5820</v>
      </c>
      <c r="D31" s="493"/>
      <c r="E31" s="516">
        <f t="shared" si="27"/>
        <v>203700</v>
      </c>
      <c r="F31" s="516">
        <f t="shared" si="28"/>
        <v>5820</v>
      </c>
      <c r="G31" s="516">
        <f t="shared" si="29"/>
        <v>5820</v>
      </c>
      <c r="H31" s="516">
        <f t="shared" ref="H31:AI31" si="35">G31</f>
        <v>5820</v>
      </c>
      <c r="I31" s="516">
        <f t="shared" si="35"/>
        <v>5820</v>
      </c>
      <c r="J31" s="516">
        <f t="shared" si="35"/>
        <v>5820</v>
      </c>
      <c r="K31" s="516">
        <f t="shared" si="35"/>
        <v>5820</v>
      </c>
      <c r="L31" s="516">
        <f t="shared" si="35"/>
        <v>5820</v>
      </c>
      <c r="M31" s="516">
        <f t="shared" si="35"/>
        <v>5820</v>
      </c>
      <c r="N31" s="516">
        <f t="shared" si="35"/>
        <v>5820</v>
      </c>
      <c r="O31" s="516">
        <f t="shared" si="35"/>
        <v>5820</v>
      </c>
      <c r="P31" s="516">
        <f t="shared" si="35"/>
        <v>5820</v>
      </c>
      <c r="Q31" s="516">
        <f t="shared" si="35"/>
        <v>5820</v>
      </c>
      <c r="R31" s="516">
        <f t="shared" si="35"/>
        <v>5820</v>
      </c>
      <c r="S31" s="516">
        <f t="shared" si="35"/>
        <v>5820</v>
      </c>
      <c r="T31" s="516">
        <f t="shared" si="35"/>
        <v>5820</v>
      </c>
      <c r="U31" s="516">
        <f t="shared" si="35"/>
        <v>5820</v>
      </c>
      <c r="V31" s="516">
        <f t="shared" si="35"/>
        <v>5820</v>
      </c>
      <c r="W31" s="516">
        <f t="shared" si="35"/>
        <v>5820</v>
      </c>
      <c r="X31" s="516">
        <f t="shared" si="35"/>
        <v>5820</v>
      </c>
      <c r="Y31" s="516">
        <f t="shared" si="35"/>
        <v>5820</v>
      </c>
      <c r="Z31" s="516">
        <f t="shared" si="35"/>
        <v>5820</v>
      </c>
      <c r="AA31" s="516">
        <f t="shared" si="35"/>
        <v>5820</v>
      </c>
      <c r="AB31" s="516">
        <f t="shared" si="35"/>
        <v>5820</v>
      </c>
      <c r="AC31" s="516">
        <f t="shared" si="35"/>
        <v>5820</v>
      </c>
      <c r="AD31" s="516">
        <f t="shared" si="35"/>
        <v>5820</v>
      </c>
      <c r="AE31" s="516">
        <f t="shared" si="35"/>
        <v>5820</v>
      </c>
      <c r="AF31" s="516">
        <f t="shared" si="35"/>
        <v>5820</v>
      </c>
      <c r="AG31" s="516">
        <f t="shared" si="35"/>
        <v>5820</v>
      </c>
      <c r="AH31" s="516">
        <f t="shared" si="35"/>
        <v>5820</v>
      </c>
      <c r="AI31" s="516">
        <f t="shared" si="35"/>
        <v>5820</v>
      </c>
      <c r="AJ31" s="516">
        <f t="shared" si="31"/>
        <v>5820</v>
      </c>
      <c r="AK31" s="516">
        <f t="shared" si="31"/>
        <v>5820</v>
      </c>
      <c r="AL31" s="516">
        <f t="shared" si="31"/>
        <v>5820</v>
      </c>
      <c r="AM31" s="516">
        <f t="shared" si="31"/>
        <v>5820</v>
      </c>
      <c r="AN31" s="516">
        <f t="shared" si="31"/>
        <v>5820</v>
      </c>
    </row>
    <row r="32" spans="1:40" ht="13.15" customHeight="1" x14ac:dyDescent="0.2">
      <c r="A32" s="514" t="s">
        <v>1076</v>
      </c>
      <c r="B32" s="516">
        <v>4500</v>
      </c>
      <c r="C32" s="516">
        <f t="shared" si="3"/>
        <v>54000</v>
      </c>
      <c r="D32" s="493"/>
      <c r="E32" s="516">
        <f t="shared" si="27"/>
        <v>1890000</v>
      </c>
      <c r="F32" s="516">
        <f t="shared" si="28"/>
        <v>54000</v>
      </c>
      <c r="G32" s="516">
        <f t="shared" si="29"/>
        <v>54000</v>
      </c>
      <c r="H32" s="516">
        <f t="shared" ref="H32:AI32" si="36">G32</f>
        <v>54000</v>
      </c>
      <c r="I32" s="516">
        <f t="shared" si="36"/>
        <v>54000</v>
      </c>
      <c r="J32" s="516">
        <f t="shared" si="36"/>
        <v>54000</v>
      </c>
      <c r="K32" s="516">
        <f t="shared" si="36"/>
        <v>54000</v>
      </c>
      <c r="L32" s="516">
        <f t="shared" si="36"/>
        <v>54000</v>
      </c>
      <c r="M32" s="516">
        <f t="shared" si="36"/>
        <v>54000</v>
      </c>
      <c r="N32" s="516">
        <f t="shared" si="36"/>
        <v>54000</v>
      </c>
      <c r="O32" s="516">
        <f t="shared" si="36"/>
        <v>54000</v>
      </c>
      <c r="P32" s="516">
        <f t="shared" si="36"/>
        <v>54000</v>
      </c>
      <c r="Q32" s="516">
        <f t="shared" si="36"/>
        <v>54000</v>
      </c>
      <c r="R32" s="516">
        <f t="shared" si="36"/>
        <v>54000</v>
      </c>
      <c r="S32" s="516">
        <f t="shared" si="36"/>
        <v>54000</v>
      </c>
      <c r="T32" s="516">
        <f t="shared" si="36"/>
        <v>54000</v>
      </c>
      <c r="U32" s="516">
        <f t="shared" si="36"/>
        <v>54000</v>
      </c>
      <c r="V32" s="516">
        <f t="shared" si="36"/>
        <v>54000</v>
      </c>
      <c r="W32" s="516">
        <f t="shared" si="36"/>
        <v>54000</v>
      </c>
      <c r="X32" s="516">
        <f t="shared" si="36"/>
        <v>54000</v>
      </c>
      <c r="Y32" s="516">
        <f t="shared" si="36"/>
        <v>54000</v>
      </c>
      <c r="Z32" s="516">
        <f t="shared" si="36"/>
        <v>54000</v>
      </c>
      <c r="AA32" s="516">
        <f t="shared" si="36"/>
        <v>54000</v>
      </c>
      <c r="AB32" s="516">
        <f t="shared" si="36"/>
        <v>54000</v>
      </c>
      <c r="AC32" s="516">
        <f t="shared" si="36"/>
        <v>54000</v>
      </c>
      <c r="AD32" s="516">
        <f t="shared" si="36"/>
        <v>54000</v>
      </c>
      <c r="AE32" s="516">
        <f t="shared" si="36"/>
        <v>54000</v>
      </c>
      <c r="AF32" s="516">
        <f t="shared" si="36"/>
        <v>54000</v>
      </c>
      <c r="AG32" s="516">
        <f t="shared" si="36"/>
        <v>54000</v>
      </c>
      <c r="AH32" s="516">
        <f t="shared" si="36"/>
        <v>54000</v>
      </c>
      <c r="AI32" s="516">
        <f t="shared" si="36"/>
        <v>54000</v>
      </c>
      <c r="AJ32" s="516">
        <f t="shared" si="31"/>
        <v>54000</v>
      </c>
      <c r="AK32" s="516">
        <f t="shared" si="31"/>
        <v>54000</v>
      </c>
      <c r="AL32" s="516">
        <f t="shared" si="31"/>
        <v>54000</v>
      </c>
      <c r="AM32" s="516">
        <f t="shared" si="31"/>
        <v>54000</v>
      </c>
      <c r="AN32" s="516">
        <f t="shared" si="31"/>
        <v>54000</v>
      </c>
    </row>
    <row r="33" spans="1:40" ht="13.15" customHeight="1" x14ac:dyDescent="0.2">
      <c r="A33" s="517" t="s">
        <v>1077</v>
      </c>
      <c r="B33" s="516">
        <v>12000</v>
      </c>
      <c r="C33" s="516">
        <f t="shared" si="3"/>
        <v>144000</v>
      </c>
      <c r="D33" s="493"/>
      <c r="E33" s="516">
        <f t="shared" si="27"/>
        <v>5040000</v>
      </c>
      <c r="F33" s="516">
        <f t="shared" si="28"/>
        <v>144000</v>
      </c>
      <c r="G33" s="516">
        <f t="shared" si="29"/>
        <v>144000</v>
      </c>
      <c r="H33" s="516">
        <f t="shared" ref="H33:AI33" si="37">G33</f>
        <v>144000</v>
      </c>
      <c r="I33" s="516">
        <f t="shared" si="37"/>
        <v>144000</v>
      </c>
      <c r="J33" s="516">
        <f t="shared" si="37"/>
        <v>144000</v>
      </c>
      <c r="K33" s="516">
        <f t="shared" si="37"/>
        <v>144000</v>
      </c>
      <c r="L33" s="516">
        <f t="shared" si="37"/>
        <v>144000</v>
      </c>
      <c r="M33" s="516">
        <f t="shared" si="37"/>
        <v>144000</v>
      </c>
      <c r="N33" s="516">
        <f t="shared" si="37"/>
        <v>144000</v>
      </c>
      <c r="O33" s="516">
        <f t="shared" si="37"/>
        <v>144000</v>
      </c>
      <c r="P33" s="516">
        <f t="shared" si="37"/>
        <v>144000</v>
      </c>
      <c r="Q33" s="516">
        <f t="shared" si="37"/>
        <v>144000</v>
      </c>
      <c r="R33" s="516">
        <f t="shared" si="37"/>
        <v>144000</v>
      </c>
      <c r="S33" s="516">
        <f t="shared" si="37"/>
        <v>144000</v>
      </c>
      <c r="T33" s="516">
        <f t="shared" si="37"/>
        <v>144000</v>
      </c>
      <c r="U33" s="516">
        <f t="shared" si="37"/>
        <v>144000</v>
      </c>
      <c r="V33" s="516">
        <f t="shared" si="37"/>
        <v>144000</v>
      </c>
      <c r="W33" s="516">
        <f t="shared" si="37"/>
        <v>144000</v>
      </c>
      <c r="X33" s="516">
        <f t="shared" si="37"/>
        <v>144000</v>
      </c>
      <c r="Y33" s="516">
        <f t="shared" si="37"/>
        <v>144000</v>
      </c>
      <c r="Z33" s="516">
        <f t="shared" si="37"/>
        <v>144000</v>
      </c>
      <c r="AA33" s="516">
        <f t="shared" si="37"/>
        <v>144000</v>
      </c>
      <c r="AB33" s="516">
        <f t="shared" si="37"/>
        <v>144000</v>
      </c>
      <c r="AC33" s="516">
        <f t="shared" si="37"/>
        <v>144000</v>
      </c>
      <c r="AD33" s="516">
        <f t="shared" si="37"/>
        <v>144000</v>
      </c>
      <c r="AE33" s="516">
        <f t="shared" si="37"/>
        <v>144000</v>
      </c>
      <c r="AF33" s="516">
        <f t="shared" si="37"/>
        <v>144000</v>
      </c>
      <c r="AG33" s="516">
        <f t="shared" si="37"/>
        <v>144000</v>
      </c>
      <c r="AH33" s="516">
        <f t="shared" si="37"/>
        <v>144000</v>
      </c>
      <c r="AI33" s="516">
        <f t="shared" si="37"/>
        <v>144000</v>
      </c>
      <c r="AJ33" s="516">
        <f t="shared" si="31"/>
        <v>144000</v>
      </c>
      <c r="AK33" s="516">
        <f t="shared" si="31"/>
        <v>144000</v>
      </c>
      <c r="AL33" s="516">
        <f t="shared" si="31"/>
        <v>144000</v>
      </c>
      <c r="AM33" s="516">
        <f t="shared" si="31"/>
        <v>144000</v>
      </c>
      <c r="AN33" s="516">
        <f t="shared" si="31"/>
        <v>144000</v>
      </c>
    </row>
    <row r="34" spans="1:40" ht="13.15" customHeight="1" x14ac:dyDescent="0.2">
      <c r="A34" s="514" t="s">
        <v>1067</v>
      </c>
      <c r="B34" s="433">
        <v>150</v>
      </c>
      <c r="C34" s="516">
        <f t="shared" si="3"/>
        <v>1800</v>
      </c>
      <c r="D34" s="493"/>
      <c r="E34" s="516">
        <f t="shared" si="27"/>
        <v>63000</v>
      </c>
      <c r="F34" s="516">
        <f t="shared" si="28"/>
        <v>1800</v>
      </c>
      <c r="G34" s="516">
        <f t="shared" si="29"/>
        <v>1800</v>
      </c>
      <c r="H34" s="516">
        <f t="shared" ref="H34:AI34" si="38">G34</f>
        <v>1800</v>
      </c>
      <c r="I34" s="516">
        <f t="shared" si="38"/>
        <v>1800</v>
      </c>
      <c r="J34" s="516">
        <f t="shared" si="38"/>
        <v>1800</v>
      </c>
      <c r="K34" s="516">
        <f t="shared" si="38"/>
        <v>1800</v>
      </c>
      <c r="L34" s="516">
        <f t="shared" si="38"/>
        <v>1800</v>
      </c>
      <c r="M34" s="516">
        <f t="shared" si="38"/>
        <v>1800</v>
      </c>
      <c r="N34" s="516">
        <f t="shared" si="38"/>
        <v>1800</v>
      </c>
      <c r="O34" s="516">
        <f t="shared" si="38"/>
        <v>1800</v>
      </c>
      <c r="P34" s="516">
        <f t="shared" si="38"/>
        <v>1800</v>
      </c>
      <c r="Q34" s="516">
        <f t="shared" si="38"/>
        <v>1800</v>
      </c>
      <c r="R34" s="516">
        <f t="shared" si="38"/>
        <v>1800</v>
      </c>
      <c r="S34" s="516">
        <f t="shared" si="38"/>
        <v>1800</v>
      </c>
      <c r="T34" s="516">
        <f t="shared" si="38"/>
        <v>1800</v>
      </c>
      <c r="U34" s="516">
        <f t="shared" si="38"/>
        <v>1800</v>
      </c>
      <c r="V34" s="516">
        <f t="shared" si="38"/>
        <v>1800</v>
      </c>
      <c r="W34" s="516">
        <f t="shared" si="38"/>
        <v>1800</v>
      </c>
      <c r="X34" s="516">
        <f t="shared" si="38"/>
        <v>1800</v>
      </c>
      <c r="Y34" s="516">
        <f t="shared" si="38"/>
        <v>1800</v>
      </c>
      <c r="Z34" s="516">
        <f t="shared" si="38"/>
        <v>1800</v>
      </c>
      <c r="AA34" s="516">
        <f t="shared" si="38"/>
        <v>1800</v>
      </c>
      <c r="AB34" s="516">
        <f t="shared" si="38"/>
        <v>1800</v>
      </c>
      <c r="AC34" s="516">
        <f t="shared" si="38"/>
        <v>1800</v>
      </c>
      <c r="AD34" s="516">
        <f t="shared" si="38"/>
        <v>1800</v>
      </c>
      <c r="AE34" s="516">
        <f t="shared" si="38"/>
        <v>1800</v>
      </c>
      <c r="AF34" s="516">
        <f t="shared" si="38"/>
        <v>1800</v>
      </c>
      <c r="AG34" s="516">
        <f t="shared" si="38"/>
        <v>1800</v>
      </c>
      <c r="AH34" s="516">
        <f t="shared" si="38"/>
        <v>1800</v>
      </c>
      <c r="AI34" s="516">
        <f t="shared" si="38"/>
        <v>1800</v>
      </c>
      <c r="AJ34" s="516">
        <f t="shared" si="31"/>
        <v>1800</v>
      </c>
      <c r="AK34" s="516">
        <f t="shared" si="31"/>
        <v>1800</v>
      </c>
      <c r="AL34" s="516">
        <f t="shared" si="31"/>
        <v>1800</v>
      </c>
      <c r="AM34" s="516">
        <f t="shared" si="31"/>
        <v>1800</v>
      </c>
      <c r="AN34" s="516">
        <f t="shared" si="31"/>
        <v>1800</v>
      </c>
    </row>
    <row r="35" spans="1:40" ht="13.15" customHeight="1" x14ac:dyDescent="0.2">
      <c r="A35" s="110" t="s">
        <v>1078</v>
      </c>
      <c r="B35" s="96">
        <f>SUM(B36)</f>
        <v>3000</v>
      </c>
      <c r="C35" s="92">
        <f>SUM(C36)</f>
        <v>36000</v>
      </c>
      <c r="D35" s="493"/>
      <c r="E35" s="92">
        <f t="shared" ref="E35:AN35" si="39">SUM(E36)</f>
        <v>1260000</v>
      </c>
      <c r="F35" s="92">
        <f t="shared" si="39"/>
        <v>36000</v>
      </c>
      <c r="G35" s="92">
        <f t="shared" si="39"/>
        <v>36000</v>
      </c>
      <c r="H35" s="92">
        <f t="shared" si="39"/>
        <v>36000</v>
      </c>
      <c r="I35" s="92">
        <f t="shared" si="39"/>
        <v>36000</v>
      </c>
      <c r="J35" s="92">
        <f t="shared" si="39"/>
        <v>36000</v>
      </c>
      <c r="K35" s="92">
        <f t="shared" si="39"/>
        <v>36000</v>
      </c>
      <c r="L35" s="92">
        <f t="shared" si="39"/>
        <v>36000</v>
      </c>
      <c r="M35" s="92">
        <f t="shared" si="39"/>
        <v>36000</v>
      </c>
      <c r="N35" s="92">
        <f t="shared" si="39"/>
        <v>36000</v>
      </c>
      <c r="O35" s="92">
        <f t="shared" si="39"/>
        <v>36000</v>
      </c>
      <c r="P35" s="92">
        <f t="shared" si="39"/>
        <v>36000</v>
      </c>
      <c r="Q35" s="92">
        <f t="shared" si="39"/>
        <v>36000</v>
      </c>
      <c r="R35" s="92">
        <f t="shared" si="39"/>
        <v>36000</v>
      </c>
      <c r="S35" s="92">
        <f t="shared" si="39"/>
        <v>36000</v>
      </c>
      <c r="T35" s="92">
        <f t="shared" si="39"/>
        <v>36000</v>
      </c>
      <c r="U35" s="92">
        <f t="shared" si="39"/>
        <v>36000</v>
      </c>
      <c r="V35" s="92">
        <f t="shared" si="39"/>
        <v>36000</v>
      </c>
      <c r="W35" s="92">
        <f t="shared" si="39"/>
        <v>36000</v>
      </c>
      <c r="X35" s="92">
        <f t="shared" si="39"/>
        <v>36000</v>
      </c>
      <c r="Y35" s="92">
        <f t="shared" si="39"/>
        <v>36000</v>
      </c>
      <c r="Z35" s="92">
        <f t="shared" si="39"/>
        <v>36000</v>
      </c>
      <c r="AA35" s="92">
        <f t="shared" si="39"/>
        <v>36000</v>
      </c>
      <c r="AB35" s="92">
        <f t="shared" si="39"/>
        <v>36000</v>
      </c>
      <c r="AC35" s="92">
        <f t="shared" si="39"/>
        <v>36000</v>
      </c>
      <c r="AD35" s="92">
        <f t="shared" si="39"/>
        <v>36000</v>
      </c>
      <c r="AE35" s="92">
        <f t="shared" si="39"/>
        <v>36000</v>
      </c>
      <c r="AF35" s="92">
        <f t="shared" si="39"/>
        <v>36000</v>
      </c>
      <c r="AG35" s="92">
        <f t="shared" si="39"/>
        <v>36000</v>
      </c>
      <c r="AH35" s="92">
        <f t="shared" si="39"/>
        <v>36000</v>
      </c>
      <c r="AI35" s="92">
        <f t="shared" si="39"/>
        <v>36000</v>
      </c>
      <c r="AJ35" s="92">
        <f t="shared" si="39"/>
        <v>36000</v>
      </c>
      <c r="AK35" s="92">
        <f t="shared" si="39"/>
        <v>36000</v>
      </c>
      <c r="AL35" s="92">
        <f t="shared" si="39"/>
        <v>36000</v>
      </c>
      <c r="AM35" s="92">
        <f t="shared" si="39"/>
        <v>36000</v>
      </c>
      <c r="AN35" s="92">
        <f t="shared" si="39"/>
        <v>36000</v>
      </c>
    </row>
    <row r="36" spans="1:40" ht="13.15" customHeight="1" x14ac:dyDescent="0.2">
      <c r="A36" s="514" t="s">
        <v>1079</v>
      </c>
      <c r="B36" s="516">
        <v>3000</v>
      </c>
      <c r="C36" s="516">
        <f t="shared" si="3"/>
        <v>36000</v>
      </c>
      <c r="D36" s="493"/>
      <c r="E36" s="516">
        <f t="shared" si="27"/>
        <v>1260000</v>
      </c>
      <c r="F36" s="518">
        <f>$C$36</f>
        <v>36000</v>
      </c>
      <c r="G36" s="518">
        <f t="shared" ref="G36:AN36" si="40">$C$36</f>
        <v>36000</v>
      </c>
      <c r="H36" s="518">
        <f t="shared" si="40"/>
        <v>36000</v>
      </c>
      <c r="I36" s="518">
        <f t="shared" si="40"/>
        <v>36000</v>
      </c>
      <c r="J36" s="518">
        <f t="shared" si="40"/>
        <v>36000</v>
      </c>
      <c r="K36" s="518">
        <f t="shared" si="40"/>
        <v>36000</v>
      </c>
      <c r="L36" s="518">
        <f t="shared" si="40"/>
        <v>36000</v>
      </c>
      <c r="M36" s="518">
        <f t="shared" si="40"/>
        <v>36000</v>
      </c>
      <c r="N36" s="518">
        <f t="shared" si="40"/>
        <v>36000</v>
      </c>
      <c r="O36" s="518">
        <f t="shared" si="40"/>
        <v>36000</v>
      </c>
      <c r="P36" s="518">
        <f t="shared" si="40"/>
        <v>36000</v>
      </c>
      <c r="Q36" s="518">
        <f t="shared" si="40"/>
        <v>36000</v>
      </c>
      <c r="R36" s="518">
        <f t="shared" si="40"/>
        <v>36000</v>
      </c>
      <c r="S36" s="518">
        <f t="shared" si="40"/>
        <v>36000</v>
      </c>
      <c r="T36" s="518">
        <f t="shared" si="40"/>
        <v>36000</v>
      </c>
      <c r="U36" s="518">
        <f t="shared" si="40"/>
        <v>36000</v>
      </c>
      <c r="V36" s="518">
        <f t="shared" si="40"/>
        <v>36000</v>
      </c>
      <c r="W36" s="518">
        <f t="shared" si="40"/>
        <v>36000</v>
      </c>
      <c r="X36" s="518">
        <f t="shared" si="40"/>
        <v>36000</v>
      </c>
      <c r="Y36" s="518">
        <f t="shared" si="40"/>
        <v>36000</v>
      </c>
      <c r="Z36" s="518">
        <f t="shared" si="40"/>
        <v>36000</v>
      </c>
      <c r="AA36" s="518">
        <f t="shared" si="40"/>
        <v>36000</v>
      </c>
      <c r="AB36" s="518">
        <f t="shared" si="40"/>
        <v>36000</v>
      </c>
      <c r="AC36" s="518">
        <f t="shared" si="40"/>
        <v>36000</v>
      </c>
      <c r="AD36" s="518">
        <f t="shared" si="40"/>
        <v>36000</v>
      </c>
      <c r="AE36" s="518">
        <f t="shared" si="40"/>
        <v>36000</v>
      </c>
      <c r="AF36" s="518">
        <f t="shared" si="40"/>
        <v>36000</v>
      </c>
      <c r="AG36" s="518">
        <f t="shared" si="40"/>
        <v>36000</v>
      </c>
      <c r="AH36" s="518">
        <f t="shared" si="40"/>
        <v>36000</v>
      </c>
      <c r="AI36" s="518">
        <f t="shared" si="40"/>
        <v>36000</v>
      </c>
      <c r="AJ36" s="518">
        <f t="shared" si="40"/>
        <v>36000</v>
      </c>
      <c r="AK36" s="518">
        <f t="shared" si="40"/>
        <v>36000</v>
      </c>
      <c r="AL36" s="518">
        <f t="shared" si="40"/>
        <v>36000</v>
      </c>
      <c r="AM36" s="518">
        <f t="shared" si="40"/>
        <v>36000</v>
      </c>
      <c r="AN36" s="518">
        <f t="shared" si="40"/>
        <v>36000</v>
      </c>
    </row>
    <row r="37" spans="1:40" ht="13.15" customHeight="1" x14ac:dyDescent="0.2">
      <c r="A37" s="519"/>
      <c r="B37" s="520"/>
      <c r="C37" s="521"/>
      <c r="D37" s="493"/>
      <c r="E37" s="516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  <c r="AG37" s="521"/>
      <c r="AH37" s="521"/>
      <c r="AI37" s="521"/>
      <c r="AJ37" s="521"/>
      <c r="AK37" s="521"/>
      <c r="AL37" s="521"/>
      <c r="AM37" s="521"/>
      <c r="AN37" s="521"/>
    </row>
    <row r="38" spans="1:40" ht="13.15" customHeight="1" x14ac:dyDescent="0.2">
      <c r="A38" s="94" t="s">
        <v>1080</v>
      </c>
      <c r="B38" s="95">
        <f>B26+B19+B7+B35</f>
        <v>64540.996666666666</v>
      </c>
      <c r="C38" s="95">
        <f>C26+C19+C7+C35</f>
        <v>774491.96</v>
      </c>
      <c r="D38" s="493"/>
      <c r="E38" s="95">
        <f>E26+E19+E7+E35</f>
        <v>23267218.600000001</v>
      </c>
      <c r="F38" s="95">
        <f t="shared" ref="F38:AN38" si="41">F26+F19+F7+F35</f>
        <v>774491.96</v>
      </c>
      <c r="G38" s="95">
        <f t="shared" si="41"/>
        <v>774491.96</v>
      </c>
      <c r="H38" s="95">
        <f t="shared" si="41"/>
        <v>774491.96</v>
      </c>
      <c r="I38" s="95">
        <f t="shared" si="41"/>
        <v>654491.96</v>
      </c>
      <c r="J38" s="95">
        <f t="shared" si="41"/>
        <v>654491.96</v>
      </c>
      <c r="K38" s="95">
        <f t="shared" si="41"/>
        <v>654491.96</v>
      </c>
      <c r="L38" s="95">
        <f t="shared" si="41"/>
        <v>654491.96</v>
      </c>
      <c r="M38" s="95">
        <f t="shared" si="41"/>
        <v>654491.96</v>
      </c>
      <c r="N38" s="95">
        <f t="shared" si="41"/>
        <v>654491.96</v>
      </c>
      <c r="O38" s="95">
        <f t="shared" si="41"/>
        <v>654491.96</v>
      </c>
      <c r="P38" s="95">
        <f t="shared" si="41"/>
        <v>654491.96</v>
      </c>
      <c r="Q38" s="95">
        <f t="shared" si="41"/>
        <v>654491.96</v>
      </c>
      <c r="R38" s="95">
        <f t="shared" si="41"/>
        <v>654491.96</v>
      </c>
      <c r="S38" s="95">
        <f t="shared" si="41"/>
        <v>654491.96</v>
      </c>
      <c r="T38" s="95">
        <f t="shared" si="41"/>
        <v>654491.96</v>
      </c>
      <c r="U38" s="95">
        <f t="shared" si="41"/>
        <v>654491.96</v>
      </c>
      <c r="V38" s="95">
        <f t="shared" si="41"/>
        <v>654491.96</v>
      </c>
      <c r="W38" s="95">
        <f t="shared" si="41"/>
        <v>654491.96</v>
      </c>
      <c r="X38" s="95">
        <f t="shared" si="41"/>
        <v>654491.96</v>
      </c>
      <c r="Y38" s="95">
        <f t="shared" si="41"/>
        <v>654491.96</v>
      </c>
      <c r="Z38" s="95">
        <f t="shared" si="41"/>
        <v>654491.96</v>
      </c>
      <c r="AA38" s="95">
        <f t="shared" si="41"/>
        <v>654491.96</v>
      </c>
      <c r="AB38" s="95">
        <f t="shared" si="41"/>
        <v>654491.96</v>
      </c>
      <c r="AC38" s="95">
        <f t="shared" si="41"/>
        <v>654491.96</v>
      </c>
      <c r="AD38" s="95">
        <f t="shared" si="41"/>
        <v>654491.96</v>
      </c>
      <c r="AE38" s="95">
        <f t="shared" si="41"/>
        <v>654491.96</v>
      </c>
      <c r="AF38" s="95">
        <f t="shared" si="41"/>
        <v>654491.96</v>
      </c>
      <c r="AG38" s="95">
        <f t="shared" si="41"/>
        <v>654491.96</v>
      </c>
      <c r="AH38" s="95">
        <f t="shared" si="41"/>
        <v>654491.96</v>
      </c>
      <c r="AI38" s="95">
        <f t="shared" si="41"/>
        <v>654491.96</v>
      </c>
      <c r="AJ38" s="95">
        <f t="shared" si="41"/>
        <v>654491.96</v>
      </c>
      <c r="AK38" s="95">
        <f t="shared" si="41"/>
        <v>654491.96</v>
      </c>
      <c r="AL38" s="95">
        <f t="shared" si="41"/>
        <v>654491.96</v>
      </c>
      <c r="AM38" s="95">
        <f t="shared" si="41"/>
        <v>654491.96</v>
      </c>
      <c r="AN38" s="95">
        <f t="shared" si="41"/>
        <v>654491.96</v>
      </c>
    </row>
  </sheetData>
  <phoneticPr fontId="8" type="noConversion"/>
  <pageMargins left="0.511811024" right="0.511811024" top="0.78740157499999996" bottom="0.78740157499999996" header="0.31496062000000002" footer="0.31496062000000002"/>
  <pageSetup paperSize="9" scale="22" orientation="landscape" r:id="rId1"/>
  <ignoredErrors>
    <ignoredError sqref="C35 C26 C19 F19:AN19 F26:AN26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14"/>
  <dimension ref="A1:AR107"/>
  <sheetViews>
    <sheetView showGridLines="0" zoomScale="85" zoomScaleNormal="85" workbookViewId="0">
      <pane xSplit="1" ySplit="4" topLeftCell="B5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9.28515625" defaultRowHeight="12.75" x14ac:dyDescent="0.2"/>
  <cols>
    <col min="1" max="1" width="66.42578125" style="75" customWidth="1"/>
    <col min="2" max="2" width="16.42578125" style="75" bestFit="1" customWidth="1"/>
    <col min="3" max="3" width="8.7109375" style="112" bestFit="1" customWidth="1"/>
    <col min="4" max="4" width="14.28515625" style="75" bestFit="1" customWidth="1"/>
    <col min="5" max="5" width="15.7109375" style="77" customWidth="1"/>
    <col min="6" max="8" width="13.28515625" style="77" bestFit="1" customWidth="1"/>
    <col min="9" max="9" width="15.7109375" style="77" bestFit="1" customWidth="1"/>
    <col min="10" max="10" width="15" style="77" bestFit="1" customWidth="1"/>
    <col min="11" max="11" width="14.7109375" style="77" bestFit="1" customWidth="1"/>
    <col min="12" max="12" width="13.28515625" style="77" bestFit="1" customWidth="1"/>
    <col min="13" max="13" width="15.7109375" style="77" bestFit="1" customWidth="1"/>
    <col min="14" max="14" width="15" style="77" bestFit="1" customWidth="1"/>
    <col min="15" max="16" width="14.28515625" style="77" bestFit="1" customWidth="1"/>
    <col min="17" max="17" width="15.7109375" style="77" bestFit="1" customWidth="1"/>
    <col min="18" max="18" width="15" style="77" bestFit="1" customWidth="1"/>
    <col min="19" max="20" width="14.28515625" style="77" bestFit="1" customWidth="1"/>
    <col min="21" max="21" width="15.7109375" style="77" bestFit="1" customWidth="1"/>
    <col min="22" max="22" width="15" style="77" bestFit="1" customWidth="1"/>
    <col min="23" max="24" width="14.28515625" style="77" bestFit="1" customWidth="1"/>
    <col min="25" max="25" width="15.7109375" style="77" bestFit="1" customWidth="1"/>
    <col min="26" max="26" width="15" style="77" bestFit="1" customWidth="1"/>
    <col min="27" max="28" width="14.28515625" style="77" bestFit="1" customWidth="1"/>
    <col min="29" max="29" width="15.7109375" style="77" bestFit="1" customWidth="1"/>
    <col min="30" max="30" width="15" style="77" bestFit="1" customWidth="1"/>
    <col min="31" max="32" width="14.28515625" style="77" bestFit="1" customWidth="1"/>
    <col min="33" max="33" width="15.7109375" style="77" bestFit="1" customWidth="1"/>
    <col min="34" max="34" width="15" style="77" bestFit="1" customWidth="1"/>
    <col min="35" max="36" width="14.28515625" style="75" bestFit="1" customWidth="1"/>
    <col min="37" max="37" width="15.7109375" style="75" bestFit="1" customWidth="1"/>
    <col min="38" max="38" width="15" style="75" bestFit="1" customWidth="1"/>
    <col min="39" max="39" width="14.28515625" style="75" bestFit="1" customWidth="1"/>
    <col min="40" max="40" width="13.28515625" style="75" customWidth="1"/>
    <col min="41" max="41" width="5.28515625" style="75" customWidth="1"/>
    <col min="42" max="42" width="11.5703125" style="75" customWidth="1"/>
    <col min="43" max="44" width="12.28515625" style="75" customWidth="1"/>
    <col min="45" max="16384" width="9.28515625" style="75"/>
  </cols>
  <sheetData>
    <row r="1" spans="1:39" ht="13.15" customHeight="1" x14ac:dyDescent="0.2">
      <c r="A1" s="415"/>
      <c r="B1" s="415"/>
      <c r="C1" s="523"/>
      <c r="D1" s="415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4"/>
      <c r="AI1" s="415"/>
      <c r="AJ1" s="415"/>
      <c r="AK1" s="415"/>
      <c r="AL1" s="415"/>
      <c r="AM1" s="415"/>
    </row>
    <row r="2" spans="1:39" ht="40.15" customHeight="1" x14ac:dyDescent="0.2">
      <c r="A2" s="283" t="s">
        <v>1081</v>
      </c>
      <c r="B2" s="285"/>
      <c r="C2" s="317"/>
      <c r="D2" s="284"/>
      <c r="E2" s="612">
        <v>2025</v>
      </c>
      <c r="F2" s="613">
        <v>2026</v>
      </c>
      <c r="G2" s="612">
        <v>2027</v>
      </c>
      <c r="H2" s="613">
        <v>2028</v>
      </c>
      <c r="I2" s="612">
        <v>2029</v>
      </c>
      <c r="J2" s="613">
        <v>2030</v>
      </c>
      <c r="K2" s="522"/>
      <c r="L2" s="415"/>
      <c r="M2" s="415"/>
      <c r="N2" s="614"/>
      <c r="O2" s="614">
        <f>191888.178*4</f>
        <v>767552.71200000006</v>
      </c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5"/>
      <c r="AH2" s="415"/>
      <c r="AI2" s="415"/>
      <c r="AJ2" s="415"/>
      <c r="AK2" s="415"/>
      <c r="AL2" s="415"/>
      <c r="AM2" s="415"/>
    </row>
    <row r="3" spans="1:39" s="112" customFormat="1" ht="13.15" customHeight="1" x14ac:dyDescent="0.2">
      <c r="A3" s="164" t="s">
        <v>1081</v>
      </c>
      <c r="B3" s="164" t="s">
        <v>1082</v>
      </c>
      <c r="C3" s="164"/>
      <c r="D3" s="504" t="s">
        <v>71</v>
      </c>
      <c r="E3" s="504" t="s">
        <v>1005</v>
      </c>
      <c r="F3" s="504" t="s">
        <v>1006</v>
      </c>
      <c r="G3" s="504" t="s">
        <v>1007</v>
      </c>
      <c r="H3" s="504" t="s">
        <v>1008</v>
      </c>
      <c r="I3" s="504" t="s">
        <v>1009</v>
      </c>
      <c r="J3" s="504" t="s">
        <v>1010</v>
      </c>
      <c r="K3" s="504" t="s">
        <v>1011</v>
      </c>
      <c r="L3" s="504" t="s">
        <v>1012</v>
      </c>
      <c r="M3" s="504" t="s">
        <v>1013</v>
      </c>
      <c r="N3" s="504" t="s">
        <v>1014</v>
      </c>
      <c r="O3" s="504" t="s">
        <v>1015</v>
      </c>
      <c r="P3" s="504" t="s">
        <v>1016</v>
      </c>
      <c r="Q3" s="504" t="s">
        <v>1017</v>
      </c>
      <c r="R3" s="504" t="s">
        <v>1018</v>
      </c>
      <c r="S3" s="504" t="s">
        <v>1019</v>
      </c>
      <c r="T3" s="504" t="s">
        <v>1020</v>
      </c>
      <c r="U3" s="504" t="s">
        <v>1021</v>
      </c>
      <c r="V3" s="504" t="s">
        <v>1022</v>
      </c>
      <c r="W3" s="504" t="s">
        <v>1023</v>
      </c>
      <c r="X3" s="504" t="s">
        <v>1024</v>
      </c>
      <c r="Y3" s="504" t="s">
        <v>1025</v>
      </c>
      <c r="Z3" s="504" t="s">
        <v>1026</v>
      </c>
      <c r="AA3" s="504" t="s">
        <v>1027</v>
      </c>
      <c r="AB3" s="504" t="s">
        <v>1028</v>
      </c>
      <c r="AC3" s="504" t="s">
        <v>1029</v>
      </c>
      <c r="AD3" s="504" t="s">
        <v>1030</v>
      </c>
      <c r="AE3" s="504" t="s">
        <v>1031</v>
      </c>
      <c r="AF3" s="504" t="s">
        <v>1032</v>
      </c>
      <c r="AG3" s="504" t="s">
        <v>1033</v>
      </c>
      <c r="AH3" s="504" t="s">
        <v>1034</v>
      </c>
      <c r="AI3" s="504" t="s">
        <v>1035</v>
      </c>
      <c r="AJ3" s="504" t="s">
        <v>1036</v>
      </c>
      <c r="AK3" s="504" t="s">
        <v>1037</v>
      </c>
      <c r="AL3" s="504" t="s">
        <v>1038</v>
      </c>
      <c r="AM3" s="504" t="s">
        <v>1039</v>
      </c>
    </row>
    <row r="4" spans="1:39" ht="13.15" customHeight="1" x14ac:dyDescent="0.2">
      <c r="A4" s="89" t="s">
        <v>1083</v>
      </c>
      <c r="B4" s="89"/>
      <c r="C4" s="165"/>
      <c r="D4" s="90">
        <f t="shared" ref="D4:AM4" si="0">(D5+D15+D22+D28+D70+D36+D67+D33+D48+D58)/1000</f>
        <v>143370.43524600001</v>
      </c>
      <c r="E4" s="90">
        <f t="shared" si="0"/>
        <v>24709.197746666665</v>
      </c>
      <c r="F4" s="90">
        <f t="shared" si="0"/>
        <v>204.27796333333333</v>
      </c>
      <c r="G4" s="90">
        <f t="shared" si="0"/>
        <v>845.05329666666671</v>
      </c>
      <c r="H4" s="90">
        <f t="shared" si="0"/>
        <v>0.29299999999999998</v>
      </c>
      <c r="I4" s="90">
        <f t="shared" si="0"/>
        <v>1374.6089633333333</v>
      </c>
      <c r="J4" s="90">
        <f t="shared" si="0"/>
        <v>2137.5171866666665</v>
      </c>
      <c r="K4" s="90">
        <f t="shared" si="0"/>
        <v>204.57096333333331</v>
      </c>
      <c r="L4" s="90">
        <f t="shared" si="0"/>
        <v>22729.094966666664</v>
      </c>
      <c r="M4" s="90">
        <f t="shared" si="0"/>
        <v>737.41</v>
      </c>
      <c r="N4" s="90">
        <f t="shared" si="0"/>
        <v>654.31796333333341</v>
      </c>
      <c r="O4" s="90">
        <f t="shared" si="0"/>
        <v>2116.9438986666669</v>
      </c>
      <c r="P4" s="90">
        <f t="shared" si="0"/>
        <v>204.86396333333332</v>
      </c>
      <c r="Q4" s="90">
        <f t="shared" si="0"/>
        <v>2412.9632966666668</v>
      </c>
      <c r="R4" s="90">
        <f t="shared" si="0"/>
        <v>17.119</v>
      </c>
      <c r="S4" s="90">
        <f t="shared" si="0"/>
        <v>22156.866633333331</v>
      </c>
      <c r="T4" s="90">
        <f t="shared" si="0"/>
        <v>1290.4841866666666</v>
      </c>
      <c r="U4" s="90">
        <f t="shared" si="0"/>
        <v>941.68796333333341</v>
      </c>
      <c r="V4" s="90">
        <f t="shared" si="0"/>
        <v>862.17229666666685</v>
      </c>
      <c r="W4" s="90">
        <f t="shared" si="0"/>
        <v>0.29299999999999998</v>
      </c>
      <c r="X4" s="90">
        <f t="shared" si="0"/>
        <v>1468.2849633333333</v>
      </c>
      <c r="Y4" s="90">
        <f t="shared" si="0"/>
        <v>2854.0608986666671</v>
      </c>
      <c r="Z4" s="90">
        <f t="shared" si="0"/>
        <v>21740.771633333334</v>
      </c>
      <c r="AA4" s="90">
        <f t="shared" si="0"/>
        <v>845.34629666666683</v>
      </c>
      <c r="AB4" s="90">
        <f t="shared" si="0"/>
        <v>0.58599999999999997</v>
      </c>
      <c r="AC4" s="90">
        <f t="shared" si="0"/>
        <v>1374.6089633333333</v>
      </c>
      <c r="AD4" s="90">
        <f t="shared" si="0"/>
        <v>1307.0171866666665</v>
      </c>
      <c r="AE4" s="90">
        <f t="shared" si="0"/>
        <v>1034.7779633333334</v>
      </c>
      <c r="AF4" s="90">
        <f t="shared" si="0"/>
        <v>845.63929666666684</v>
      </c>
      <c r="AG4" s="90">
        <f t="shared" si="0"/>
        <v>22256.784669999997</v>
      </c>
      <c r="AH4" s="90">
        <f t="shared" si="0"/>
        <v>654.31796333333341</v>
      </c>
      <c r="AI4" s="90">
        <f t="shared" si="0"/>
        <v>2116.6508986666668</v>
      </c>
      <c r="AJ4" s="90">
        <f t="shared" si="0"/>
        <v>204.86396333333332</v>
      </c>
      <c r="AK4" s="90">
        <f t="shared" si="0"/>
        <v>1582.1702966666669</v>
      </c>
      <c r="AL4" s="90">
        <f t="shared" si="0"/>
        <v>847.61900000000003</v>
      </c>
      <c r="AM4" s="90">
        <f t="shared" si="0"/>
        <v>637.19896333333338</v>
      </c>
    </row>
    <row r="5" spans="1:39" s="78" customFormat="1" ht="13.15" customHeight="1" x14ac:dyDescent="0.2">
      <c r="A5" s="198" t="s">
        <v>864</v>
      </c>
      <c r="B5" s="198"/>
      <c r="C5" s="512" t="s">
        <v>1084</v>
      </c>
      <c r="D5" s="524">
        <f xml:space="preserve"> SUM( $E5:$AM5 )</f>
        <v>54632657.000000022</v>
      </c>
      <c r="E5" s="524">
        <f>SUM(E6:E14)</f>
        <v>8820898.1999999993</v>
      </c>
      <c r="F5" s="524">
        <f t="shared" ref="F5:AM5" si="1">SUM(F6:F14)</f>
        <v>0</v>
      </c>
      <c r="G5" s="524">
        <f t="shared" si="1"/>
        <v>384465.2</v>
      </c>
      <c r="H5" s="524">
        <f t="shared" si="1"/>
        <v>0</v>
      </c>
      <c r="I5" s="524">
        <f t="shared" si="1"/>
        <v>447475.6</v>
      </c>
      <c r="J5" s="524">
        <f t="shared" si="1"/>
        <v>1232084.2</v>
      </c>
      <c r="K5" s="524">
        <f t="shared" si="1"/>
        <v>0</v>
      </c>
      <c r="L5" s="524">
        <f t="shared" si="1"/>
        <v>8702964.1999999993</v>
      </c>
      <c r="M5" s="524">
        <f t="shared" si="1"/>
        <v>117934</v>
      </c>
      <c r="N5" s="524">
        <f t="shared" si="1"/>
        <v>346660.6</v>
      </c>
      <c r="O5" s="524">
        <f t="shared" si="1"/>
        <v>384465.19999999995</v>
      </c>
      <c r="P5" s="524">
        <f t="shared" si="1"/>
        <v>0</v>
      </c>
      <c r="Q5" s="524">
        <f t="shared" si="1"/>
        <v>1332899.2000000002</v>
      </c>
      <c r="R5" s="524">
        <f t="shared" si="1"/>
        <v>17119</v>
      </c>
      <c r="S5" s="524">
        <f t="shared" si="1"/>
        <v>8648040.5999999996</v>
      </c>
      <c r="T5" s="524">
        <f t="shared" si="1"/>
        <v>384465.19999999995</v>
      </c>
      <c r="U5" s="524">
        <f t="shared" si="1"/>
        <v>117934</v>
      </c>
      <c r="V5" s="524">
        <f t="shared" si="1"/>
        <v>401584.20000000007</v>
      </c>
      <c r="W5" s="524">
        <f t="shared" si="1"/>
        <v>0</v>
      </c>
      <c r="X5" s="524">
        <f t="shared" si="1"/>
        <v>1160041.6000000001</v>
      </c>
      <c r="Y5" s="524">
        <f t="shared" si="1"/>
        <v>502399.19999999995</v>
      </c>
      <c r="Z5" s="524">
        <f t="shared" si="1"/>
        <v>8335618</v>
      </c>
      <c r="AA5" s="524">
        <f t="shared" si="1"/>
        <v>384465.20000000007</v>
      </c>
      <c r="AB5" s="524">
        <f t="shared" si="1"/>
        <v>0</v>
      </c>
      <c r="AC5" s="524">
        <f t="shared" si="1"/>
        <v>447475.6</v>
      </c>
      <c r="AD5" s="524">
        <f t="shared" si="1"/>
        <v>401584.19999999995</v>
      </c>
      <c r="AE5" s="524">
        <f t="shared" si="1"/>
        <v>830500</v>
      </c>
      <c r="AF5" s="524">
        <f t="shared" si="1"/>
        <v>384465.20000000007</v>
      </c>
      <c r="AG5" s="524">
        <f t="shared" si="1"/>
        <v>8436433</v>
      </c>
      <c r="AH5" s="524">
        <f t="shared" si="1"/>
        <v>346660.6</v>
      </c>
      <c r="AI5" s="524">
        <f t="shared" si="1"/>
        <v>384465.19999999995</v>
      </c>
      <c r="AJ5" s="524">
        <f t="shared" si="1"/>
        <v>0</v>
      </c>
      <c r="AK5" s="524">
        <f t="shared" si="1"/>
        <v>502399.20000000007</v>
      </c>
      <c r="AL5" s="524">
        <f t="shared" si="1"/>
        <v>847619</v>
      </c>
      <c r="AM5" s="524">
        <f t="shared" si="1"/>
        <v>329541.59999999998</v>
      </c>
    </row>
    <row r="6" spans="1:39" s="22" customFormat="1" ht="13.15" customHeight="1" x14ac:dyDescent="0.2">
      <c r="A6" s="400" t="s">
        <v>1085</v>
      </c>
      <c r="B6" s="400" t="s">
        <v>1086</v>
      </c>
      <c r="C6" s="401"/>
      <c r="D6" s="525">
        <f t="shared" ref="D6:D74" si="2" xml:space="preserve"> SUM( $E6:$AM6 )</f>
        <v>20312500</v>
      </c>
      <c r="E6" s="526">
        <f>'04 - Veículos e Equipamentos'!B12*('01 - Dados de Entrada'!$C$44+'01 - Dados de Entrada'!$C$49)</f>
        <v>3250000</v>
      </c>
      <c r="F6" s="526">
        <f>'04 - Veículos e Equipamentos'!C12*('01 - Dados de Entrada'!$C$44+'01 - Dados de Entrada'!$C$49)-SUM(E6)</f>
        <v>0</v>
      </c>
      <c r="G6" s="526">
        <f>'04 - Veículos e Equipamentos'!D12*('01 - Dados de Entrada'!$C$44+'01 - Dados de Entrada'!$C$49)-SUM(E6:F6)</f>
        <v>0</v>
      </c>
      <c r="H6" s="526">
        <f>'04 - Veículos e Equipamentos'!E12*('01 - Dados de Entrada'!$C$44+'01 - Dados de Entrada'!$C$49)-SUM(E6:G6)</f>
        <v>0</v>
      </c>
      <c r="I6" s="526">
        <f>'04 - Veículos e Equipamentos'!F12*('01 - Dados de Entrada'!$C$44+'01 - Dados de Entrada'!$C$49)-SUM(E6:H6)</f>
        <v>0</v>
      </c>
      <c r="J6" s="526">
        <f>'04 - Veículos e Equipamentos'!G12*('01 - Dados de Entrada'!$C$44+'01 - Dados de Entrada'!$C$49)-SUM(E6:I6)</f>
        <v>812500</v>
      </c>
      <c r="K6" s="526">
        <f>'04 - Veículos e Equipamentos'!H12*('01 - Dados de Entrada'!$C$44+'01 - Dados de Entrada'!$C$49)-SUM(E6:J6)</f>
        <v>0</v>
      </c>
      <c r="L6" s="526">
        <f>'04 - Veículos e Equipamentos'!I12*('01 - Dados de Entrada'!$C$44+'01 - Dados de Entrada'!$C$49)-SUM(F6:K6)</f>
        <v>3250000</v>
      </c>
      <c r="M6" s="526">
        <f>'04 - Veículos e Equipamentos'!J12*('01 - Dados de Entrada'!$C$44+'01 - Dados de Entrada'!$C$49)-SUM(G6:L6)</f>
        <v>0</v>
      </c>
      <c r="N6" s="526">
        <f>'04 - Veículos e Equipamentos'!K12*('01 - Dados de Entrada'!$C$44+'01 - Dados de Entrada'!$C$49)-SUM(H6:M6)</f>
        <v>0</v>
      </c>
      <c r="O6" s="526">
        <f>'04 - Veículos e Equipamentos'!L12*('01 - Dados de Entrada'!$C$44+'01 - Dados de Entrada'!$C$49)-SUM(I6:N6)</f>
        <v>0</v>
      </c>
      <c r="P6" s="526">
        <f>'04 - Veículos e Equipamentos'!M12*('01 - Dados de Entrada'!$C$44+'01 - Dados de Entrada'!$C$49)-SUM(J6:O6)</f>
        <v>0</v>
      </c>
      <c r="Q6" s="526">
        <f>'04 - Veículos e Equipamentos'!N12*('01 - Dados de Entrada'!$C$44+'01 - Dados de Entrada'!$C$49)-SUM(K6:P6)</f>
        <v>812500</v>
      </c>
      <c r="R6" s="526">
        <f>'04 - Veículos e Equipamentos'!O12*('01 - Dados de Entrada'!$C$44+'01 - Dados de Entrada'!$C$49)-SUM(L6:Q6)</f>
        <v>0</v>
      </c>
      <c r="S6" s="526">
        <f>'04 - Veículos e Equipamentos'!P12*('01 - Dados de Entrada'!$C$44+'01 - Dados de Entrada'!$C$49)-SUM(M6:R6)</f>
        <v>3250000</v>
      </c>
      <c r="T6" s="526">
        <f>'04 - Veículos e Equipamentos'!Q12*('01 - Dados de Entrada'!$C$44+'01 - Dados de Entrada'!$C$49)-SUM(N6:S6)</f>
        <v>0</v>
      </c>
      <c r="U6" s="526">
        <f>'04 - Veículos e Equipamentos'!R12*('01 - Dados de Entrada'!$C$44+'01 - Dados de Entrada'!$C$49)-SUM(O6:T6)</f>
        <v>0</v>
      </c>
      <c r="V6" s="526">
        <f>'04 - Veículos e Equipamentos'!S12*('01 - Dados de Entrada'!$C$44+'01 - Dados de Entrada'!$C$49)-SUM(P6:U6)</f>
        <v>0</v>
      </c>
      <c r="W6" s="526">
        <f>'04 - Veículos e Equipamentos'!T12*('01 - Dados de Entrada'!$C$44+'01 - Dados de Entrada'!$C$49)-SUM(Q6:V6)</f>
        <v>0</v>
      </c>
      <c r="X6" s="526">
        <f>'04 - Veículos e Equipamentos'!U12*('01 - Dados de Entrada'!$C$44+'01 - Dados de Entrada'!$C$49)-SUM(R6:W6)</f>
        <v>812500</v>
      </c>
      <c r="Y6" s="526">
        <f>'04 - Veículos e Equipamentos'!V12*('01 - Dados de Entrada'!$C$44+'01 - Dados de Entrada'!$C$49)-SUM(S6:X6)</f>
        <v>0</v>
      </c>
      <c r="Z6" s="526">
        <f>'04 - Veículos e Equipamentos'!W12*('01 - Dados de Entrada'!$C$44+'01 - Dados de Entrada'!$C$49)-SUM(T6:Y6)</f>
        <v>3250000</v>
      </c>
      <c r="AA6" s="526">
        <f>'04 - Veículos e Equipamentos'!X12*('01 - Dados de Entrada'!$C$44+'01 - Dados de Entrada'!$C$49)-SUM(U6:Z6)</f>
        <v>0</v>
      </c>
      <c r="AB6" s="526">
        <f>'04 - Veículos e Equipamentos'!Y12*('01 - Dados de Entrada'!$C$44+'01 - Dados de Entrada'!$C$49)-SUM(V6:AA6)</f>
        <v>0</v>
      </c>
      <c r="AC6" s="526">
        <f>'04 - Veículos e Equipamentos'!Z12*('01 - Dados de Entrada'!$C$44+'01 - Dados de Entrada'!$C$49)-SUM(W6:AB6)</f>
        <v>0</v>
      </c>
      <c r="AD6" s="526">
        <f>'04 - Veículos e Equipamentos'!AA12*('01 - Dados de Entrada'!$C$44+'01 - Dados de Entrada'!$C$49)-SUM(X6:AC6)</f>
        <v>0</v>
      </c>
      <c r="AE6" s="526">
        <f>'04 - Veículos e Equipamentos'!AB12*('01 - Dados de Entrada'!$C$44+'01 - Dados de Entrada'!$C$49)-SUM(Y6:AD6)</f>
        <v>812500</v>
      </c>
      <c r="AF6" s="526">
        <f>'04 - Veículos e Equipamentos'!AC12*('01 - Dados de Entrada'!$C$44+'01 - Dados de Entrada'!$C$49)-SUM(Z6:AE6)</f>
        <v>0</v>
      </c>
      <c r="AG6" s="526">
        <f>'04 - Veículos e Equipamentos'!AD12*('01 - Dados de Entrada'!$C$44+'01 - Dados de Entrada'!$C$49)-SUM(AA6:AF6)</f>
        <v>3250000</v>
      </c>
      <c r="AH6" s="526">
        <f>'04 - Veículos e Equipamentos'!AE12*('01 - Dados de Entrada'!$C$44+'01 - Dados de Entrada'!$C$49)-SUM(AB6:AG6)</f>
        <v>0</v>
      </c>
      <c r="AI6" s="526">
        <f>'04 - Veículos e Equipamentos'!AF12*('01 - Dados de Entrada'!$C$44+'01 - Dados de Entrada'!$C$49)-SUM(AC6:AH6)</f>
        <v>0</v>
      </c>
      <c r="AJ6" s="526">
        <f>'04 - Veículos e Equipamentos'!AG12*('01 - Dados de Entrada'!$C$44+'01 - Dados de Entrada'!$C$49)-SUM(AD6:AI6)</f>
        <v>0</v>
      </c>
      <c r="AK6" s="526">
        <f>'04 - Veículos e Equipamentos'!AH12*('01 - Dados de Entrada'!$C$44+'01 - Dados de Entrada'!$C$49)-SUM(AE6:AJ6)</f>
        <v>0</v>
      </c>
      <c r="AL6" s="526">
        <f>'04 - Veículos e Equipamentos'!AI12*('01 - Dados de Entrada'!$C$44+'01 - Dados de Entrada'!$C$49)-SUM(AF6:AK6)</f>
        <v>812500</v>
      </c>
      <c r="AM6" s="526">
        <f>'04 - Veículos e Equipamentos'!AJ12*('01 - Dados de Entrada'!$C$44+'01 - Dados de Entrada'!$C$49)-SUM(AG6:AL6)</f>
        <v>0</v>
      </c>
    </row>
    <row r="7" spans="1:39" s="22" customFormat="1" ht="13.15" customHeight="1" x14ac:dyDescent="0.2">
      <c r="A7" s="400" t="s">
        <v>1087</v>
      </c>
      <c r="B7" s="400" t="s">
        <v>1086</v>
      </c>
      <c r="C7" s="401"/>
      <c r="D7" s="525">
        <f t="shared" si="2"/>
        <v>4062500</v>
      </c>
      <c r="E7" s="525">
        <f>('04 - Veículos e Equipamentos'!B8*('01 - Dados de Entrada'!$C$44+'01 - Dados de Entrada'!$C$49))</f>
        <v>812500</v>
      </c>
      <c r="F7" s="525">
        <f>('04 - Veículos e Equipamentos'!C8*('01 - Dados de Entrada'!$C$44+'01 - Dados de Entrada'!$C$49))-SUM(E7)</f>
        <v>0</v>
      </c>
      <c r="G7" s="525">
        <f>('04 - Veículos e Equipamentos'!D8*('01 - Dados de Entrada'!$C$44+'01 - Dados de Entrada'!$C$49))-SUM(E7:F7)</f>
        <v>0</v>
      </c>
      <c r="H7" s="525">
        <f>('04 - Veículos e Equipamentos'!E8*('01 - Dados de Entrada'!$C$44+'01 - Dados de Entrada'!$C$49))-SUM(E7:G7)</f>
        <v>0</v>
      </c>
      <c r="I7" s="525">
        <f>('04 - Veículos e Equipamentos'!F8*('01 - Dados de Entrada'!$C$44+'01 - Dados de Entrada'!$C$49))-SUM(E7:H7)</f>
        <v>0</v>
      </c>
      <c r="J7" s="525">
        <f>('04 - Veículos e Equipamentos'!G8*('01 - Dados de Entrada'!$C$44+'01 - Dados de Entrada'!$C$49))-SUM(E7:I7)</f>
        <v>0</v>
      </c>
      <c r="K7" s="525">
        <f>('04 - Veículos e Equipamentos'!H8*('01 - Dados de Entrada'!$C$44+'01 - Dados de Entrada'!$C$49))-SUM(E7:J7)</f>
        <v>0</v>
      </c>
      <c r="L7" s="525">
        <f>('04 - Veículos e Equipamentos'!I8*('01 - Dados de Entrada'!$C$44+'01 - Dados de Entrada'!$C$49))-SUM(F7:K7)</f>
        <v>812500</v>
      </c>
      <c r="M7" s="525">
        <f>('04 - Veículos e Equipamentos'!J8*('01 - Dados de Entrada'!$C$44+'01 - Dados de Entrada'!$C$49))-SUM(G7:L7)</f>
        <v>0</v>
      </c>
      <c r="N7" s="525">
        <f>('04 - Veículos e Equipamentos'!K8*('01 - Dados de Entrada'!$C$44+'01 - Dados de Entrada'!$C$49))-SUM(H7:M7)</f>
        <v>0</v>
      </c>
      <c r="O7" s="525">
        <f>('04 - Veículos e Equipamentos'!L8*('01 - Dados de Entrada'!$C$44+'01 - Dados de Entrada'!$C$49))-SUM(I7:N7)</f>
        <v>0</v>
      </c>
      <c r="P7" s="525">
        <f>('04 - Veículos e Equipamentos'!M8*('01 - Dados de Entrada'!$C$44+'01 - Dados de Entrada'!$C$49))-SUM(J7:O7)</f>
        <v>0</v>
      </c>
      <c r="Q7" s="525">
        <f>('04 - Veículos e Equipamentos'!N8*('01 - Dados de Entrada'!$C$44+'01 - Dados de Entrada'!$C$49))-SUM(K7:P7)</f>
        <v>0</v>
      </c>
      <c r="R7" s="525">
        <f>('04 - Veículos e Equipamentos'!O8*('01 - Dados de Entrada'!$C$44+'01 - Dados de Entrada'!$C$49))-SUM(L7:Q7)</f>
        <v>0</v>
      </c>
      <c r="S7" s="525">
        <f>('04 - Veículos e Equipamentos'!P8*('01 - Dados de Entrada'!$C$44+'01 - Dados de Entrada'!$C$49))-SUM(M7:R7)</f>
        <v>812500</v>
      </c>
      <c r="T7" s="525">
        <f>('04 - Veículos e Equipamentos'!Q8*('01 - Dados de Entrada'!$C$44+'01 - Dados de Entrada'!$C$49))-SUM(N7:S7)</f>
        <v>0</v>
      </c>
      <c r="U7" s="525">
        <f>('04 - Veículos e Equipamentos'!R8*('01 - Dados de Entrada'!$C$44+'01 - Dados de Entrada'!$C$49))-SUM(O7:T7)</f>
        <v>0</v>
      </c>
      <c r="V7" s="525">
        <f>('04 - Veículos e Equipamentos'!S8*('01 - Dados de Entrada'!$C$44+'01 - Dados de Entrada'!$C$49))-SUM(P7:U7)</f>
        <v>0</v>
      </c>
      <c r="W7" s="525">
        <f>('04 - Veículos e Equipamentos'!T8*('01 - Dados de Entrada'!$C$44+'01 - Dados de Entrada'!$C$49))-SUM(Q7:V7)</f>
        <v>0</v>
      </c>
      <c r="X7" s="525">
        <f>('04 - Veículos e Equipamentos'!U8*('01 - Dados de Entrada'!$C$44+'01 - Dados de Entrada'!$C$49))-SUM(R7:W7)</f>
        <v>0</v>
      </c>
      <c r="Y7" s="525">
        <f>('04 - Veículos e Equipamentos'!V8*('01 - Dados de Entrada'!$C$44+'01 - Dados de Entrada'!$C$49))-SUM(S7:X7)</f>
        <v>0</v>
      </c>
      <c r="Z7" s="525">
        <f>('04 - Veículos e Equipamentos'!W8*('01 - Dados de Entrada'!$C$44+'01 - Dados de Entrada'!$C$49))-SUM(T7:Y7)</f>
        <v>812500</v>
      </c>
      <c r="AA7" s="525">
        <f>('04 - Veículos e Equipamentos'!X8*('01 - Dados de Entrada'!$C$44+'01 - Dados de Entrada'!$C$49))-SUM(U7:Z7)</f>
        <v>0</v>
      </c>
      <c r="AB7" s="525">
        <f>('04 - Veículos e Equipamentos'!Y8*('01 - Dados de Entrada'!$C$44+'01 - Dados de Entrada'!$C$49))-SUM(V7:AA7)</f>
        <v>0</v>
      </c>
      <c r="AC7" s="525">
        <f>('04 - Veículos e Equipamentos'!Z8*('01 - Dados de Entrada'!$C$44+'01 - Dados de Entrada'!$C$49))-SUM(W7:AB7)</f>
        <v>0</v>
      </c>
      <c r="AD7" s="525">
        <f>('04 - Veículos e Equipamentos'!AA8*('01 - Dados de Entrada'!$C$44+'01 - Dados de Entrada'!$C$49))-SUM(X7:AC7)</f>
        <v>0</v>
      </c>
      <c r="AE7" s="525">
        <f>('04 - Veículos e Equipamentos'!AB8*('01 - Dados de Entrada'!$C$44+'01 - Dados de Entrada'!$C$49))-SUM(Y7:AD7)</f>
        <v>0</v>
      </c>
      <c r="AF7" s="525">
        <f>('04 - Veículos e Equipamentos'!AC8*('01 - Dados de Entrada'!$C$44+'01 - Dados de Entrada'!$C$49))-SUM(Z7:AE7)</f>
        <v>0</v>
      </c>
      <c r="AG7" s="525">
        <f>('04 - Veículos e Equipamentos'!AD8*('01 - Dados de Entrada'!$C$44+'01 - Dados de Entrada'!$C$49))-SUM(AA7:AF7)</f>
        <v>812500</v>
      </c>
      <c r="AH7" s="525">
        <f>('04 - Veículos e Equipamentos'!AE8*('01 - Dados de Entrada'!$C$44+'01 - Dados de Entrada'!$C$49))-SUM(AB7:AG7)</f>
        <v>0</v>
      </c>
      <c r="AI7" s="525">
        <f>('04 - Veículos e Equipamentos'!AF8*('01 - Dados de Entrada'!$C$44+'01 - Dados de Entrada'!$C$49))-SUM(AC7:AH7)</f>
        <v>0</v>
      </c>
      <c r="AJ7" s="525">
        <f>('04 - Veículos e Equipamentos'!AG8*('01 - Dados de Entrada'!$C$44+'01 - Dados de Entrada'!$C$49))-SUM(AD7:AI7)</f>
        <v>0</v>
      </c>
      <c r="AK7" s="525">
        <f>('04 - Veículos e Equipamentos'!AH8*('01 - Dados de Entrada'!$C$44+'01 - Dados de Entrada'!$C$49))-SUM(AE7:AJ7)</f>
        <v>0</v>
      </c>
      <c r="AL7" s="525">
        <f>('04 - Veículos e Equipamentos'!AI8*('01 - Dados de Entrada'!$C$44+'01 - Dados de Entrada'!$C$49))-SUM(AF7:AK7)</f>
        <v>0</v>
      </c>
      <c r="AM7" s="525">
        <f>('04 - Veículos e Equipamentos'!AJ8*('01 - Dados de Entrada'!$C$44+'01 - Dados de Entrada'!$C$49))-SUM(AG7:AL7)</f>
        <v>0</v>
      </c>
    </row>
    <row r="8" spans="1:39" s="22" customFormat="1" ht="13.15" customHeight="1" x14ac:dyDescent="0.2">
      <c r="A8" s="400" t="s">
        <v>1088</v>
      </c>
      <c r="B8" s="400" t="s">
        <v>1086</v>
      </c>
      <c r="C8" s="401"/>
      <c r="D8" s="525">
        <f t="shared" si="2"/>
        <v>7710330</v>
      </c>
      <c r="E8" s="525">
        <f>'04 - Veículos e Equipamentos'!B10*('01 - Dados de Entrada'!$C$47+'01 - Dados de Entrada'!$C$53)</f>
        <v>1542066</v>
      </c>
      <c r="F8" s="525">
        <f>'04 - Veículos e Equipamentos'!C10*('01 - Dados de Entrada'!$C$47+'01 - Dados de Entrada'!$C$53)-SUM(E8)</f>
        <v>0</v>
      </c>
      <c r="G8" s="525">
        <f>'04 - Veículos e Equipamentos'!D10*('01 - Dados de Entrada'!$C$47+'01 - Dados de Entrada'!$C$53)-SUM(E8:F8)</f>
        <v>0</v>
      </c>
      <c r="H8" s="525">
        <f>'04 - Veículos e Equipamentos'!E10*('01 - Dados de Entrada'!$C$47+'01 - Dados de Entrada'!$C$53)-SUM(E8:G8)</f>
        <v>0</v>
      </c>
      <c r="I8" s="525">
        <f>'04 - Veículos e Equipamentos'!F10*('01 - Dados de Entrada'!$C$47+'01 - Dados de Entrada'!$C$53)-SUM(E8:H8)</f>
        <v>0</v>
      </c>
      <c r="J8" s="525">
        <f>'04 - Veículos e Equipamentos'!G10*('01 - Dados de Entrada'!$C$47+'01 - Dados de Entrada'!$C$53)-SUM(E8:I8)</f>
        <v>0</v>
      </c>
      <c r="K8" s="525">
        <f>'04 - Veículos e Equipamentos'!H10*('01 - Dados de Entrada'!$C$47+'01 - Dados de Entrada'!$C$53)-SUM(E8:J8)</f>
        <v>0</v>
      </c>
      <c r="L8" s="525">
        <f>'04 - Veículos e Equipamentos'!I10*('01 - Dados de Entrada'!$C$47+'01 - Dados de Entrada'!$C$53)-SUM(F8:K8)</f>
        <v>1542066</v>
      </c>
      <c r="M8" s="525">
        <f>'04 - Veículos e Equipamentos'!J10*('01 - Dados de Entrada'!$C$47+'01 - Dados de Entrada'!$C$53)-SUM(G8:L8)</f>
        <v>0</v>
      </c>
      <c r="N8" s="525">
        <f>'04 - Veículos e Equipamentos'!K10*('01 - Dados de Entrada'!$C$47+'01 - Dados de Entrada'!$C$53)-SUM(H8:M8)</f>
        <v>0</v>
      </c>
      <c r="O8" s="525">
        <f>'04 - Veículos e Equipamentos'!L10*('01 - Dados de Entrada'!$C$47+'01 - Dados de Entrada'!$C$53)-SUM(I8:N8)</f>
        <v>0</v>
      </c>
      <c r="P8" s="525">
        <f>'04 - Veículos e Equipamentos'!M10*('01 - Dados de Entrada'!$C$47+'01 - Dados de Entrada'!$C$53)-SUM(J8:O8)</f>
        <v>0</v>
      </c>
      <c r="Q8" s="525">
        <f>'04 - Veículos e Equipamentos'!N10*('01 - Dados de Entrada'!$C$47+'01 - Dados de Entrada'!$C$53)-SUM(K8:P8)</f>
        <v>0</v>
      </c>
      <c r="R8" s="525">
        <f>'04 - Veículos e Equipamentos'!O10*('01 - Dados de Entrada'!$C$47+'01 - Dados de Entrada'!$C$53)-SUM(L8:Q8)</f>
        <v>0</v>
      </c>
      <c r="S8" s="525">
        <f>'04 - Veículos e Equipamentos'!P10*('01 - Dados de Entrada'!$C$47+'01 - Dados de Entrada'!$C$53)-SUM(M8:R8)</f>
        <v>1542066</v>
      </c>
      <c r="T8" s="525">
        <f>'04 - Veículos e Equipamentos'!Q10*('01 - Dados de Entrada'!$C$47+'01 - Dados de Entrada'!$C$53)-SUM(N8:S8)</f>
        <v>0</v>
      </c>
      <c r="U8" s="525">
        <f>'04 - Veículos e Equipamentos'!R10*('01 - Dados de Entrada'!$C$47+'01 - Dados de Entrada'!$C$53)-SUM(O8:T8)</f>
        <v>0</v>
      </c>
      <c r="V8" s="525">
        <f>'04 - Veículos e Equipamentos'!S10*('01 - Dados de Entrada'!$C$47+'01 - Dados de Entrada'!$C$53)-SUM(P8:U8)</f>
        <v>0</v>
      </c>
      <c r="W8" s="525">
        <f>'04 - Veículos e Equipamentos'!T10*('01 - Dados de Entrada'!$C$47+'01 - Dados de Entrada'!$C$53)-SUM(Q8:V8)</f>
        <v>0</v>
      </c>
      <c r="X8" s="525">
        <f>'04 - Veículos e Equipamentos'!U10*('01 - Dados de Entrada'!$C$47+'01 - Dados de Entrada'!$C$53)-SUM(R8:W8)</f>
        <v>0</v>
      </c>
      <c r="Y8" s="525">
        <f>'04 - Veículos e Equipamentos'!V10*('01 - Dados de Entrada'!$C$47+'01 - Dados de Entrada'!$C$53)-SUM(S8:X8)</f>
        <v>0</v>
      </c>
      <c r="Z8" s="525">
        <f>'04 - Veículos e Equipamentos'!W10*('01 - Dados de Entrada'!$C$47+'01 - Dados de Entrada'!$C$53)-SUM(T8:Y8)</f>
        <v>1542066</v>
      </c>
      <c r="AA8" s="525">
        <f>'04 - Veículos e Equipamentos'!X10*('01 - Dados de Entrada'!$C$47+'01 - Dados de Entrada'!$C$53)-SUM(U8:Z8)</f>
        <v>0</v>
      </c>
      <c r="AB8" s="525">
        <f>'04 - Veículos e Equipamentos'!Y10*('01 - Dados de Entrada'!$C$47+'01 - Dados de Entrada'!$C$53)-SUM(V8:AA8)</f>
        <v>0</v>
      </c>
      <c r="AC8" s="525">
        <f>'04 - Veículos e Equipamentos'!Z10*('01 - Dados de Entrada'!$C$47+'01 - Dados de Entrada'!$C$53)-SUM(W8:AB8)</f>
        <v>0</v>
      </c>
      <c r="AD8" s="525">
        <f>'04 - Veículos e Equipamentos'!AA10*('01 - Dados de Entrada'!$C$47+'01 - Dados de Entrada'!$C$53)-SUM(X8:AC8)</f>
        <v>0</v>
      </c>
      <c r="AE8" s="525">
        <f>'04 - Veículos e Equipamentos'!AB10*('01 - Dados de Entrada'!$C$47+'01 - Dados de Entrada'!$C$53)-SUM(Y8:AD8)</f>
        <v>0</v>
      </c>
      <c r="AF8" s="525">
        <f>'04 - Veículos e Equipamentos'!AC10*('01 - Dados de Entrada'!$C$47+'01 - Dados de Entrada'!$C$53)-SUM(Z8:AE8)</f>
        <v>0</v>
      </c>
      <c r="AG8" s="525">
        <f>'04 - Veículos e Equipamentos'!AD10*('01 - Dados de Entrada'!$C$47+'01 - Dados de Entrada'!$C$53)-SUM(AA8:AF8)</f>
        <v>1542066</v>
      </c>
      <c r="AH8" s="525">
        <f>'04 - Veículos e Equipamentos'!AE10*('01 - Dados de Entrada'!$C$47+'01 - Dados de Entrada'!$C$53)-SUM(AB8:AG8)</f>
        <v>0</v>
      </c>
      <c r="AI8" s="525">
        <f>'04 - Veículos e Equipamentos'!AF10*('01 - Dados de Entrada'!$C$47+'01 - Dados de Entrada'!$C$53)-SUM(AC8:AH8)</f>
        <v>0</v>
      </c>
      <c r="AJ8" s="525">
        <f>'04 - Veículos e Equipamentos'!AG10*('01 - Dados de Entrada'!$C$47+'01 - Dados de Entrada'!$C$53)-SUM(AD8:AI8)</f>
        <v>0</v>
      </c>
      <c r="AK8" s="525">
        <f>'04 - Veículos e Equipamentos'!AH10*('01 - Dados de Entrada'!$C$47+'01 - Dados de Entrada'!$C$53)-SUM(AE8:AJ8)</f>
        <v>0</v>
      </c>
      <c r="AL8" s="525">
        <f>'04 - Veículos e Equipamentos'!AI10*('01 - Dados de Entrada'!$C$47+'01 - Dados de Entrada'!$C$53)-SUM(AF8:AK8)</f>
        <v>0</v>
      </c>
      <c r="AM8" s="525">
        <f>'04 - Veículos e Equipamentos'!AJ10*('01 - Dados de Entrada'!$C$47+'01 - Dados de Entrada'!$C$53)-SUM(AG8:AL8)</f>
        <v>0</v>
      </c>
    </row>
    <row r="9" spans="1:39" s="22" customFormat="1" ht="13.15" customHeight="1" x14ac:dyDescent="0.2">
      <c r="A9" s="400" t="s">
        <v>1089</v>
      </c>
      <c r="B9" s="400" t="s">
        <v>1086</v>
      </c>
      <c r="C9" s="401"/>
      <c r="D9" s="525">
        <f t="shared" si="2"/>
        <v>3855165</v>
      </c>
      <c r="E9" s="525">
        <f>'04 - Veículos e Equipamentos'!B11*('01 - Dados de Entrada'!$C$47+'01 - Dados de Entrada'!$C$53)</f>
        <v>771033</v>
      </c>
      <c r="F9" s="525">
        <f>'04 - Veículos e Equipamentos'!C11*('01 - Dados de Entrada'!$C$47+'01 - Dados de Entrada'!$C$53)-SUM(E9)</f>
        <v>0</v>
      </c>
      <c r="G9" s="525">
        <f>'04 - Veículos e Equipamentos'!D11*('01 - Dados de Entrada'!$C$47+'01 - Dados de Entrada'!$C$53)-SUM(E9:F9)</f>
        <v>0</v>
      </c>
      <c r="H9" s="525">
        <f>'04 - Veículos e Equipamentos'!E11*('01 - Dados de Entrada'!$C$47+'01 - Dados de Entrada'!$C$53)-SUM(E9:G9)</f>
        <v>0</v>
      </c>
      <c r="I9" s="525">
        <f>'04 - Veículos e Equipamentos'!F11*('01 - Dados de Entrada'!$C$47+'01 - Dados de Entrada'!$C$53)-SUM(E9:H9)</f>
        <v>0</v>
      </c>
      <c r="J9" s="525">
        <f>'04 - Veículos e Equipamentos'!G11*('01 - Dados de Entrada'!$C$47+'01 - Dados de Entrada'!$C$53)-SUM(E9:I9)</f>
        <v>0</v>
      </c>
      <c r="K9" s="525">
        <f>'04 - Veículos e Equipamentos'!H11*('01 - Dados de Entrada'!$C$47+'01 - Dados de Entrada'!$C$53)-SUM(E9:J9)</f>
        <v>0</v>
      </c>
      <c r="L9" s="525">
        <f>'04 - Veículos e Equipamentos'!I11*('01 - Dados de Entrada'!$C$47+'01 - Dados de Entrada'!$C$53)-SUM(F9:K9)</f>
        <v>771033</v>
      </c>
      <c r="M9" s="525">
        <f>'04 - Veículos e Equipamentos'!J11*('01 - Dados de Entrada'!$C$47+'01 - Dados de Entrada'!$C$53)-SUM(G9:L9)</f>
        <v>0</v>
      </c>
      <c r="N9" s="525">
        <f>'04 - Veículos e Equipamentos'!K11*('01 - Dados de Entrada'!$C$47+'01 - Dados de Entrada'!$C$53)-SUM(H9:M9)</f>
        <v>0</v>
      </c>
      <c r="O9" s="525">
        <f>'04 - Veículos e Equipamentos'!L11*('01 - Dados de Entrada'!$C$47+'01 - Dados de Entrada'!$C$53)-SUM(I9:N9)</f>
        <v>0</v>
      </c>
      <c r="P9" s="525">
        <f>'04 - Veículos e Equipamentos'!M11*('01 - Dados de Entrada'!$C$47+'01 - Dados de Entrada'!$C$53)-SUM(J9:O9)</f>
        <v>0</v>
      </c>
      <c r="Q9" s="525">
        <f>'04 - Veículos e Equipamentos'!N11*('01 - Dados de Entrada'!$C$47+'01 - Dados de Entrada'!$C$53)-SUM(K9:P9)</f>
        <v>0</v>
      </c>
      <c r="R9" s="525">
        <f>'04 - Veículos e Equipamentos'!O11*('01 - Dados de Entrada'!$C$47+'01 - Dados de Entrada'!$C$53)-SUM(L9:Q9)</f>
        <v>0</v>
      </c>
      <c r="S9" s="525">
        <f>'04 - Veículos e Equipamentos'!P11*('01 - Dados de Entrada'!$C$47+'01 - Dados de Entrada'!$C$53)-SUM(M9:R9)</f>
        <v>771033</v>
      </c>
      <c r="T9" s="525">
        <f>'04 - Veículos e Equipamentos'!Q11*('01 - Dados de Entrada'!$C$47+'01 - Dados de Entrada'!$C$53)-SUM(N9:S9)</f>
        <v>0</v>
      </c>
      <c r="U9" s="525">
        <f>'04 - Veículos e Equipamentos'!R11*('01 - Dados de Entrada'!$C$47+'01 - Dados de Entrada'!$C$53)-SUM(O9:T9)</f>
        <v>0</v>
      </c>
      <c r="V9" s="525">
        <f>'04 - Veículos e Equipamentos'!S11*('01 - Dados de Entrada'!$C$47+'01 - Dados de Entrada'!$C$53)-SUM(P9:U9)</f>
        <v>0</v>
      </c>
      <c r="W9" s="525">
        <f>'04 - Veículos e Equipamentos'!T11*('01 - Dados de Entrada'!$C$47+'01 - Dados de Entrada'!$C$53)-SUM(Q9:V9)</f>
        <v>0</v>
      </c>
      <c r="X9" s="525">
        <f>'04 - Veículos e Equipamentos'!U11*('01 - Dados de Entrada'!$C$47+'01 - Dados de Entrada'!$C$53)-SUM(R9:W9)</f>
        <v>0</v>
      </c>
      <c r="Y9" s="525">
        <f>'04 - Veículos e Equipamentos'!V11*('01 - Dados de Entrada'!$C$47+'01 - Dados de Entrada'!$C$53)-SUM(S9:X9)</f>
        <v>0</v>
      </c>
      <c r="Z9" s="525">
        <f>'04 - Veículos e Equipamentos'!W11*('01 - Dados de Entrada'!$C$47+'01 - Dados de Entrada'!$C$53)-SUM(T9:Y9)</f>
        <v>771033</v>
      </c>
      <c r="AA9" s="525">
        <f>'04 - Veículos e Equipamentos'!X11*('01 - Dados de Entrada'!$C$47+'01 - Dados de Entrada'!$C$53)-SUM(U9:Z9)</f>
        <v>0</v>
      </c>
      <c r="AB9" s="525">
        <f>'04 - Veículos e Equipamentos'!Y11*('01 - Dados de Entrada'!$C$47+'01 - Dados de Entrada'!$C$53)-SUM(V9:AA9)</f>
        <v>0</v>
      </c>
      <c r="AC9" s="525">
        <f>'04 - Veículos e Equipamentos'!Z11*('01 - Dados de Entrada'!$C$47+'01 - Dados de Entrada'!$C$53)-SUM(W9:AB9)</f>
        <v>0</v>
      </c>
      <c r="AD9" s="525">
        <f>'04 - Veículos e Equipamentos'!AA11*('01 - Dados de Entrada'!$C$47+'01 - Dados de Entrada'!$C$53)-SUM(X9:AC9)</f>
        <v>0</v>
      </c>
      <c r="AE9" s="525">
        <f>'04 - Veículos e Equipamentos'!AB11*('01 - Dados de Entrada'!$C$47+'01 - Dados de Entrada'!$C$53)-SUM(Y9:AD9)</f>
        <v>0</v>
      </c>
      <c r="AF9" s="525">
        <f>'04 - Veículos e Equipamentos'!AC11*('01 - Dados de Entrada'!$C$47+'01 - Dados de Entrada'!$C$53)-SUM(Z9:AE9)</f>
        <v>0</v>
      </c>
      <c r="AG9" s="525">
        <f>'04 - Veículos e Equipamentos'!AD11*('01 - Dados de Entrada'!$C$47+'01 - Dados de Entrada'!$C$53)-SUM(AA9:AF9)</f>
        <v>771033</v>
      </c>
      <c r="AH9" s="525">
        <f>'04 - Veículos e Equipamentos'!AE11*('01 - Dados de Entrada'!$C$47+'01 - Dados de Entrada'!$C$53)-SUM(AB9:AG9)</f>
        <v>0</v>
      </c>
      <c r="AI9" s="525">
        <f>'04 - Veículos e Equipamentos'!AF11*('01 - Dados de Entrada'!$C$47+'01 - Dados de Entrada'!$C$53)-SUM(AC9:AH9)</f>
        <v>0</v>
      </c>
      <c r="AJ9" s="525">
        <f>'04 - Veículos e Equipamentos'!AG11*('01 - Dados de Entrada'!$C$47+'01 - Dados de Entrada'!$C$53)-SUM(AD9:AI9)</f>
        <v>0</v>
      </c>
      <c r="AK9" s="525">
        <f>'04 - Veículos e Equipamentos'!AH11*('01 - Dados de Entrada'!$C$47+'01 - Dados de Entrada'!$C$53)-SUM(AE9:AJ9)</f>
        <v>0</v>
      </c>
      <c r="AL9" s="525">
        <f>'04 - Veículos e Equipamentos'!AI11*('01 - Dados de Entrada'!$C$47+'01 - Dados de Entrada'!$C$53)-SUM(AF9:AK9)</f>
        <v>0</v>
      </c>
      <c r="AM9" s="525">
        <f>'04 - Veículos e Equipamentos'!AJ11*('01 - Dados de Entrada'!$C$47+'01 - Dados de Entrada'!$C$53)-SUM(AG9:AL9)</f>
        <v>0</v>
      </c>
    </row>
    <row r="10" spans="1:39" s="22" customFormat="1" ht="13.15" customHeight="1" x14ac:dyDescent="0.2">
      <c r="A10" s="400" t="s">
        <v>1090</v>
      </c>
      <c r="B10" s="400" t="s">
        <v>1091</v>
      </c>
      <c r="C10" s="401"/>
      <c r="D10" s="525">
        <f t="shared" si="2"/>
        <v>540000</v>
      </c>
      <c r="E10" s="526">
        <f>('04 - Veículos e Equipamentos'!B9+'04 - Veículos e Equipamentos'!B8)*'01 - Dados de Entrada'!$C$51</f>
        <v>90000</v>
      </c>
      <c r="F10" s="526">
        <f>('04 - Veículos e Equipamentos'!C9+'04 - Veículos e Equipamentos'!C8)*'01 - Dados de Entrada'!$C$51-SUM(E10)</f>
        <v>0</v>
      </c>
      <c r="G10" s="526">
        <f>('04 - Veículos e Equipamentos'!D9+'04 - Veículos e Equipamentos'!D8)*'01 - Dados de Entrada'!$C$51-SUM(E10:F10)</f>
        <v>0</v>
      </c>
      <c r="H10" s="526">
        <f>('04 - Veículos e Equipamentos'!E9+'04 - Veículos e Equipamentos'!E8)*'01 - Dados de Entrada'!$C$51-SUM(E10:G10)</f>
        <v>0</v>
      </c>
      <c r="I10" s="526">
        <f>('04 - Veículos e Equipamentos'!F9+'04 - Veículos e Equipamentos'!F8)*'01 - Dados de Entrada'!$C$51-SUM(E10:H10)</f>
        <v>0</v>
      </c>
      <c r="J10" s="526">
        <f>('04 - Veículos e Equipamentos'!G9+'04 - Veículos e Equipamentos'!G8)*'01 - Dados de Entrada'!$C$51-SUM(E10:I10)</f>
        <v>18000</v>
      </c>
      <c r="K10" s="526">
        <f>('04 - Veículos e Equipamentos'!H9+'04 - Veículos e Equipamentos'!H8)*'01 - Dados de Entrada'!$C$51-SUM(E10:J10)</f>
        <v>0</v>
      </c>
      <c r="L10" s="526">
        <f>('04 - Veículos e Equipamentos'!I9+'04 - Veículos e Equipamentos'!I8)*'01 - Dados de Entrada'!$C$51-SUM(F10:K10)</f>
        <v>90000</v>
      </c>
      <c r="M10" s="526">
        <f>('04 - Veículos e Equipamentos'!J9+'04 - Veículos e Equipamentos'!J8)*'01 - Dados de Entrada'!$C$51-SUM(G10:L10)</f>
        <v>0</v>
      </c>
      <c r="N10" s="526">
        <f>('04 - Veículos e Equipamentos'!K9+'04 - Veículos e Equipamentos'!K8)*'01 - Dados de Entrada'!$C$51-SUM(H10:M10)</f>
        <v>0</v>
      </c>
      <c r="O10" s="526">
        <f>('04 - Veículos e Equipamentos'!L9+'04 - Veículos e Equipamentos'!L8)*'01 - Dados de Entrada'!$C$51-SUM(I10:N10)</f>
        <v>0</v>
      </c>
      <c r="P10" s="526">
        <f>('04 - Veículos e Equipamentos'!M9+'04 - Veículos e Equipamentos'!M8)*'01 - Dados de Entrada'!$C$51-SUM(J10:O10)</f>
        <v>0</v>
      </c>
      <c r="Q10" s="526">
        <f>('04 - Veículos e Equipamentos'!N9+'04 - Veículos e Equipamentos'!N8)*'01 - Dados de Entrada'!$C$51-SUM(K10:P10)</f>
        <v>18000</v>
      </c>
      <c r="R10" s="526">
        <f>('04 - Veículos e Equipamentos'!O9+'04 - Veículos e Equipamentos'!O8)*'01 - Dados de Entrada'!$C$51-SUM(L10:Q10)</f>
        <v>0</v>
      </c>
      <c r="S10" s="526">
        <f>('04 - Veículos e Equipamentos'!P9+'04 - Veículos e Equipamentos'!P8)*'01 - Dados de Entrada'!$C$51-SUM(M10:R10)</f>
        <v>90000</v>
      </c>
      <c r="T10" s="526">
        <f>('04 - Veículos e Equipamentos'!Q9+'04 - Veículos e Equipamentos'!Q8)*'01 - Dados de Entrada'!$C$51-SUM(N10:S10)</f>
        <v>0</v>
      </c>
      <c r="U10" s="526">
        <f>('04 - Veículos e Equipamentos'!R9+'04 - Veículos e Equipamentos'!R8)*'01 - Dados de Entrada'!$C$51-SUM(O10:T10)</f>
        <v>0</v>
      </c>
      <c r="V10" s="526">
        <f>('04 - Veículos e Equipamentos'!S9+'04 - Veículos e Equipamentos'!S8)*'01 - Dados de Entrada'!$C$51-SUM(P10:U10)</f>
        <v>0</v>
      </c>
      <c r="W10" s="526">
        <f>('04 - Veículos e Equipamentos'!T9+'04 - Veículos e Equipamentos'!T8)*'01 - Dados de Entrada'!$C$51-SUM(Q10:V10)</f>
        <v>0</v>
      </c>
      <c r="X10" s="526">
        <f>('04 - Veículos e Equipamentos'!U9+'04 - Veículos e Equipamentos'!U8)*'01 - Dados de Entrada'!$C$51-SUM(R10:W10)</f>
        <v>18000</v>
      </c>
      <c r="Y10" s="526">
        <f>('04 - Veículos e Equipamentos'!V9+'04 - Veículos e Equipamentos'!V8)*'01 - Dados de Entrada'!$C$51-SUM(S10:X10)</f>
        <v>0</v>
      </c>
      <c r="Z10" s="526">
        <f>('04 - Veículos e Equipamentos'!W9+'04 - Veículos e Equipamentos'!W8)*'01 - Dados de Entrada'!$C$51-SUM(T10:Y10)</f>
        <v>90000</v>
      </c>
      <c r="AA10" s="526">
        <f>('04 - Veículos e Equipamentos'!X9+'04 - Veículos e Equipamentos'!X8)*'01 - Dados de Entrada'!$C$51-SUM(U10:Z10)</f>
        <v>0</v>
      </c>
      <c r="AB10" s="526">
        <f>('04 - Veículos e Equipamentos'!Y9+'04 - Veículos e Equipamentos'!Y8)*'01 - Dados de Entrada'!$C$51-SUM(V10:AA10)</f>
        <v>0</v>
      </c>
      <c r="AC10" s="526">
        <f>('04 - Veículos e Equipamentos'!Z9+'04 - Veículos e Equipamentos'!Z8)*'01 - Dados de Entrada'!$C$51-SUM(W10:AB10)</f>
        <v>0</v>
      </c>
      <c r="AD10" s="526">
        <f>('04 - Veículos e Equipamentos'!AA9+'04 - Veículos e Equipamentos'!AA8)*'01 - Dados de Entrada'!$C$51-SUM(X10:AC10)</f>
        <v>0</v>
      </c>
      <c r="AE10" s="526">
        <f>('04 - Veículos e Equipamentos'!AB9+'04 - Veículos e Equipamentos'!AB8)*'01 - Dados de Entrada'!$C$51-SUM(Y10:AD10)</f>
        <v>18000</v>
      </c>
      <c r="AF10" s="526">
        <f>('04 - Veículos e Equipamentos'!AC9+'04 - Veículos e Equipamentos'!AC8)*'01 - Dados de Entrada'!$C$51-SUM(Z10:AE10)</f>
        <v>0</v>
      </c>
      <c r="AG10" s="526">
        <f>('04 - Veículos e Equipamentos'!AD9+'04 - Veículos e Equipamentos'!AD8)*'01 - Dados de Entrada'!$C$51-SUM(AA10:AF10)</f>
        <v>90000</v>
      </c>
      <c r="AH10" s="526">
        <f>('04 - Veículos e Equipamentos'!AE9+'04 - Veículos e Equipamentos'!AE8)*'01 - Dados de Entrada'!$C$51-SUM(AB10:AG10)</f>
        <v>0</v>
      </c>
      <c r="AI10" s="526">
        <f>('04 - Veículos e Equipamentos'!AF9+'04 - Veículos e Equipamentos'!AF8)*'01 - Dados de Entrada'!$C$51-SUM(AC10:AH10)</f>
        <v>0</v>
      </c>
      <c r="AJ10" s="526">
        <f>('04 - Veículos e Equipamentos'!AG9+'04 - Veículos e Equipamentos'!AG8)*'01 - Dados de Entrada'!$C$51-SUM(AD10:AI10)</f>
        <v>0</v>
      </c>
      <c r="AK10" s="526">
        <f>('04 - Veículos e Equipamentos'!AH9+'04 - Veículos e Equipamentos'!AH8)*'01 - Dados de Entrada'!$C$51-SUM(AE10:AJ10)</f>
        <v>0</v>
      </c>
      <c r="AL10" s="526">
        <f>('04 - Veículos e Equipamentos'!AI9+'04 - Veículos e Equipamentos'!AI8)*'01 - Dados de Entrada'!$C$51-SUM(AF10:AK10)</f>
        <v>18000</v>
      </c>
      <c r="AM10" s="526">
        <f>('04 - Veículos e Equipamentos'!AJ9+'04 - Veículos e Equipamentos'!AJ8)*'01 - Dados de Entrada'!$C$51-SUM(AG10:AL10)</f>
        <v>0</v>
      </c>
    </row>
    <row r="11" spans="1:39" s="22" customFormat="1" ht="13.15" customHeight="1" x14ac:dyDescent="0.2">
      <c r="A11" s="400" t="s">
        <v>792</v>
      </c>
      <c r="B11" s="400" t="s">
        <v>1086</v>
      </c>
      <c r="C11" s="401"/>
      <c r="D11" s="525">
        <f t="shared" si="2"/>
        <v>9264500</v>
      </c>
      <c r="E11" s="525">
        <f>'04 - Veículos e Equipamentos'!B14*('01 - Dados de Entrada'!$C$48+'01 - Dados de Entrada'!$C$52)</f>
        <v>1852900</v>
      </c>
      <c r="F11" s="525">
        <f>'04 - Veículos e Equipamentos'!C14*('01 - Dados de Entrada'!$C$48+'01 - Dados de Entrada'!$C$52)-SUM(E11)</f>
        <v>0</v>
      </c>
      <c r="G11" s="525">
        <f>'04 - Veículos e Equipamentos'!D14*('01 - Dados de Entrada'!$C$48+'01 - Dados de Entrada'!$C$52)-SUM(E11:F11)</f>
        <v>0</v>
      </c>
      <c r="H11" s="525">
        <f>'04 - Veículos e Equipamentos'!E14*('01 - Dados de Entrada'!$C$48+'01 - Dados de Entrada'!$C$52)-SUM(E11:G11)</f>
        <v>0</v>
      </c>
      <c r="I11" s="525">
        <f>'04 - Veículos e Equipamentos'!F14*('01 - Dados de Entrada'!$C$48+'01 - Dados de Entrada'!$C$52)-SUM(E11:H11)</f>
        <v>0</v>
      </c>
      <c r="J11" s="525">
        <f>'04 - Veículos e Equipamentos'!G14*('01 - Dados de Entrada'!$C$48+'01 - Dados de Entrada'!$C$52)-SUM(E11:I11)</f>
        <v>0</v>
      </c>
      <c r="K11" s="525">
        <f>'04 - Veículos e Equipamentos'!H14*('01 - Dados de Entrada'!$C$48+'01 - Dados de Entrada'!$C$52)-SUM(E11:J11)</f>
        <v>0</v>
      </c>
      <c r="L11" s="525">
        <f>'04 - Veículos e Equipamentos'!I14*('01 - Dados de Entrada'!$C$48+'01 - Dados de Entrada'!$C$52)-SUM(F11:K11)</f>
        <v>1852900</v>
      </c>
      <c r="M11" s="525">
        <f>'04 - Veículos e Equipamentos'!J14*('01 - Dados de Entrada'!$C$48+'01 - Dados de Entrada'!$C$52)-SUM(G11:L11)</f>
        <v>0</v>
      </c>
      <c r="N11" s="525">
        <f>'04 - Veículos e Equipamentos'!K14*('01 - Dados de Entrada'!$C$48+'01 - Dados de Entrada'!$C$52)-SUM(H11:M11)</f>
        <v>0</v>
      </c>
      <c r="O11" s="525">
        <f>'04 - Veículos e Equipamentos'!L14*('01 - Dados de Entrada'!$C$48+'01 - Dados de Entrada'!$C$52)-SUM(I11:N11)</f>
        <v>0</v>
      </c>
      <c r="P11" s="525">
        <f>'04 - Veículos e Equipamentos'!M14*('01 - Dados de Entrada'!$C$48+'01 - Dados de Entrada'!$C$52)-SUM(J11:O11)</f>
        <v>0</v>
      </c>
      <c r="Q11" s="525">
        <f>'04 - Veículos e Equipamentos'!N14*('01 - Dados de Entrada'!$C$48+'01 - Dados de Entrada'!$C$52)-SUM(K11:P11)</f>
        <v>0</v>
      </c>
      <c r="R11" s="525">
        <f>'04 - Veículos e Equipamentos'!O14*('01 - Dados de Entrada'!$C$48+'01 - Dados de Entrada'!$C$52)-SUM(L11:Q11)</f>
        <v>0</v>
      </c>
      <c r="S11" s="525">
        <f>'04 - Veículos e Equipamentos'!P14*('01 - Dados de Entrada'!$C$48+'01 - Dados de Entrada'!$C$52)-SUM(M11:R11)</f>
        <v>1852900</v>
      </c>
      <c r="T11" s="525">
        <f>'04 - Veículos e Equipamentos'!Q14*('01 - Dados de Entrada'!$C$48+'01 - Dados de Entrada'!$C$52)-SUM(N11:S11)</f>
        <v>0</v>
      </c>
      <c r="U11" s="525">
        <f>'04 - Veículos e Equipamentos'!R14*('01 - Dados de Entrada'!$C$48+'01 - Dados de Entrada'!$C$52)-SUM(O11:T11)</f>
        <v>0</v>
      </c>
      <c r="V11" s="525">
        <f>'04 - Veículos e Equipamentos'!S14*('01 - Dados de Entrada'!$C$48+'01 - Dados de Entrada'!$C$52)-SUM(P11:U11)</f>
        <v>0</v>
      </c>
      <c r="W11" s="525">
        <f>'04 - Veículos e Equipamentos'!T14*('01 - Dados de Entrada'!$C$48+'01 - Dados de Entrada'!$C$52)-SUM(Q11:V11)</f>
        <v>0</v>
      </c>
      <c r="X11" s="525">
        <f>'04 - Veículos e Equipamentos'!U14*('01 - Dados de Entrada'!$C$48+'01 - Dados de Entrada'!$C$52)-SUM(R11:W11)</f>
        <v>0</v>
      </c>
      <c r="Y11" s="525">
        <f>'04 - Veículos e Equipamentos'!V14*('01 - Dados de Entrada'!$C$48+'01 - Dados de Entrada'!$C$52)-SUM(S11:X11)</f>
        <v>0</v>
      </c>
      <c r="Z11" s="525">
        <f>'04 - Veículos e Equipamentos'!W14*('01 - Dados de Entrada'!$C$48+'01 - Dados de Entrada'!$C$52)-SUM(T11:Y11)</f>
        <v>1852900</v>
      </c>
      <c r="AA11" s="525">
        <f>'04 - Veículos e Equipamentos'!X14*('01 - Dados de Entrada'!$C$48+'01 - Dados de Entrada'!$C$52)-SUM(U11:Z11)</f>
        <v>0</v>
      </c>
      <c r="AB11" s="525">
        <f>'04 - Veículos e Equipamentos'!Y14*('01 - Dados de Entrada'!$C$48+'01 - Dados de Entrada'!$C$52)-SUM(V11:AA11)</f>
        <v>0</v>
      </c>
      <c r="AC11" s="525">
        <f>'04 - Veículos e Equipamentos'!Z14*('01 - Dados de Entrada'!$C$48+'01 - Dados de Entrada'!$C$52)-SUM(W11:AB11)</f>
        <v>0</v>
      </c>
      <c r="AD11" s="525">
        <f>'04 - Veículos e Equipamentos'!AA14*('01 - Dados de Entrada'!$C$48+'01 - Dados de Entrada'!$C$52)-SUM(X11:AC11)</f>
        <v>0</v>
      </c>
      <c r="AE11" s="525">
        <f>'04 - Veículos e Equipamentos'!AB14*('01 - Dados de Entrada'!$C$48+'01 - Dados de Entrada'!$C$52)-SUM(Y11:AD11)</f>
        <v>0</v>
      </c>
      <c r="AF11" s="525">
        <f>'04 - Veículos e Equipamentos'!AC14*('01 - Dados de Entrada'!$C$48+'01 - Dados de Entrada'!$C$52)-SUM(Z11:AE11)</f>
        <v>0</v>
      </c>
      <c r="AG11" s="525">
        <f>'04 - Veículos e Equipamentos'!AD14*('01 - Dados de Entrada'!$C$48+'01 - Dados de Entrada'!$C$52)-SUM(AA11:AF11)</f>
        <v>1852900</v>
      </c>
      <c r="AH11" s="525">
        <f>'04 - Veículos e Equipamentos'!AE14*('01 - Dados de Entrada'!$C$48+'01 - Dados de Entrada'!$C$52)-SUM(AB11:AG11)</f>
        <v>0</v>
      </c>
      <c r="AI11" s="525">
        <f>'04 - Veículos e Equipamentos'!AF14*('01 - Dados de Entrada'!$C$48+'01 - Dados de Entrada'!$C$52)-SUM(AC11:AH11)</f>
        <v>0</v>
      </c>
      <c r="AJ11" s="525">
        <f>'04 - Veículos e Equipamentos'!AG14*('01 - Dados de Entrada'!$C$48+'01 - Dados de Entrada'!$C$52)-SUM(AD11:AI11)</f>
        <v>0</v>
      </c>
      <c r="AK11" s="525">
        <f>'04 - Veículos e Equipamentos'!AH14*('01 - Dados de Entrada'!$C$48+'01 - Dados de Entrada'!$C$52)-SUM(AE11:AJ11)</f>
        <v>0</v>
      </c>
      <c r="AL11" s="525">
        <f>'04 - Veículos e Equipamentos'!AI14*('01 - Dados de Entrada'!$C$48+'01 - Dados de Entrada'!$C$52)-SUM(AF11:AK11)</f>
        <v>0</v>
      </c>
      <c r="AM11" s="525">
        <f>'04 - Veículos e Equipamentos'!AJ14*('01 - Dados de Entrada'!$C$48+'01 - Dados de Entrada'!$C$52)-SUM(AG11:AL11)</f>
        <v>0</v>
      </c>
    </row>
    <row r="12" spans="1:39" s="22" customFormat="1" ht="13.15" customHeight="1" x14ac:dyDescent="0.2">
      <c r="A12" s="24" t="s">
        <v>793</v>
      </c>
      <c r="B12" s="24" t="s">
        <v>1086</v>
      </c>
      <c r="C12" s="166"/>
      <c r="D12" s="525">
        <f t="shared" si="2"/>
        <v>907335</v>
      </c>
      <c r="E12" s="528">
        <f>'04 - Veículos e Equipamentos'!B15*'01 - Dados de Entrada'!$C$55</f>
        <v>100815</v>
      </c>
      <c r="F12" s="528">
        <f>'04 - Veículos e Equipamentos'!C15*'01 - Dados de Entrada'!$C$55-SUM(E12)</f>
        <v>0</v>
      </c>
      <c r="G12" s="528">
        <f>'04 - Veículos e Equipamentos'!D15*'01 - Dados de Entrada'!$C$55-SUM(E12:F12)</f>
        <v>0</v>
      </c>
      <c r="H12" s="528">
        <f>'04 - Veículos e Equipamentos'!E15*'01 - Dados de Entrada'!$C$55-SUM(E12:G12)</f>
        <v>0</v>
      </c>
      <c r="I12" s="528">
        <f>'04 - Veículos e Equipamentos'!F15*'01 - Dados de Entrada'!$C$55-SUM(F12:H12)</f>
        <v>100815</v>
      </c>
      <c r="J12" s="528">
        <f>'04 - Veículos e Equipamentos'!G15*'01 - Dados de Entrada'!$C$55-SUM(G12:I12)</f>
        <v>0</v>
      </c>
      <c r="K12" s="528">
        <f>'04 - Veículos e Equipamentos'!H15*'01 - Dados de Entrada'!$C$55-SUM(H12:J12)</f>
        <v>0</v>
      </c>
      <c r="L12" s="528">
        <f>'04 - Veículos e Equipamentos'!I15*'01 - Dados de Entrada'!$C$55-SUM(I12:K12)</f>
        <v>0</v>
      </c>
      <c r="M12" s="528">
        <f>'04 - Veículos e Equipamentos'!J15*'01 - Dados de Entrada'!$C$55-SUM(J12:L12)</f>
        <v>100815</v>
      </c>
      <c r="N12" s="528">
        <f>'04 - Veículos e Equipamentos'!K15*'01 - Dados de Entrada'!$C$55-SUM(K12:M12)</f>
        <v>0</v>
      </c>
      <c r="O12" s="528">
        <f>'04 - Veículos e Equipamentos'!L15*'01 - Dados de Entrada'!$C$55-SUM(L12:N12)</f>
        <v>0</v>
      </c>
      <c r="P12" s="528">
        <f>'04 - Veículos e Equipamentos'!M15*'01 - Dados de Entrada'!$C$55-SUM(M12:O12)</f>
        <v>0</v>
      </c>
      <c r="Q12" s="528">
        <f>'04 - Veículos e Equipamentos'!N15*'01 - Dados de Entrada'!$C$55-SUM(N12:P12)</f>
        <v>100815</v>
      </c>
      <c r="R12" s="528">
        <f>'04 - Veículos e Equipamentos'!O15*'01 - Dados de Entrada'!$C$55-SUM(O12:Q12)</f>
        <v>0</v>
      </c>
      <c r="S12" s="528">
        <f>'04 - Veículos e Equipamentos'!P15*'01 - Dados de Entrada'!$C$55-SUM(P12:R12)</f>
        <v>0</v>
      </c>
      <c r="T12" s="528">
        <f>'04 - Veículos e Equipamentos'!Q15*'01 - Dados de Entrada'!$C$55-SUM(Q12:S12)</f>
        <v>0</v>
      </c>
      <c r="U12" s="528">
        <f>'04 - Veículos e Equipamentos'!R15*'01 - Dados de Entrada'!$C$55-SUM(R12:T12)</f>
        <v>100815</v>
      </c>
      <c r="V12" s="528">
        <f>'04 - Veículos e Equipamentos'!S15*'01 - Dados de Entrada'!$C$55-SUM(S12:U12)</f>
        <v>0</v>
      </c>
      <c r="W12" s="528">
        <f>'04 - Veículos e Equipamentos'!T15*'01 - Dados de Entrada'!$C$55-SUM(T12:V12)</f>
        <v>0</v>
      </c>
      <c r="X12" s="528">
        <f>'04 - Veículos e Equipamentos'!U15*'01 - Dados de Entrada'!$C$55-SUM(U12:W12)</f>
        <v>0</v>
      </c>
      <c r="Y12" s="528">
        <f>'04 - Veículos e Equipamentos'!V15*'01 - Dados de Entrada'!$C$55-SUM(V12:X12)</f>
        <v>100815</v>
      </c>
      <c r="Z12" s="528">
        <f>'04 - Veículos e Equipamentos'!W15*'01 - Dados de Entrada'!$C$55-SUM(W12:Y12)</f>
        <v>0</v>
      </c>
      <c r="AA12" s="528">
        <f>'04 - Veículos e Equipamentos'!X15*'01 - Dados de Entrada'!$C$55-SUM(X12:Z12)</f>
        <v>0</v>
      </c>
      <c r="AB12" s="528">
        <f>'04 - Veículos e Equipamentos'!Y15*'01 - Dados de Entrada'!$C$55-SUM(Y12:AA12)</f>
        <v>0</v>
      </c>
      <c r="AC12" s="528">
        <f>'04 - Veículos e Equipamentos'!Z15*'01 - Dados de Entrada'!$C$55-SUM(Z12:AB12)</f>
        <v>100815</v>
      </c>
      <c r="AD12" s="528">
        <f>'04 - Veículos e Equipamentos'!AA15*'01 - Dados de Entrada'!$C$55-SUM(AA12:AC12)</f>
        <v>0</v>
      </c>
      <c r="AE12" s="528">
        <f>'04 - Veículos e Equipamentos'!AB15*'01 - Dados de Entrada'!$C$55-SUM(AB12:AD12)</f>
        <v>0</v>
      </c>
      <c r="AF12" s="528">
        <f>'04 - Veículos e Equipamentos'!AC15*'01 - Dados de Entrada'!$C$55-SUM(AC12:AE12)</f>
        <v>0</v>
      </c>
      <c r="AG12" s="528">
        <f>'04 - Veículos e Equipamentos'!AD15*'01 - Dados de Entrada'!$C$55-SUM(AD12:AF12)</f>
        <v>100815</v>
      </c>
      <c r="AH12" s="528">
        <f>'04 - Veículos e Equipamentos'!AE15*'01 - Dados de Entrada'!$C$55-SUM(AE12:AG12)</f>
        <v>0</v>
      </c>
      <c r="AI12" s="528">
        <f>'04 - Veículos e Equipamentos'!AF15*'01 - Dados de Entrada'!$C$55-SUM(AF12:AH12)</f>
        <v>0</v>
      </c>
      <c r="AJ12" s="528">
        <f>'04 - Veículos e Equipamentos'!AG15*'01 - Dados de Entrada'!$C$55-SUM(AG12:AI12)</f>
        <v>0</v>
      </c>
      <c r="AK12" s="528">
        <f>'04 - Veículos e Equipamentos'!AH15*'01 - Dados de Entrada'!$C$55-SUM(AH12:AJ12)</f>
        <v>100815</v>
      </c>
      <c r="AL12" s="528">
        <f>'04 - Veículos e Equipamentos'!AI15*'01 - Dados de Entrada'!$C$55-SUM(AI12:AK12)</f>
        <v>0</v>
      </c>
      <c r="AM12" s="528">
        <f>'04 - Veículos e Equipamentos'!AJ15*'01 - Dados de Entrada'!$C$55-SUM(AJ12:AL12)</f>
        <v>0</v>
      </c>
    </row>
    <row r="13" spans="1:39" s="22" customFormat="1" ht="13.15" customHeight="1" x14ac:dyDescent="0.2">
      <c r="A13" s="24" t="s">
        <v>794</v>
      </c>
      <c r="B13" s="24" t="s">
        <v>1086</v>
      </c>
      <c r="C13" s="166"/>
      <c r="D13" s="525">
        <f t="shared" si="2"/>
        <v>291023</v>
      </c>
      <c r="E13" s="528">
        <f>'01 - Dados de Entrada'!$C$57*'04 - Veículos e Equipamentos'!B16</f>
        <v>17119</v>
      </c>
      <c r="F13" s="528">
        <f>'01 - Dados de Entrada'!$C$57*'04 - Veículos e Equipamentos'!C16-SUM(E13)</f>
        <v>0</v>
      </c>
      <c r="G13" s="528">
        <f>'01 - Dados de Entrada'!$C$57*'04 - Veículos e Equipamentos'!D16-SUM(E13:F13)</f>
        <v>0</v>
      </c>
      <c r="H13" s="528">
        <f>'01 - Dados de Entrada'!$C$57*'04 - Veículos e Equipamentos'!E16-SUM(E13:G13)</f>
        <v>0</v>
      </c>
      <c r="I13" s="528">
        <f>'01 - Dados de Entrada'!$C$57*'04 - Veículos e Equipamentos'!F16-SUM(F13:H13)</f>
        <v>17119</v>
      </c>
      <c r="J13" s="528">
        <f>'01 - Dados de Entrada'!$C$57*'04 - Veículos e Equipamentos'!G16-SUM(G13:I13)</f>
        <v>17119</v>
      </c>
      <c r="K13" s="528">
        <f>'01 - Dados de Entrada'!$C$57*'04 - Veículos e Equipamentos'!H16-SUM(H13:J13)</f>
        <v>0</v>
      </c>
      <c r="L13" s="528">
        <f>'01 - Dados de Entrada'!$C$57*'04 - Veículos e Equipamentos'!I16-SUM(I13:K13)</f>
        <v>0</v>
      </c>
      <c r="M13" s="528">
        <f>'01 - Dados de Entrada'!$C$57*'04 - Veículos e Equipamentos'!J16-SUM(J13:L13)</f>
        <v>17119</v>
      </c>
      <c r="N13" s="528">
        <f>'01 - Dados de Entrada'!$C$57*'04 - Veículos e Equipamentos'!K16-SUM(K13:M13)</f>
        <v>17119</v>
      </c>
      <c r="O13" s="528">
        <f>'01 - Dados de Entrada'!$C$57*'04 - Veículos e Equipamentos'!L16-SUM(L13:N13)</f>
        <v>0</v>
      </c>
      <c r="P13" s="528">
        <f>'01 - Dados de Entrada'!$C$57*'04 - Veículos e Equipamentos'!M16-SUM(M13:O13)</f>
        <v>0</v>
      </c>
      <c r="Q13" s="528">
        <f>'01 - Dados de Entrada'!$C$57*'04 - Veículos e Equipamentos'!N16-SUM(N13:P13)</f>
        <v>17119</v>
      </c>
      <c r="R13" s="528">
        <f>'01 - Dados de Entrada'!$C$57*'04 - Veículos e Equipamentos'!O16-SUM(O13:Q13)</f>
        <v>17119</v>
      </c>
      <c r="S13" s="528">
        <f>'01 - Dados de Entrada'!$C$57*'04 - Veículos e Equipamentos'!P16-SUM(P13:R13)</f>
        <v>0</v>
      </c>
      <c r="T13" s="528">
        <f>'01 - Dados de Entrada'!$C$57*'04 - Veículos e Equipamentos'!Q16-SUM(Q13:S13)</f>
        <v>0</v>
      </c>
      <c r="U13" s="528">
        <f>'01 - Dados de Entrada'!$C$57*'04 - Veículos e Equipamentos'!R16-SUM(R13:T13)</f>
        <v>17119</v>
      </c>
      <c r="V13" s="528">
        <f>'01 - Dados de Entrada'!$C$57*'04 - Veículos e Equipamentos'!S16-SUM(S13:U13)</f>
        <v>17119</v>
      </c>
      <c r="W13" s="528">
        <f>'01 - Dados de Entrada'!$C$57*'04 - Veículos e Equipamentos'!T16-SUM(T13:V13)</f>
        <v>0</v>
      </c>
      <c r="X13" s="528">
        <f>'01 - Dados de Entrada'!$C$57*'04 - Veículos e Equipamentos'!U16-SUM(U13:W13)</f>
        <v>0</v>
      </c>
      <c r="Y13" s="528">
        <f>'01 - Dados de Entrada'!$C$57*'04 - Veículos e Equipamentos'!V16-SUM(V13:X13)</f>
        <v>17119</v>
      </c>
      <c r="Z13" s="528">
        <f>'01 - Dados de Entrada'!$C$57*'04 - Veículos e Equipamentos'!W16-SUM(W13:Y13)</f>
        <v>17119</v>
      </c>
      <c r="AA13" s="528">
        <f>'01 - Dados de Entrada'!$C$57*'04 - Veículos e Equipamentos'!X16-SUM(X13:Z13)</f>
        <v>0</v>
      </c>
      <c r="AB13" s="528">
        <f>'01 - Dados de Entrada'!$C$57*'04 - Veículos e Equipamentos'!Y16-SUM(Y13:AA13)</f>
        <v>0</v>
      </c>
      <c r="AC13" s="528">
        <f>'01 - Dados de Entrada'!$C$57*'04 - Veículos e Equipamentos'!Z16-SUM(Z13:AB13)</f>
        <v>17119</v>
      </c>
      <c r="AD13" s="528">
        <f>'01 - Dados de Entrada'!$C$57*'04 - Veículos e Equipamentos'!AA16-SUM(AA13:AC13)</f>
        <v>17119</v>
      </c>
      <c r="AE13" s="528">
        <f>'01 - Dados de Entrada'!$C$57*'04 - Veículos e Equipamentos'!AB16-SUM(AB13:AD13)</f>
        <v>0</v>
      </c>
      <c r="AF13" s="528">
        <f>'01 - Dados de Entrada'!$C$57*'04 - Veículos e Equipamentos'!AC16-SUM(AC13:AE13)</f>
        <v>0</v>
      </c>
      <c r="AG13" s="528">
        <f>'01 - Dados de Entrada'!$C$57*'04 - Veículos e Equipamentos'!AD16-SUM(AD13:AF13)</f>
        <v>17119</v>
      </c>
      <c r="AH13" s="528">
        <f>'01 - Dados de Entrada'!$C$57*'04 - Veículos e Equipamentos'!AE16-SUM(AE13:AG13)</f>
        <v>17119</v>
      </c>
      <c r="AI13" s="528">
        <f>'01 - Dados de Entrada'!$C$57*'04 - Veículos e Equipamentos'!AF16-SUM(AF13:AH13)</f>
        <v>0</v>
      </c>
      <c r="AJ13" s="528">
        <f>'01 - Dados de Entrada'!$C$57*'04 - Veículos e Equipamentos'!AG16-SUM(AG13:AI13)</f>
        <v>0</v>
      </c>
      <c r="AK13" s="528">
        <f>'01 - Dados de Entrada'!$C$57*'04 - Veículos e Equipamentos'!AH16-SUM(AH13:AJ13)</f>
        <v>17119</v>
      </c>
      <c r="AL13" s="528">
        <f>'01 - Dados de Entrada'!$C$57*'04 - Veículos e Equipamentos'!AI16-SUM(AI13:AK13)</f>
        <v>17119</v>
      </c>
      <c r="AM13" s="528">
        <f>'01 - Dados de Entrada'!$C$57*'04 - Veículos e Equipamentos'!AJ16-SUM(AJ13:AL13)</f>
        <v>0</v>
      </c>
    </row>
    <row r="14" spans="1:39" s="22" customFormat="1" ht="13.15" customHeight="1" x14ac:dyDescent="0.2">
      <c r="A14" s="400" t="s">
        <v>1092</v>
      </c>
      <c r="B14" s="400" t="s">
        <v>1091</v>
      </c>
      <c r="C14" s="401"/>
      <c r="D14" s="525">
        <f t="shared" si="2"/>
        <v>7689304</v>
      </c>
      <c r="E14" s="525">
        <f>'04 - Veículos e Equipamentos'!B33*'01 - Dados de Entrada'!$C$58</f>
        <v>384465.2</v>
      </c>
      <c r="F14" s="525">
        <f>'04 - Veículos e Equipamentos'!C33*'01 - Dados de Entrada'!$C$58-SUM(E14)</f>
        <v>0</v>
      </c>
      <c r="G14" s="525">
        <f>'04 - Veículos e Equipamentos'!D33*'01 - Dados de Entrada'!$C$58-SUM(E14:F14)</f>
        <v>384465.2</v>
      </c>
      <c r="H14" s="525">
        <f>'04 - Veículos e Equipamentos'!E33*'01 - Dados de Entrada'!$C$58-SUM(E14:G14)</f>
        <v>0</v>
      </c>
      <c r="I14" s="525">
        <f>'04 - Veículos e Equipamentos'!F33*'01 - Dados de Entrada'!$C$58-SUM(E14:H14)</f>
        <v>329541.59999999998</v>
      </c>
      <c r="J14" s="525">
        <f>'04 - Veículos e Equipamentos'!G33*'01 - Dados de Entrada'!$C$58-SUM(F14:I14)</f>
        <v>384465.19999999995</v>
      </c>
      <c r="K14" s="525">
        <f>'04 - Veículos e Equipamentos'!H33*'01 - Dados de Entrada'!$C$58-SUM(G14:J14)</f>
        <v>0</v>
      </c>
      <c r="L14" s="525">
        <f>'04 - Veículos e Equipamentos'!I33*'01 - Dados de Entrada'!$C$58-SUM(H14:K14)</f>
        <v>384465.20000000007</v>
      </c>
      <c r="M14" s="525">
        <f>'04 - Veículos e Equipamentos'!J33*'01 - Dados de Entrada'!$C$58-SUM(I14:L14)</f>
        <v>0</v>
      </c>
      <c r="N14" s="525">
        <f>'04 - Veículos e Equipamentos'!K33*'01 - Dados de Entrada'!$C$58-SUM(J14:M14)</f>
        <v>329541.59999999998</v>
      </c>
      <c r="O14" s="525">
        <f>'04 - Veículos e Equipamentos'!L33*'01 - Dados de Entrada'!$C$58-SUM(K14:N14)</f>
        <v>384465.19999999995</v>
      </c>
      <c r="P14" s="525">
        <f>'04 - Veículos e Equipamentos'!M33*'01 - Dados de Entrada'!$C$58-SUM(L14:O14)</f>
        <v>0</v>
      </c>
      <c r="Q14" s="525">
        <f>'04 - Veículos e Equipamentos'!N33*'01 - Dados de Entrada'!$C$58-SUM(M14:P14)</f>
        <v>384465.20000000007</v>
      </c>
      <c r="R14" s="525">
        <f>'04 - Veículos e Equipamentos'!O33*'01 - Dados de Entrada'!$C$58-SUM(N14:Q14)</f>
        <v>0</v>
      </c>
      <c r="S14" s="525">
        <f>'04 - Veículos e Equipamentos'!P33*'01 - Dados de Entrada'!$C$58-SUM(O14:R14)</f>
        <v>329541.59999999998</v>
      </c>
      <c r="T14" s="525">
        <f>'04 - Veículos e Equipamentos'!Q33*'01 - Dados de Entrada'!$C$58-SUM(P14:S14)</f>
        <v>384465.19999999995</v>
      </c>
      <c r="U14" s="525">
        <f>'04 - Veículos e Equipamentos'!R33*'01 - Dados de Entrada'!$C$58-SUM(Q14:T14)</f>
        <v>0</v>
      </c>
      <c r="V14" s="525">
        <f>'04 - Veículos e Equipamentos'!S33*'01 - Dados de Entrada'!$C$58-SUM(R14:U14)</f>
        <v>384465.20000000007</v>
      </c>
      <c r="W14" s="525">
        <f>'04 - Veículos e Equipamentos'!T33*'01 - Dados de Entrada'!$C$58-SUM(S14:V14)</f>
        <v>0</v>
      </c>
      <c r="X14" s="525">
        <f>'04 - Veículos e Equipamentos'!U33*'01 - Dados de Entrada'!$C$58-SUM(T14:W14)</f>
        <v>329541.59999999998</v>
      </c>
      <c r="Y14" s="525">
        <f>'04 - Veículos e Equipamentos'!V33*'01 - Dados de Entrada'!$C$58-SUM(U14:X14)</f>
        <v>384465.19999999995</v>
      </c>
      <c r="Z14" s="525">
        <f>'04 - Veículos e Equipamentos'!W33*'01 - Dados de Entrada'!$C$58-SUM(V14:Y14)</f>
        <v>0</v>
      </c>
      <c r="AA14" s="525">
        <f>'04 - Veículos e Equipamentos'!X33*'01 - Dados de Entrada'!$C$58-SUM(W14:Z14)</f>
        <v>384465.20000000007</v>
      </c>
      <c r="AB14" s="525">
        <f>'04 - Veículos e Equipamentos'!Y33*'01 - Dados de Entrada'!$C$58-SUM(X14:AA14)</f>
        <v>0</v>
      </c>
      <c r="AC14" s="525">
        <f>'04 - Veículos e Equipamentos'!Z33*'01 - Dados de Entrada'!$C$58-SUM(Y14:AB14)</f>
        <v>329541.59999999998</v>
      </c>
      <c r="AD14" s="525">
        <f>'04 - Veículos e Equipamentos'!AA33*'01 - Dados de Entrada'!$C$58-SUM(Z14:AC14)</f>
        <v>384465.19999999995</v>
      </c>
      <c r="AE14" s="525">
        <f>'04 - Veículos e Equipamentos'!AB33*'01 - Dados de Entrada'!$C$58-SUM(AA14:AD14)</f>
        <v>0</v>
      </c>
      <c r="AF14" s="525">
        <f>'04 - Veículos e Equipamentos'!AC33*'01 - Dados de Entrada'!$C$58-SUM(AB14:AE14)</f>
        <v>384465.20000000007</v>
      </c>
      <c r="AG14" s="525">
        <f>'04 - Veículos e Equipamentos'!AD33*'01 - Dados de Entrada'!$C$58-SUM(AC14:AF14)</f>
        <v>0</v>
      </c>
      <c r="AH14" s="525">
        <f>'04 - Veículos e Equipamentos'!AE33*'01 - Dados de Entrada'!$C$58-SUM(AD14:AG14)</f>
        <v>329541.59999999998</v>
      </c>
      <c r="AI14" s="525">
        <f>'04 - Veículos e Equipamentos'!AF33*'01 - Dados de Entrada'!$C$58-SUM(AE14:AH14)</f>
        <v>384465.19999999995</v>
      </c>
      <c r="AJ14" s="525">
        <f>'04 - Veículos e Equipamentos'!AG33*'01 - Dados de Entrada'!$C$58-SUM(AF14:AI14)</f>
        <v>0</v>
      </c>
      <c r="AK14" s="525">
        <f>'04 - Veículos e Equipamentos'!AH33*'01 - Dados de Entrada'!$C$58-SUM(AG14:AJ14)</f>
        <v>384465.20000000007</v>
      </c>
      <c r="AL14" s="525">
        <f>'04 - Veículos e Equipamentos'!AI33*'01 - Dados de Entrada'!$C$58-SUM(AH14:AK14)</f>
        <v>0</v>
      </c>
      <c r="AM14" s="525">
        <f>'04 - Veículos e Equipamentos'!AJ33*'01 - Dados de Entrada'!$C$58-SUM(AI14:AL14)</f>
        <v>329541.59999999998</v>
      </c>
    </row>
    <row r="15" spans="1:39" s="78" customFormat="1" ht="13.15" customHeight="1" x14ac:dyDescent="0.2">
      <c r="A15" s="198" t="s">
        <v>1044</v>
      </c>
      <c r="B15" s="198"/>
      <c r="C15" s="512" t="s">
        <v>1084</v>
      </c>
      <c r="D15" s="524">
        <f t="shared" si="2"/>
        <v>46882108.666666657</v>
      </c>
      <c r="E15" s="524">
        <f>SUM(E16:E21)</f>
        <v>7848744.1333333338</v>
      </c>
      <c r="F15" s="524">
        <f t="shared" ref="F15:M15" si="3">SUM(F16:F21)</f>
        <v>0</v>
      </c>
      <c r="G15" s="524">
        <f>SUM(G16:G21)</f>
        <v>256310.13333333333</v>
      </c>
      <c r="H15" s="524">
        <f t="shared" si="3"/>
        <v>0</v>
      </c>
      <c r="I15" s="524">
        <f t="shared" si="3"/>
        <v>337628.39999999997</v>
      </c>
      <c r="J15" s="524">
        <f t="shared" si="3"/>
        <v>256310.1333333333</v>
      </c>
      <c r="K15" s="524">
        <f t="shared" si="3"/>
        <v>0</v>
      </c>
      <c r="L15" s="524">
        <f t="shared" si="3"/>
        <v>8561310.1333333328</v>
      </c>
      <c r="M15" s="524">
        <f t="shared" si="3"/>
        <v>117934</v>
      </c>
      <c r="N15" s="524">
        <f t="shared" ref="N15" si="4">SUM(N16:N21)</f>
        <v>219694.39999999997</v>
      </c>
      <c r="O15" s="524">
        <f t="shared" ref="O15" si="5">SUM(O16:O21)</f>
        <v>256310.1333333333</v>
      </c>
      <c r="P15" s="524">
        <f t="shared" ref="P15" si="6">SUM(P16:P21)</f>
        <v>0</v>
      </c>
      <c r="Q15" s="524">
        <f t="shared" ref="Q15" si="7">SUM(Q16:Q21)</f>
        <v>374244.13333333336</v>
      </c>
      <c r="R15" s="524">
        <f t="shared" ref="R15" si="8">SUM(R16:R21)</f>
        <v>0</v>
      </c>
      <c r="S15" s="524">
        <f t="shared" ref="S15" si="9">SUM(S16:S21)</f>
        <v>8524694.4000000004</v>
      </c>
      <c r="T15" s="524">
        <f t="shared" ref="T15:U15" si="10">SUM(T16:T21)</f>
        <v>256310.1333333333</v>
      </c>
      <c r="U15" s="524">
        <f t="shared" si="10"/>
        <v>117934</v>
      </c>
      <c r="V15" s="524">
        <f t="shared" ref="V15" si="11">SUM(V16:V21)</f>
        <v>256310.13333333336</v>
      </c>
      <c r="W15" s="524">
        <f t="shared" ref="W15" si="12">SUM(W16:W21)</f>
        <v>0</v>
      </c>
      <c r="X15" s="524">
        <f t="shared" ref="X15" si="13">SUM(X16:X21)</f>
        <v>219694.39999999997</v>
      </c>
      <c r="Y15" s="524">
        <f t="shared" ref="Y15" si="14">SUM(Y16:Y21)</f>
        <v>374244.1333333333</v>
      </c>
      <c r="Z15" s="524">
        <f t="shared" ref="Z15" si="15">SUM(Z16:Z21)</f>
        <v>8305000</v>
      </c>
      <c r="AA15" s="524">
        <f t="shared" ref="AA15" si="16">SUM(AA16:AA21)</f>
        <v>256310.13333333336</v>
      </c>
      <c r="AB15" s="524">
        <f t="shared" ref="AB15:AC15" si="17">SUM(AB16:AB21)</f>
        <v>0</v>
      </c>
      <c r="AC15" s="524">
        <f t="shared" si="17"/>
        <v>337628.39999999997</v>
      </c>
      <c r="AD15" s="524">
        <f t="shared" ref="AD15" si="18">SUM(AD16:AD21)</f>
        <v>256310.1333333333</v>
      </c>
      <c r="AE15" s="524">
        <f t="shared" ref="AE15" si="19">SUM(AE16:AE21)</f>
        <v>0</v>
      </c>
      <c r="AF15" s="524">
        <f t="shared" ref="AF15" si="20">SUM(AF16:AF21)</f>
        <v>256310.13333333336</v>
      </c>
      <c r="AG15" s="524">
        <f t="shared" ref="AG15" si="21">SUM(AG16:AG21)</f>
        <v>8422934</v>
      </c>
      <c r="AH15" s="524">
        <f t="shared" ref="AH15" si="22">SUM(AH16:AH21)</f>
        <v>219694.39999999997</v>
      </c>
      <c r="AI15" s="524">
        <f t="shared" ref="AI15" si="23">SUM(AI16:AI21)</f>
        <v>256310.1333333333</v>
      </c>
      <c r="AJ15" s="524">
        <f t="shared" ref="AJ15:AK15" si="24">SUM(AJ16:AJ21)</f>
        <v>0</v>
      </c>
      <c r="AK15" s="524">
        <f t="shared" si="24"/>
        <v>374244.13333333336</v>
      </c>
      <c r="AL15" s="524">
        <f t="shared" ref="AL15" si="25">SUM(AL16:AL21)</f>
        <v>0</v>
      </c>
      <c r="AM15" s="524">
        <f t="shared" ref="AM15" si="26">SUM(AM16:AM21)</f>
        <v>219694.39999999997</v>
      </c>
    </row>
    <row r="16" spans="1:39" s="22" customFormat="1" ht="13.15" customHeight="1" x14ac:dyDescent="0.2">
      <c r="A16" s="404" t="s">
        <v>1085</v>
      </c>
      <c r="B16" s="24" t="s">
        <v>1086</v>
      </c>
      <c r="C16" s="166"/>
      <c r="D16" s="525">
        <f t="shared" si="2"/>
        <v>31687500</v>
      </c>
      <c r="E16" s="525">
        <f>'04 - Veículos e Equipamentos'!B21*('01 - Dados de Entrada'!$C$45+'01 - Dados de Entrada'!$C$49)</f>
        <v>5687500</v>
      </c>
      <c r="F16" s="525">
        <f>'04 - Veículos e Equipamentos'!C21*('01 - Dados de Entrada'!$C$45+'01 - Dados de Entrada'!$C$49)-SUM(E16)</f>
        <v>0</v>
      </c>
      <c r="G16" s="525">
        <f>'04 - Veículos e Equipamentos'!D21*('01 - Dados de Entrada'!$C$45+'01 - Dados de Entrada'!$C$49)-SUM(E16:F16)</f>
        <v>0</v>
      </c>
      <c r="H16" s="525">
        <f>'04 - Veículos e Equipamentos'!E21*('01 - Dados de Entrada'!$C$45+'01 - Dados de Entrada'!$C$49)-SUM(E16:G16)</f>
        <v>0</v>
      </c>
      <c r="I16" s="525">
        <f>'04 - Veículos e Equipamentos'!F21*('01 - Dados de Entrada'!$C$45+'01 - Dados de Entrada'!$C$49)-SUM(E16:H16)</f>
        <v>0</v>
      </c>
      <c r="J16" s="525">
        <f>'04 - Veículos e Equipamentos'!G21*('01 - Dados de Entrada'!$C$45+'01 - Dados de Entrada'!$C$49)-SUM(E16:I16)</f>
        <v>0</v>
      </c>
      <c r="K16" s="525">
        <f>'04 - Veículos e Equipamentos'!H21*('01 - Dados de Entrada'!$C$45+'01 - Dados de Entrada'!$C$49)-SUM(E16:J16)</f>
        <v>0</v>
      </c>
      <c r="L16" s="525">
        <f>'04 - Veículos e Equipamentos'!I21*('01 - Dados de Entrada'!$C$45+'01 - Dados de Entrada'!$C$49)-SUM(F16:K16)</f>
        <v>6500000</v>
      </c>
      <c r="M16" s="525">
        <f>'04 - Veículos e Equipamentos'!J21*('01 - Dados de Entrada'!$C$45+'01 - Dados de Entrada'!$C$49)-SUM(G16:L16)</f>
        <v>0</v>
      </c>
      <c r="N16" s="525">
        <f>'04 - Veículos e Equipamentos'!K21*('01 - Dados de Entrada'!$C$45+'01 - Dados de Entrada'!$C$49)-SUM(H16:M16)</f>
        <v>0</v>
      </c>
      <c r="O16" s="525">
        <f>'04 - Veículos e Equipamentos'!L21*('01 - Dados de Entrada'!$C$45+'01 - Dados de Entrada'!$C$49)-SUM(I16:N16)</f>
        <v>0</v>
      </c>
      <c r="P16" s="525">
        <f>'04 - Veículos e Equipamentos'!M21*('01 - Dados de Entrada'!$C$45+'01 - Dados de Entrada'!$C$49)-SUM(J16:O16)</f>
        <v>0</v>
      </c>
      <c r="Q16" s="525">
        <f>'04 - Veículos e Equipamentos'!N21*('01 - Dados de Entrada'!$C$45+'01 - Dados de Entrada'!$C$49)-SUM(K16:P16)</f>
        <v>0</v>
      </c>
      <c r="R16" s="525">
        <f>'04 - Veículos e Equipamentos'!O21*('01 - Dados de Entrada'!$C$45+'01 - Dados de Entrada'!$C$49)-SUM(L16:Q16)</f>
        <v>0</v>
      </c>
      <c r="S16" s="525">
        <f>'04 - Veículos e Equipamentos'!P21*('01 - Dados de Entrada'!$C$45+'01 - Dados de Entrada'!$C$49)-SUM(M16:R16)</f>
        <v>6500000</v>
      </c>
      <c r="T16" s="525">
        <f>'04 - Veículos e Equipamentos'!Q21*('01 - Dados de Entrada'!$C$45+'01 - Dados de Entrada'!$C$49)-SUM(N16:S16)</f>
        <v>0</v>
      </c>
      <c r="U16" s="525">
        <f>'04 - Veículos e Equipamentos'!R21*('01 - Dados de Entrada'!$C$45+'01 - Dados de Entrada'!$C$49)-SUM(O16:T16)</f>
        <v>0</v>
      </c>
      <c r="V16" s="525">
        <f>'04 - Veículos e Equipamentos'!S21*('01 - Dados de Entrada'!$C$45+'01 - Dados de Entrada'!$C$49)-SUM(P16:U16)</f>
        <v>0</v>
      </c>
      <c r="W16" s="525">
        <f>'04 - Veículos e Equipamentos'!T21*('01 - Dados de Entrada'!$C$45+'01 - Dados de Entrada'!$C$49)-SUM(Q16:V16)</f>
        <v>0</v>
      </c>
      <c r="X16" s="525">
        <f>'04 - Veículos e Equipamentos'!U21*('01 - Dados de Entrada'!$C$45+'01 - Dados de Entrada'!$C$49)-SUM(R16:W16)</f>
        <v>0</v>
      </c>
      <c r="Y16" s="525">
        <f>'04 - Veículos e Equipamentos'!V21*('01 - Dados de Entrada'!$C$45+'01 - Dados de Entrada'!$C$49)-SUM(S16:X16)</f>
        <v>0</v>
      </c>
      <c r="Z16" s="525">
        <f>'04 - Veículos e Equipamentos'!W21*('01 - Dados de Entrada'!$C$45+'01 - Dados de Entrada'!$C$49)-SUM(T16:Y16)</f>
        <v>6500000</v>
      </c>
      <c r="AA16" s="525">
        <f>'04 - Veículos e Equipamentos'!X21*('01 - Dados de Entrada'!$C$45+'01 - Dados de Entrada'!$C$49)-SUM(U16:Z16)</f>
        <v>0</v>
      </c>
      <c r="AB16" s="525">
        <f>'04 - Veículos e Equipamentos'!Y21*('01 - Dados de Entrada'!$C$45+'01 - Dados de Entrada'!$C$49)-SUM(V16:AA16)</f>
        <v>0</v>
      </c>
      <c r="AC16" s="525">
        <f>'04 - Veículos e Equipamentos'!Z21*('01 - Dados de Entrada'!$C$45+'01 - Dados de Entrada'!$C$49)-SUM(W16:AB16)</f>
        <v>0</v>
      </c>
      <c r="AD16" s="525">
        <f>'04 - Veículos e Equipamentos'!AA21*('01 - Dados de Entrada'!$C$45+'01 - Dados de Entrada'!$C$49)-SUM(X16:AC16)</f>
        <v>0</v>
      </c>
      <c r="AE16" s="525">
        <f>'04 - Veículos e Equipamentos'!AB21*('01 - Dados de Entrada'!$C$45+'01 - Dados de Entrada'!$C$49)-SUM(Y16:AD16)</f>
        <v>0</v>
      </c>
      <c r="AF16" s="525">
        <f>'04 - Veículos e Equipamentos'!AC21*('01 - Dados de Entrada'!$C$45+'01 - Dados de Entrada'!$C$49)-SUM(Z16:AE16)</f>
        <v>0</v>
      </c>
      <c r="AG16" s="525">
        <f>'04 - Veículos e Equipamentos'!AD21*('01 - Dados de Entrada'!$C$45+'01 - Dados de Entrada'!$C$49)-SUM(AA16:AF16)</f>
        <v>6500000</v>
      </c>
      <c r="AH16" s="525">
        <f>'04 - Veículos e Equipamentos'!AE21*('01 - Dados de Entrada'!$C$45+'01 - Dados de Entrada'!$C$49)-SUM(AB16:AG16)</f>
        <v>0</v>
      </c>
      <c r="AI16" s="525">
        <f>'04 - Veículos e Equipamentos'!AF21*('01 - Dados de Entrada'!$C$45+'01 - Dados de Entrada'!$C$49)-SUM(AC16:AH16)</f>
        <v>0</v>
      </c>
      <c r="AJ16" s="525">
        <f>'04 - Veículos e Equipamentos'!AG21*('01 - Dados de Entrada'!$C$45+'01 - Dados de Entrada'!$C$49)-SUM(AD16:AI16)</f>
        <v>0</v>
      </c>
      <c r="AK16" s="525">
        <f>'04 - Veículos e Equipamentos'!AH21*('01 - Dados de Entrada'!$C$45+'01 - Dados de Entrada'!$C$49)-SUM(AE16:AJ16)</f>
        <v>0</v>
      </c>
      <c r="AL16" s="525">
        <f>'04 - Veículos e Equipamentos'!AI21*('01 - Dados de Entrada'!$C$45+'01 - Dados de Entrada'!$C$49)-SUM(AF16:AK16)</f>
        <v>0</v>
      </c>
      <c r="AM16" s="525">
        <f>'04 - Veículos e Equipamentos'!AJ21*('01 - Dados de Entrada'!$C$45+'01 - Dados de Entrada'!$C$49)-SUM(AG16:AL16)</f>
        <v>0</v>
      </c>
    </row>
    <row r="17" spans="1:39" s="22" customFormat="1" ht="13.15" customHeight="1" x14ac:dyDescent="0.2">
      <c r="A17" s="24" t="s">
        <v>1093</v>
      </c>
      <c r="B17" s="24" t="s">
        <v>1086</v>
      </c>
      <c r="C17" s="166"/>
      <c r="D17" s="525">
        <f t="shared" si="2"/>
        <v>8125000</v>
      </c>
      <c r="E17" s="525">
        <f>('04 - Veículos e Equipamentos'!B19*('01 - Dados de Entrada'!$C$46+'01 - Dados de Entrada'!$C$54))</f>
        <v>1625000</v>
      </c>
      <c r="F17" s="525">
        <f>('04 - Veículos e Equipamentos'!C19*('01 - Dados de Entrada'!$C$46+'01 - Dados de Entrada'!$C$54))-SUM(E17)</f>
        <v>0</v>
      </c>
      <c r="G17" s="525">
        <f>('04 - Veículos e Equipamentos'!D19*('01 - Dados de Entrada'!$C$46+'01 - Dados de Entrada'!$C$54))-SUM(E17:F17)</f>
        <v>0</v>
      </c>
      <c r="H17" s="525">
        <f>('04 - Veículos e Equipamentos'!E19*('01 - Dados de Entrada'!$C$46+'01 - Dados de Entrada'!$C$54))-SUM(E17:G17)</f>
        <v>0</v>
      </c>
      <c r="I17" s="525">
        <f>('04 - Veículos e Equipamentos'!F19*('01 - Dados de Entrada'!$C$46+'01 - Dados de Entrada'!$C$54))-SUM(E17:H17)</f>
        <v>0</v>
      </c>
      <c r="J17" s="525">
        <f>('04 - Veículos e Equipamentos'!G19*('01 - Dados de Entrada'!$C$46+'01 - Dados de Entrada'!$C$54))-SUM(E17:I17)</f>
        <v>0</v>
      </c>
      <c r="K17" s="525">
        <f>('04 - Veículos e Equipamentos'!H19*('01 - Dados de Entrada'!$C$46+'01 - Dados de Entrada'!$C$54))-SUM(E17:J17)</f>
        <v>0</v>
      </c>
      <c r="L17" s="525">
        <f>('04 - Veículos e Equipamentos'!I19*('01 - Dados de Entrada'!$C$46+'01 - Dados de Entrada'!$C$54))-SUM(F17:K17)</f>
        <v>1625000</v>
      </c>
      <c r="M17" s="525">
        <f>('04 - Veículos e Equipamentos'!J19*('01 - Dados de Entrada'!$C$46+'01 - Dados de Entrada'!$C$54))-SUM(G17:L17)</f>
        <v>0</v>
      </c>
      <c r="N17" s="525">
        <f>('04 - Veículos e Equipamentos'!K19*('01 - Dados de Entrada'!$C$46+'01 - Dados de Entrada'!$C$54))-SUM(H17:M17)</f>
        <v>0</v>
      </c>
      <c r="O17" s="525">
        <f>('04 - Veículos e Equipamentos'!L19*('01 - Dados de Entrada'!$C$46+'01 - Dados de Entrada'!$C$54))-SUM(I17:N17)</f>
        <v>0</v>
      </c>
      <c r="P17" s="525">
        <f>('04 - Veículos e Equipamentos'!M19*('01 - Dados de Entrada'!$C$46+'01 - Dados de Entrada'!$C$54))-SUM(J17:O17)</f>
        <v>0</v>
      </c>
      <c r="Q17" s="525">
        <f>('04 - Veículos e Equipamentos'!N19*('01 - Dados de Entrada'!$C$46+'01 - Dados de Entrada'!$C$54))-SUM(K17:P17)</f>
        <v>0</v>
      </c>
      <c r="R17" s="525">
        <f>('04 - Veículos e Equipamentos'!O19*('01 - Dados de Entrada'!$C$46+'01 - Dados de Entrada'!$C$54))-SUM(L17:Q17)</f>
        <v>0</v>
      </c>
      <c r="S17" s="525">
        <f>('04 - Veículos e Equipamentos'!P19*('01 - Dados de Entrada'!$C$46+'01 - Dados de Entrada'!$C$54))-SUM(M17:R17)</f>
        <v>1625000</v>
      </c>
      <c r="T17" s="525">
        <f>('04 - Veículos e Equipamentos'!Q19*('01 - Dados de Entrada'!$C$46+'01 - Dados de Entrada'!$C$54))-SUM(N17:S17)</f>
        <v>0</v>
      </c>
      <c r="U17" s="525">
        <f>('04 - Veículos e Equipamentos'!R19*('01 - Dados de Entrada'!$C$46+'01 - Dados de Entrada'!$C$54))-SUM(O17:T17)</f>
        <v>0</v>
      </c>
      <c r="V17" s="525">
        <f>('04 - Veículos e Equipamentos'!S19*('01 - Dados de Entrada'!$C$46+'01 - Dados de Entrada'!$C$54))-SUM(P17:U17)</f>
        <v>0</v>
      </c>
      <c r="W17" s="525">
        <f>('04 - Veículos e Equipamentos'!T19*('01 - Dados de Entrada'!$C$46+'01 - Dados de Entrada'!$C$54))-SUM(Q17:V17)</f>
        <v>0</v>
      </c>
      <c r="X17" s="525">
        <f>('04 - Veículos e Equipamentos'!U19*('01 - Dados de Entrada'!$C$46+'01 - Dados de Entrada'!$C$54))-SUM(R17:W17)</f>
        <v>0</v>
      </c>
      <c r="Y17" s="525">
        <f>('04 - Veículos e Equipamentos'!V19*('01 - Dados de Entrada'!$C$46+'01 - Dados de Entrada'!$C$54))-SUM(S17:X17)</f>
        <v>0</v>
      </c>
      <c r="Z17" s="525">
        <f>('04 - Veículos e Equipamentos'!W19*('01 - Dados de Entrada'!$C$46+'01 - Dados de Entrada'!$C$54))-SUM(T17:Y17)</f>
        <v>1625000</v>
      </c>
      <c r="AA17" s="525">
        <f>('04 - Veículos e Equipamentos'!X19*('01 - Dados de Entrada'!$C$46+'01 - Dados de Entrada'!$C$54))-SUM(U17:Z17)</f>
        <v>0</v>
      </c>
      <c r="AB17" s="525">
        <f>('04 - Veículos e Equipamentos'!Y19*('01 - Dados de Entrada'!$C$46+'01 - Dados de Entrada'!$C$54))-SUM(V17:AA17)</f>
        <v>0</v>
      </c>
      <c r="AC17" s="525">
        <f>('04 - Veículos e Equipamentos'!Z19*('01 - Dados de Entrada'!$C$46+'01 - Dados de Entrada'!$C$54))-SUM(W17:AB17)</f>
        <v>0</v>
      </c>
      <c r="AD17" s="525">
        <f>('04 - Veículos e Equipamentos'!AA19*('01 - Dados de Entrada'!$C$46+'01 - Dados de Entrada'!$C$54))-SUM(X17:AC17)</f>
        <v>0</v>
      </c>
      <c r="AE17" s="525">
        <f>('04 - Veículos e Equipamentos'!AB19*('01 - Dados de Entrada'!$C$46+'01 - Dados de Entrada'!$C$54))-SUM(Y17:AD17)</f>
        <v>0</v>
      </c>
      <c r="AF17" s="525">
        <f>('04 - Veículos e Equipamentos'!AC19*('01 - Dados de Entrada'!$C$46+'01 - Dados de Entrada'!$C$54))-SUM(Z17:AE17)</f>
        <v>0</v>
      </c>
      <c r="AG17" s="525">
        <f>('04 - Veículos e Equipamentos'!AD19*('01 - Dados de Entrada'!$C$46+'01 - Dados de Entrada'!$C$54))-SUM(AA17:AF17)</f>
        <v>1625000</v>
      </c>
      <c r="AH17" s="525">
        <f>('04 - Veículos e Equipamentos'!AE19*('01 - Dados de Entrada'!$C$46+'01 - Dados de Entrada'!$C$54))-SUM(AB17:AG17)</f>
        <v>0</v>
      </c>
      <c r="AI17" s="525">
        <f>('04 - Veículos e Equipamentos'!AF19*('01 - Dados de Entrada'!$C$46+'01 - Dados de Entrada'!$C$54))-SUM(AC17:AH17)</f>
        <v>0</v>
      </c>
      <c r="AJ17" s="525">
        <f>('04 - Veículos e Equipamentos'!AG19*('01 - Dados de Entrada'!$C$46+'01 - Dados de Entrada'!$C$54))-SUM(AD17:AI17)</f>
        <v>0</v>
      </c>
      <c r="AK17" s="525">
        <f>('04 - Veículos e Equipamentos'!AH19*('01 - Dados de Entrada'!$C$46+'01 - Dados de Entrada'!$C$54))-SUM(AE17:AJ17)</f>
        <v>0</v>
      </c>
      <c r="AL17" s="525">
        <f>('04 - Veículos e Equipamentos'!AI19*('01 - Dados de Entrada'!$C$46+'01 - Dados de Entrada'!$C$54))-SUM(AF17:AK17)</f>
        <v>0</v>
      </c>
      <c r="AM17" s="525">
        <f>('04 - Veículos e Equipamentos'!AJ19*('01 - Dados de Entrada'!$C$46+'01 - Dados de Entrada'!$C$54))-SUM(AG17:AL17)</f>
        <v>0</v>
      </c>
    </row>
    <row r="18" spans="1:39" s="22" customFormat="1" ht="13.15" customHeight="1" x14ac:dyDescent="0.2">
      <c r="A18" s="400" t="s">
        <v>1090</v>
      </c>
      <c r="B18" s="400" t="s">
        <v>1091</v>
      </c>
      <c r="C18" s="166"/>
      <c r="D18" s="525">
        <f t="shared" si="2"/>
        <v>882000</v>
      </c>
      <c r="E18" s="526">
        <f>('04 - Veículos e Equipamentos'!B20+'04 - Veículos e Equipamentos'!B19)*'01 - Dados de Entrada'!$C$51</f>
        <v>162000</v>
      </c>
      <c r="F18" s="526">
        <f>('04 - Veículos e Equipamentos'!C20+'04 - Veículos e Equipamentos'!C19)*'01 - Dados de Entrada'!$C$51-SUM(E18)</f>
        <v>0</v>
      </c>
      <c r="G18" s="526">
        <f>('04 - Veículos e Equipamentos'!D20+'04 - Veículos e Equipamentos'!D19)*'01 - Dados de Entrada'!$C$51-SUM(E18:F18)</f>
        <v>0</v>
      </c>
      <c r="H18" s="526">
        <f>('04 - Veículos e Equipamentos'!E20+'04 - Veículos e Equipamentos'!E19)*'01 - Dados de Entrada'!$C$51-SUM(E18:G18)</f>
        <v>0</v>
      </c>
      <c r="I18" s="526">
        <f>('04 - Veículos e Equipamentos'!F20+'04 - Veículos e Equipamentos'!F19)*'01 - Dados de Entrada'!$C$51-SUM(E18:H18)</f>
        <v>0</v>
      </c>
      <c r="J18" s="526">
        <f>('04 - Veículos e Equipamentos'!G20+'04 - Veículos e Equipamentos'!G19)*'01 - Dados de Entrada'!$C$51-SUM(E18:I18)</f>
        <v>0</v>
      </c>
      <c r="K18" s="526">
        <f>('04 - Veículos e Equipamentos'!H20+'04 - Veículos e Equipamentos'!H19)*'01 - Dados de Entrada'!$C$51-SUM(E18:J18)</f>
        <v>0</v>
      </c>
      <c r="L18" s="526">
        <f>('04 - Veículos e Equipamentos'!I20+'04 - Veículos e Equipamentos'!I19)*'01 - Dados de Entrada'!$C$51-SUM(F18:K18)</f>
        <v>180000</v>
      </c>
      <c r="M18" s="526">
        <f>('04 - Veículos e Equipamentos'!J20+'04 - Veículos e Equipamentos'!J19)*'01 - Dados de Entrada'!$C$51-SUM(G18:L18)</f>
        <v>0</v>
      </c>
      <c r="N18" s="526">
        <f>('04 - Veículos e Equipamentos'!K20+'04 - Veículos e Equipamentos'!K19)*'01 - Dados de Entrada'!$C$51-SUM(H18:M18)</f>
        <v>0</v>
      </c>
      <c r="O18" s="526">
        <f>('04 - Veículos e Equipamentos'!L20+'04 - Veículos e Equipamentos'!L19)*'01 - Dados de Entrada'!$C$51-SUM(I18:N18)</f>
        <v>0</v>
      </c>
      <c r="P18" s="526">
        <f>('04 - Veículos e Equipamentos'!M20+'04 - Veículos e Equipamentos'!M19)*'01 - Dados de Entrada'!$C$51-SUM(J18:O18)</f>
        <v>0</v>
      </c>
      <c r="Q18" s="526">
        <f>('04 - Veículos e Equipamentos'!N20+'04 - Veículos e Equipamentos'!N19)*'01 - Dados de Entrada'!$C$51-SUM(K18:P18)</f>
        <v>0</v>
      </c>
      <c r="R18" s="526">
        <f>('04 - Veículos e Equipamentos'!O20+'04 - Veículos e Equipamentos'!O19)*'01 - Dados de Entrada'!$C$51-SUM(L18:Q18)</f>
        <v>0</v>
      </c>
      <c r="S18" s="526">
        <f>('04 - Veículos e Equipamentos'!P20+'04 - Veículos e Equipamentos'!P19)*'01 - Dados de Entrada'!$C$51-SUM(M18:R18)</f>
        <v>180000</v>
      </c>
      <c r="T18" s="526">
        <f>('04 - Veículos e Equipamentos'!Q20+'04 - Veículos e Equipamentos'!Q19)*'01 - Dados de Entrada'!$C$51-SUM(N18:S18)</f>
        <v>0</v>
      </c>
      <c r="U18" s="526">
        <f>('04 - Veículos e Equipamentos'!R20+'04 - Veículos e Equipamentos'!R19)*'01 - Dados de Entrada'!$C$51-SUM(O18:T18)</f>
        <v>0</v>
      </c>
      <c r="V18" s="526">
        <f>('04 - Veículos e Equipamentos'!S20+'04 - Veículos e Equipamentos'!S19)*'01 - Dados de Entrada'!$C$51-SUM(P18:U18)</f>
        <v>0</v>
      </c>
      <c r="W18" s="526">
        <f>('04 - Veículos e Equipamentos'!T20+'04 - Veículos e Equipamentos'!T19)*'01 - Dados de Entrada'!$C$51-SUM(Q18:V18)</f>
        <v>0</v>
      </c>
      <c r="X18" s="526">
        <f>('04 - Veículos e Equipamentos'!U20+'04 - Veículos e Equipamentos'!U19)*'01 - Dados de Entrada'!$C$51-SUM(R18:W18)</f>
        <v>0</v>
      </c>
      <c r="Y18" s="526">
        <f>('04 - Veículos e Equipamentos'!V20+'04 - Veículos e Equipamentos'!V19)*'01 - Dados de Entrada'!$C$51-SUM(S18:X18)</f>
        <v>0</v>
      </c>
      <c r="Z18" s="526">
        <f>('04 - Veículos e Equipamentos'!W20+'04 - Veículos e Equipamentos'!W19)*'01 - Dados de Entrada'!$C$51-SUM(T18:Y18)</f>
        <v>180000</v>
      </c>
      <c r="AA18" s="526">
        <f>('04 - Veículos e Equipamentos'!X20+'04 - Veículos e Equipamentos'!X19)*'01 - Dados de Entrada'!$C$51-SUM(U18:Z18)</f>
        <v>0</v>
      </c>
      <c r="AB18" s="526">
        <f>('04 - Veículos e Equipamentos'!Y20+'04 - Veículos e Equipamentos'!Y19)*'01 - Dados de Entrada'!$C$51-SUM(V18:AA18)</f>
        <v>0</v>
      </c>
      <c r="AC18" s="526">
        <f>('04 - Veículos e Equipamentos'!Z20+'04 - Veículos e Equipamentos'!Z19)*'01 - Dados de Entrada'!$C$51-SUM(W18:AB18)</f>
        <v>0</v>
      </c>
      <c r="AD18" s="526">
        <f>('04 - Veículos e Equipamentos'!AA20+'04 - Veículos e Equipamentos'!AA19)*'01 - Dados de Entrada'!$C$51-SUM(X18:AC18)</f>
        <v>0</v>
      </c>
      <c r="AE18" s="526">
        <f>('04 - Veículos e Equipamentos'!AB20+'04 - Veículos e Equipamentos'!AB19)*'01 - Dados de Entrada'!$C$51-SUM(Y18:AD18)</f>
        <v>0</v>
      </c>
      <c r="AF18" s="526">
        <f>('04 - Veículos e Equipamentos'!AC20+'04 - Veículos e Equipamentos'!AC19)*'01 - Dados de Entrada'!$C$51-SUM(Z18:AE18)</f>
        <v>0</v>
      </c>
      <c r="AG18" s="526">
        <f>('04 - Veículos e Equipamentos'!AD20+'04 - Veículos e Equipamentos'!AD19)*'01 - Dados de Entrada'!$C$51-SUM(AA18:AF18)</f>
        <v>180000</v>
      </c>
      <c r="AH18" s="526">
        <f>('04 - Veículos e Equipamentos'!AE20+'04 - Veículos e Equipamentos'!AE19)*'01 - Dados de Entrada'!$C$51-SUM(AB18:AG18)</f>
        <v>0</v>
      </c>
      <c r="AI18" s="526">
        <f>('04 - Veículos e Equipamentos'!AF20+'04 - Veículos e Equipamentos'!AF19)*'01 - Dados de Entrada'!$C$51-SUM(AC18:AH18)</f>
        <v>0</v>
      </c>
      <c r="AJ18" s="526">
        <f>('04 - Veículos e Equipamentos'!AG20+'04 - Veículos e Equipamentos'!AG19)*'01 - Dados de Entrada'!$C$51-SUM(AD18:AI18)</f>
        <v>0</v>
      </c>
      <c r="AK18" s="526">
        <f>('04 - Veículos e Equipamentos'!AH20+'04 - Veículos e Equipamentos'!AH19)*'01 - Dados de Entrada'!$C$51-SUM(AE18:AJ18)</f>
        <v>0</v>
      </c>
      <c r="AL18" s="526">
        <f>('04 - Veículos e Equipamentos'!AI20+'04 - Veículos e Equipamentos'!AI19)*'01 - Dados de Entrada'!$C$51-SUM(AF18:AK18)</f>
        <v>0</v>
      </c>
      <c r="AM18" s="526">
        <f>('04 - Veículos e Equipamentos'!AJ20+'04 - Veículos e Equipamentos'!AJ19)*'01 - Dados de Entrada'!$C$51-SUM(AG18:AL18)</f>
        <v>0</v>
      </c>
    </row>
    <row r="19" spans="1:39" s="22" customFormat="1" ht="13.15" customHeight="1" x14ac:dyDescent="0.2">
      <c r="A19" s="24" t="s">
        <v>793</v>
      </c>
      <c r="B19" s="24" t="s">
        <v>1086</v>
      </c>
      <c r="C19" s="166"/>
      <c r="D19" s="525">
        <f t="shared" si="2"/>
        <v>907335</v>
      </c>
      <c r="E19" s="525">
        <f>'01 - Dados de Entrada'!$C$55*'04 - Veículos e Equipamentos'!B22</f>
        <v>100815</v>
      </c>
      <c r="F19" s="525">
        <f>'01 - Dados de Entrada'!$C$55*'04 - Veículos e Equipamentos'!C22-SUM(E19)</f>
        <v>0</v>
      </c>
      <c r="G19" s="525">
        <f>'01 - Dados de Entrada'!$C$55*'04 - Veículos e Equipamentos'!D22-SUM(E19:F19)</f>
        <v>0</v>
      </c>
      <c r="H19" s="525">
        <f>'01 - Dados de Entrada'!$C$55*'04 - Veículos e Equipamentos'!E22-SUM(E19:G19)</f>
        <v>0</v>
      </c>
      <c r="I19" s="525">
        <f>'01 - Dados de Entrada'!$C$55*'04 - Veículos e Equipamentos'!F22-SUM(F19:H19)</f>
        <v>100815</v>
      </c>
      <c r="J19" s="525">
        <f>'01 - Dados de Entrada'!$C$55*'04 - Veículos e Equipamentos'!G22-SUM(G19:I19)</f>
        <v>0</v>
      </c>
      <c r="K19" s="525">
        <f>'01 - Dados de Entrada'!$C$55*'04 - Veículos e Equipamentos'!H22-SUM(H19:J19)</f>
        <v>0</v>
      </c>
      <c r="L19" s="525">
        <f>'01 - Dados de Entrada'!$C$55*'04 - Veículos e Equipamentos'!I22-SUM(I19:K19)</f>
        <v>0</v>
      </c>
      <c r="M19" s="525">
        <f>'01 - Dados de Entrada'!$C$55*'04 - Veículos e Equipamentos'!J22-SUM(J19:L19)</f>
        <v>100815</v>
      </c>
      <c r="N19" s="525">
        <f>'01 - Dados de Entrada'!$C$55*'04 - Veículos e Equipamentos'!K22-SUM(K19:M19)</f>
        <v>0</v>
      </c>
      <c r="O19" s="525">
        <f>'01 - Dados de Entrada'!$C$55*'04 - Veículos e Equipamentos'!L22-SUM(L19:N19)</f>
        <v>0</v>
      </c>
      <c r="P19" s="525">
        <f>'01 - Dados de Entrada'!$C$55*'04 - Veículos e Equipamentos'!M22-SUM(M19:O19)</f>
        <v>0</v>
      </c>
      <c r="Q19" s="525">
        <f>'01 - Dados de Entrada'!$C$55*'04 - Veículos e Equipamentos'!N22-SUM(N19:P19)</f>
        <v>100815</v>
      </c>
      <c r="R19" s="525">
        <f>'01 - Dados de Entrada'!$C$55*'04 - Veículos e Equipamentos'!O22-SUM(O19:Q19)</f>
        <v>0</v>
      </c>
      <c r="S19" s="525">
        <f>'01 - Dados de Entrada'!$C$55*'04 - Veículos e Equipamentos'!P22-SUM(P19:R19)</f>
        <v>0</v>
      </c>
      <c r="T19" s="525">
        <f>'01 - Dados de Entrada'!$C$55*'04 - Veículos e Equipamentos'!Q22-SUM(Q19:S19)</f>
        <v>0</v>
      </c>
      <c r="U19" s="525">
        <f>'01 - Dados de Entrada'!$C$55*'04 - Veículos e Equipamentos'!R22-SUM(R19:T19)</f>
        <v>100815</v>
      </c>
      <c r="V19" s="525">
        <f>'01 - Dados de Entrada'!$C$55*'04 - Veículos e Equipamentos'!S22-SUM(S19:U19)</f>
        <v>0</v>
      </c>
      <c r="W19" s="525">
        <f>'01 - Dados de Entrada'!$C$55*'04 - Veículos e Equipamentos'!T22-SUM(T19:V19)</f>
        <v>0</v>
      </c>
      <c r="X19" s="525">
        <f>'01 - Dados de Entrada'!$C$55*'04 - Veículos e Equipamentos'!U22-SUM(U19:W19)</f>
        <v>0</v>
      </c>
      <c r="Y19" s="525">
        <f>'01 - Dados de Entrada'!$C$55*'04 - Veículos e Equipamentos'!V22-SUM(V19:X19)</f>
        <v>100815</v>
      </c>
      <c r="Z19" s="525">
        <f>'01 - Dados de Entrada'!$C$55*'04 - Veículos e Equipamentos'!W22-SUM(W19:Y19)</f>
        <v>0</v>
      </c>
      <c r="AA19" s="525">
        <f>'01 - Dados de Entrada'!$C$55*'04 - Veículos e Equipamentos'!X22-SUM(X19:Z19)</f>
        <v>0</v>
      </c>
      <c r="AB19" s="525">
        <f>'01 - Dados de Entrada'!$C$55*'04 - Veículos e Equipamentos'!Y22-SUM(Y19:AA19)</f>
        <v>0</v>
      </c>
      <c r="AC19" s="525">
        <f>'01 - Dados de Entrada'!$C$55*'04 - Veículos e Equipamentos'!Z22-SUM(Z19:AB19)</f>
        <v>100815</v>
      </c>
      <c r="AD19" s="525">
        <f>'01 - Dados de Entrada'!$C$55*'04 - Veículos e Equipamentos'!AA22-SUM(AA19:AC19)</f>
        <v>0</v>
      </c>
      <c r="AE19" s="525">
        <f>'01 - Dados de Entrada'!$C$55*'04 - Veículos e Equipamentos'!AB22-SUM(AB19:AD19)</f>
        <v>0</v>
      </c>
      <c r="AF19" s="525">
        <f>'01 - Dados de Entrada'!$C$55*'04 - Veículos e Equipamentos'!AC22-SUM(AC19:AE19)</f>
        <v>0</v>
      </c>
      <c r="AG19" s="525">
        <f>'01 - Dados de Entrada'!$C$55*'04 - Veículos e Equipamentos'!AD22-SUM(AD19:AF19)</f>
        <v>100815</v>
      </c>
      <c r="AH19" s="525">
        <f>'01 - Dados de Entrada'!$C$55*'04 - Veículos e Equipamentos'!AE22-SUM(AE19:AG19)</f>
        <v>0</v>
      </c>
      <c r="AI19" s="525">
        <f>'01 - Dados de Entrada'!$C$55*'04 - Veículos e Equipamentos'!AF22-SUM(AF19:AH19)</f>
        <v>0</v>
      </c>
      <c r="AJ19" s="525">
        <f>'01 - Dados de Entrada'!$C$55*'04 - Veículos e Equipamentos'!AG22-SUM(AG19:AI19)</f>
        <v>0</v>
      </c>
      <c r="AK19" s="525">
        <f>'01 - Dados de Entrada'!$C$55*'04 - Veículos e Equipamentos'!AH22-SUM(AH19:AJ19)</f>
        <v>100815</v>
      </c>
      <c r="AL19" s="525">
        <f>'01 - Dados de Entrada'!$C$55*'04 - Veículos e Equipamentos'!AI22-SUM(AI19:AK19)</f>
        <v>0</v>
      </c>
      <c r="AM19" s="525">
        <f>'01 - Dados de Entrada'!$C$55*'04 - Veículos e Equipamentos'!AJ22-SUM(AJ19:AL19)</f>
        <v>0</v>
      </c>
    </row>
    <row r="20" spans="1:39" s="22" customFormat="1" ht="13.15" customHeight="1" x14ac:dyDescent="0.2">
      <c r="A20" s="24" t="s">
        <v>794</v>
      </c>
      <c r="B20" s="24" t="s">
        <v>1086</v>
      </c>
      <c r="C20" s="166"/>
      <c r="D20" s="525">
        <f t="shared" si="2"/>
        <v>154071</v>
      </c>
      <c r="E20" s="525">
        <f>'01 - Dados de Entrada'!$C$57*'04 - Veículos e Equipamentos'!B23</f>
        <v>17119</v>
      </c>
      <c r="F20" s="525">
        <f>'01 - Dados de Entrada'!$C$57*'04 - Veículos e Equipamentos'!C23-SUM(E20)</f>
        <v>0</v>
      </c>
      <c r="G20" s="525">
        <f>'01 - Dados de Entrada'!$C$57*'04 - Veículos e Equipamentos'!D23-SUM(E20:F20)</f>
        <v>0</v>
      </c>
      <c r="H20" s="525">
        <f>'01 - Dados de Entrada'!$C$57*'04 - Veículos e Equipamentos'!E23-SUM(E20:G20)</f>
        <v>0</v>
      </c>
      <c r="I20" s="525">
        <f>'01 - Dados de Entrada'!$C$57*'04 - Veículos e Equipamentos'!F23-SUM(F20:H20)</f>
        <v>17119</v>
      </c>
      <c r="J20" s="525">
        <f>'01 - Dados de Entrada'!$C$57*'04 - Veículos e Equipamentos'!G23-SUM(G20:I20)</f>
        <v>0</v>
      </c>
      <c r="K20" s="525">
        <f>'01 - Dados de Entrada'!$C$57*'04 - Veículos e Equipamentos'!H23-SUM(H20:J20)</f>
        <v>0</v>
      </c>
      <c r="L20" s="525">
        <f>'01 - Dados de Entrada'!$C$57*'04 - Veículos e Equipamentos'!I23-SUM(I20:K20)</f>
        <v>0</v>
      </c>
      <c r="M20" s="525">
        <f>'01 - Dados de Entrada'!$C$57*'04 - Veículos e Equipamentos'!J23-SUM(J20:L20)</f>
        <v>17119</v>
      </c>
      <c r="N20" s="525">
        <f>'01 - Dados de Entrada'!$C$57*'04 - Veículos e Equipamentos'!K23-SUM(K20:M20)</f>
        <v>0</v>
      </c>
      <c r="O20" s="525">
        <f>'01 - Dados de Entrada'!$C$57*'04 - Veículos e Equipamentos'!L23-SUM(L20:N20)</f>
        <v>0</v>
      </c>
      <c r="P20" s="525">
        <f>'01 - Dados de Entrada'!$C$57*'04 - Veículos e Equipamentos'!M23-SUM(M20:O20)</f>
        <v>0</v>
      </c>
      <c r="Q20" s="525">
        <f>'01 - Dados de Entrada'!$C$57*'04 - Veículos e Equipamentos'!N23-SUM(N20:P20)</f>
        <v>17119</v>
      </c>
      <c r="R20" s="525">
        <f>'01 - Dados de Entrada'!$C$57*'04 - Veículos e Equipamentos'!O23-SUM(O20:Q20)</f>
        <v>0</v>
      </c>
      <c r="S20" s="525">
        <f>'01 - Dados de Entrada'!$C$57*'04 - Veículos e Equipamentos'!P23-SUM(P20:R20)</f>
        <v>0</v>
      </c>
      <c r="T20" s="525">
        <f>'01 - Dados de Entrada'!$C$57*'04 - Veículos e Equipamentos'!Q23-SUM(Q20:S20)</f>
        <v>0</v>
      </c>
      <c r="U20" s="525">
        <f>'01 - Dados de Entrada'!$C$57*'04 - Veículos e Equipamentos'!R23-SUM(R20:T20)</f>
        <v>17119</v>
      </c>
      <c r="V20" s="525">
        <f>'01 - Dados de Entrada'!$C$57*'04 - Veículos e Equipamentos'!S23-SUM(S20:U20)</f>
        <v>0</v>
      </c>
      <c r="W20" s="525">
        <f>'01 - Dados de Entrada'!$C$57*'04 - Veículos e Equipamentos'!T23-SUM(T20:V20)</f>
        <v>0</v>
      </c>
      <c r="X20" s="525">
        <f>'01 - Dados de Entrada'!$C$57*'04 - Veículos e Equipamentos'!U23-SUM(U20:W20)</f>
        <v>0</v>
      </c>
      <c r="Y20" s="525">
        <f>'01 - Dados de Entrada'!$C$57*'04 - Veículos e Equipamentos'!V23-SUM(V20:X20)</f>
        <v>17119</v>
      </c>
      <c r="Z20" s="525">
        <f>'01 - Dados de Entrada'!$C$57*'04 - Veículos e Equipamentos'!W23-SUM(W20:Y20)</f>
        <v>0</v>
      </c>
      <c r="AA20" s="525">
        <f>'01 - Dados de Entrada'!$C$57*'04 - Veículos e Equipamentos'!X23-SUM(X20:Z20)</f>
        <v>0</v>
      </c>
      <c r="AB20" s="525">
        <f>'01 - Dados de Entrada'!$C$57*'04 - Veículos e Equipamentos'!Y23-SUM(Y20:AA20)</f>
        <v>0</v>
      </c>
      <c r="AC20" s="525">
        <f>'01 - Dados de Entrada'!$C$57*'04 - Veículos e Equipamentos'!Z23-SUM(Z20:AB20)</f>
        <v>17119</v>
      </c>
      <c r="AD20" s="525">
        <f>'01 - Dados de Entrada'!$C$57*'04 - Veículos e Equipamentos'!AA23-SUM(AA20:AC20)</f>
        <v>0</v>
      </c>
      <c r="AE20" s="525">
        <f>'01 - Dados de Entrada'!$C$57*'04 - Veículos e Equipamentos'!AB23-SUM(AB20:AD20)</f>
        <v>0</v>
      </c>
      <c r="AF20" s="525">
        <f>'01 - Dados de Entrada'!$C$57*'04 - Veículos e Equipamentos'!AC23-SUM(AC20:AE20)</f>
        <v>0</v>
      </c>
      <c r="AG20" s="525">
        <f>'01 - Dados de Entrada'!$C$57*'04 - Veículos e Equipamentos'!AD23-SUM(AD20:AF20)</f>
        <v>17119</v>
      </c>
      <c r="AH20" s="525">
        <f>'01 - Dados de Entrada'!$C$57*'04 - Veículos e Equipamentos'!AE23-SUM(AE20:AG20)</f>
        <v>0</v>
      </c>
      <c r="AI20" s="525">
        <f>'01 - Dados de Entrada'!$C$57*'04 - Veículos e Equipamentos'!AF23-SUM(AF20:AH20)</f>
        <v>0</v>
      </c>
      <c r="AJ20" s="525">
        <f>'01 - Dados de Entrada'!$C$57*'04 - Veículos e Equipamentos'!AG23-SUM(AG20:AI20)</f>
        <v>0</v>
      </c>
      <c r="AK20" s="525">
        <f>'01 - Dados de Entrada'!$C$57*'04 - Veículos e Equipamentos'!AH23-SUM(AH20:AJ20)</f>
        <v>17119</v>
      </c>
      <c r="AL20" s="525">
        <f>'01 - Dados de Entrada'!$C$57*'04 - Veículos e Equipamentos'!AI23-SUM(AI20:AK20)</f>
        <v>0</v>
      </c>
      <c r="AM20" s="525">
        <f>'01 - Dados de Entrada'!$C$57*'04 - Veículos e Equipamentos'!AJ23-SUM(AJ20:AL20)</f>
        <v>0</v>
      </c>
    </row>
    <row r="21" spans="1:39" s="22" customFormat="1" ht="13.15" customHeight="1" x14ac:dyDescent="0.2">
      <c r="A21" s="400" t="s">
        <v>1092</v>
      </c>
      <c r="B21" s="400" t="s">
        <v>1091</v>
      </c>
      <c r="C21" s="401"/>
      <c r="D21" s="525">
        <f t="shared" si="2"/>
        <v>5126202.666666667</v>
      </c>
      <c r="E21" s="525">
        <f>'04 - Veículos e Equipamentos'!B34*'01 - Dados de Entrada'!$C$58</f>
        <v>256310.13333333333</v>
      </c>
      <c r="F21" s="525">
        <f>'04 - Veículos e Equipamentos'!C34*'01 - Dados de Entrada'!$C$58-SUM(E21)</f>
        <v>0</v>
      </c>
      <c r="G21" s="525">
        <f>'04 - Veículos e Equipamentos'!D34*'01 - Dados de Entrada'!$C$58-SUM(E21:F21)</f>
        <v>256310.13333333333</v>
      </c>
      <c r="H21" s="525">
        <f>'04 - Veículos e Equipamentos'!E34*'01 - Dados de Entrada'!$C$58-SUM(E21:G21)</f>
        <v>0</v>
      </c>
      <c r="I21" s="525">
        <f>'04 - Veículos e Equipamentos'!F34*'01 - Dados de Entrada'!$C$58-SUM(E21:H21)</f>
        <v>219694.39999999997</v>
      </c>
      <c r="J21" s="525">
        <f>'04 - Veículos e Equipamentos'!G34*'01 - Dados de Entrada'!$C$58-SUM(F21:I21)</f>
        <v>256310.1333333333</v>
      </c>
      <c r="K21" s="525">
        <f>'04 - Veículos e Equipamentos'!H34*'01 - Dados de Entrada'!$C$58-SUM(G21:J21)</f>
        <v>0</v>
      </c>
      <c r="L21" s="525">
        <f>'04 - Veículos e Equipamentos'!I34*'01 - Dados de Entrada'!$C$58-SUM(H21:K21)</f>
        <v>256310.13333333336</v>
      </c>
      <c r="M21" s="525">
        <f>'04 - Veículos e Equipamentos'!J34*'01 - Dados de Entrada'!$C$58-SUM(I21:L21)</f>
        <v>0</v>
      </c>
      <c r="N21" s="525">
        <f>'04 - Veículos e Equipamentos'!K34*'01 - Dados de Entrada'!$C$58-SUM(J21:M21)</f>
        <v>219694.39999999997</v>
      </c>
      <c r="O21" s="525">
        <f>'04 - Veículos e Equipamentos'!L34*'01 - Dados de Entrada'!$C$58-SUM(K21:N21)</f>
        <v>256310.1333333333</v>
      </c>
      <c r="P21" s="525">
        <f>'04 - Veículos e Equipamentos'!M34*'01 - Dados de Entrada'!$C$58-SUM(L21:O21)</f>
        <v>0</v>
      </c>
      <c r="Q21" s="525">
        <f>'04 - Veículos e Equipamentos'!N34*'01 - Dados de Entrada'!$C$58-SUM(M21:P21)</f>
        <v>256310.13333333336</v>
      </c>
      <c r="R21" s="525">
        <f>'04 - Veículos e Equipamentos'!O34*'01 - Dados de Entrada'!$C$58-SUM(N21:Q21)</f>
        <v>0</v>
      </c>
      <c r="S21" s="525">
        <f>'04 - Veículos e Equipamentos'!P34*'01 - Dados de Entrada'!$C$58-SUM(O21:R21)</f>
        <v>219694.39999999997</v>
      </c>
      <c r="T21" s="525">
        <f>'04 - Veículos e Equipamentos'!Q34*'01 - Dados de Entrada'!$C$58-SUM(P21:S21)</f>
        <v>256310.1333333333</v>
      </c>
      <c r="U21" s="525">
        <f>'04 - Veículos e Equipamentos'!R34*'01 - Dados de Entrada'!$C$58-SUM(Q21:T21)</f>
        <v>0</v>
      </c>
      <c r="V21" s="525">
        <f>'04 - Veículos e Equipamentos'!S34*'01 - Dados de Entrada'!$C$58-SUM(R21:U21)</f>
        <v>256310.13333333336</v>
      </c>
      <c r="W21" s="525">
        <f>'04 - Veículos e Equipamentos'!T34*'01 - Dados de Entrada'!$C$58-SUM(S21:V21)</f>
        <v>0</v>
      </c>
      <c r="X21" s="525">
        <f>'04 - Veículos e Equipamentos'!U34*'01 - Dados de Entrada'!$C$58-SUM(T21:W21)</f>
        <v>219694.39999999997</v>
      </c>
      <c r="Y21" s="525">
        <f>'04 - Veículos e Equipamentos'!V34*'01 - Dados de Entrada'!$C$58-SUM(U21:X21)</f>
        <v>256310.1333333333</v>
      </c>
      <c r="Z21" s="525">
        <f>'04 - Veículos e Equipamentos'!W34*'01 - Dados de Entrada'!$C$58-SUM(V21:Y21)</f>
        <v>0</v>
      </c>
      <c r="AA21" s="525">
        <f>'04 - Veículos e Equipamentos'!X34*'01 - Dados de Entrada'!$C$58-SUM(W21:Z21)</f>
        <v>256310.13333333336</v>
      </c>
      <c r="AB21" s="525">
        <f>'04 - Veículos e Equipamentos'!Y34*'01 - Dados de Entrada'!$C$58-SUM(X21:AA21)</f>
        <v>0</v>
      </c>
      <c r="AC21" s="525">
        <f>'04 - Veículos e Equipamentos'!Z34*'01 - Dados de Entrada'!$C$58-SUM(Y21:AB21)</f>
        <v>219694.39999999997</v>
      </c>
      <c r="AD21" s="525">
        <f>'04 - Veículos e Equipamentos'!AA34*'01 - Dados de Entrada'!$C$58-SUM(Z21:AC21)</f>
        <v>256310.1333333333</v>
      </c>
      <c r="AE21" s="525">
        <f>'04 - Veículos e Equipamentos'!AB34*'01 - Dados de Entrada'!$C$58-SUM(AA21:AD21)</f>
        <v>0</v>
      </c>
      <c r="AF21" s="525">
        <f>'04 - Veículos e Equipamentos'!AC34*'01 - Dados de Entrada'!$C$58-SUM(AB21:AE21)</f>
        <v>256310.13333333336</v>
      </c>
      <c r="AG21" s="525">
        <f>'04 - Veículos e Equipamentos'!AD34*'01 - Dados de Entrada'!$C$58-SUM(AC21:AF21)</f>
        <v>0</v>
      </c>
      <c r="AH21" s="525">
        <f>'04 - Veículos e Equipamentos'!AE34*'01 - Dados de Entrada'!$C$58-SUM(AD21:AG21)</f>
        <v>219694.39999999997</v>
      </c>
      <c r="AI21" s="525">
        <f>'04 - Veículos e Equipamentos'!AF34*'01 - Dados de Entrada'!$C$58-SUM(AE21:AH21)</f>
        <v>256310.1333333333</v>
      </c>
      <c r="AJ21" s="525">
        <f>'04 - Veículos e Equipamentos'!AG34*'01 - Dados de Entrada'!$C$58-SUM(AF21:AI21)</f>
        <v>0</v>
      </c>
      <c r="AK21" s="525">
        <f>'04 - Veículos e Equipamentos'!AH34*'01 - Dados de Entrada'!$C$58-SUM(AG21:AJ21)</f>
        <v>256310.13333333336</v>
      </c>
      <c r="AL21" s="525">
        <f>'04 - Veículos e Equipamentos'!AI34*'01 - Dados de Entrada'!$C$58-SUM(AH21:AK21)</f>
        <v>0</v>
      </c>
      <c r="AM21" s="525">
        <f>'04 - Veículos e Equipamentos'!AJ34*'01 - Dados de Entrada'!$C$58-SUM(AI21:AL21)</f>
        <v>219694.39999999997</v>
      </c>
    </row>
    <row r="22" spans="1:39" ht="13.15" customHeight="1" x14ac:dyDescent="0.2">
      <c r="A22" s="198" t="s">
        <v>1094</v>
      </c>
      <c r="B22" s="198"/>
      <c r="C22" s="512" t="s">
        <v>1084</v>
      </c>
      <c r="D22" s="524">
        <f xml:space="preserve"> SUM( $E22:$AM22 )</f>
        <v>5551169.3626666646</v>
      </c>
      <c r="E22" s="524">
        <f t="shared" ref="E22:AM22" si="27">SUM(E23:E27)</f>
        <v>1047933.4766666667</v>
      </c>
      <c r="F22" s="524">
        <f t="shared" si="27"/>
        <v>87962.963333333333</v>
      </c>
      <c r="G22" s="524">
        <f t="shared" si="27"/>
        <v>87962.963333333333</v>
      </c>
      <c r="H22" s="524">
        <f t="shared" si="27"/>
        <v>0</v>
      </c>
      <c r="I22" s="524">
        <f t="shared" si="27"/>
        <v>87962.963333333333</v>
      </c>
      <c r="J22" s="524">
        <f t="shared" si="27"/>
        <v>29292.586666666666</v>
      </c>
      <c r="K22" s="524">
        <f t="shared" si="27"/>
        <v>87962.963333333333</v>
      </c>
      <c r="L22" s="524">
        <f t="shared" si="27"/>
        <v>87962.963333333333</v>
      </c>
      <c r="M22" s="524">
        <f t="shared" si="27"/>
        <v>0</v>
      </c>
      <c r="N22" s="524">
        <f t="shared" si="27"/>
        <v>87962.963333333333</v>
      </c>
      <c r="O22" s="524">
        <f t="shared" si="27"/>
        <v>856045.29866666673</v>
      </c>
      <c r="P22" s="524">
        <f t="shared" si="27"/>
        <v>87962.963333333333</v>
      </c>
      <c r="Q22" s="524">
        <f t="shared" si="27"/>
        <v>87962.963333333333</v>
      </c>
      <c r="R22" s="524">
        <f t="shared" si="27"/>
        <v>0</v>
      </c>
      <c r="S22" s="524">
        <f t="shared" si="27"/>
        <v>87962.963333333333</v>
      </c>
      <c r="T22" s="524">
        <f t="shared" si="27"/>
        <v>29292.586666666666</v>
      </c>
      <c r="U22" s="524">
        <f t="shared" si="27"/>
        <v>87962.963333333333</v>
      </c>
      <c r="V22" s="524">
        <f t="shared" si="27"/>
        <v>87962.963333333333</v>
      </c>
      <c r="W22" s="524">
        <f t="shared" si="27"/>
        <v>0</v>
      </c>
      <c r="X22" s="524">
        <f t="shared" si="27"/>
        <v>87962.963333333333</v>
      </c>
      <c r="Y22" s="524">
        <f t="shared" si="27"/>
        <v>856045.29866666673</v>
      </c>
      <c r="Z22" s="524">
        <f t="shared" si="27"/>
        <v>87962.963333333333</v>
      </c>
      <c r="AA22" s="524">
        <f t="shared" si="27"/>
        <v>87962.963333333333</v>
      </c>
      <c r="AB22" s="524">
        <f t="shared" si="27"/>
        <v>0</v>
      </c>
      <c r="AC22" s="524">
        <f t="shared" si="27"/>
        <v>87962.963333333333</v>
      </c>
      <c r="AD22" s="524">
        <f t="shared" si="27"/>
        <v>29292.586666666666</v>
      </c>
      <c r="AE22" s="524">
        <f t="shared" si="27"/>
        <v>87962.963333333333</v>
      </c>
      <c r="AF22" s="524">
        <f t="shared" si="27"/>
        <v>87962.963333333333</v>
      </c>
      <c r="AG22" s="524">
        <f t="shared" si="27"/>
        <v>0</v>
      </c>
      <c r="AH22" s="524">
        <f t="shared" si="27"/>
        <v>87962.963333333333</v>
      </c>
      <c r="AI22" s="524">
        <f t="shared" si="27"/>
        <v>856045.29866666673</v>
      </c>
      <c r="AJ22" s="524">
        <f t="shared" si="27"/>
        <v>87962.963333333333</v>
      </c>
      <c r="AK22" s="524">
        <f t="shared" si="27"/>
        <v>87962.963333333333</v>
      </c>
      <c r="AL22" s="524">
        <f t="shared" si="27"/>
        <v>0</v>
      </c>
      <c r="AM22" s="524">
        <f t="shared" si="27"/>
        <v>87962.963333333333</v>
      </c>
    </row>
    <row r="23" spans="1:39" s="22" customFormat="1" ht="13.15" customHeight="1" x14ac:dyDescent="0.2">
      <c r="A23" s="36" t="s">
        <v>129</v>
      </c>
      <c r="B23" s="36" t="s">
        <v>1095</v>
      </c>
      <c r="C23" s="401"/>
      <c r="D23" s="525">
        <f t="shared" si="2"/>
        <v>3262099.0260000005</v>
      </c>
      <c r="E23" s="529">
        <f>('01 - Dados de Entrada'!$C$62*'01 - Dados de Entrada'!C332)</f>
        <v>959440.89</v>
      </c>
      <c r="F23" s="529">
        <v>0</v>
      </c>
      <c r="G23" s="529">
        <v>0</v>
      </c>
      <c r="H23" s="529">
        <v>0</v>
      </c>
      <c r="I23" s="529">
        <v>0</v>
      </c>
      <c r="J23" s="529">
        <v>0</v>
      </c>
      <c r="K23" s="529">
        <v>0</v>
      </c>
      <c r="L23" s="529">
        <v>0</v>
      </c>
      <c r="M23" s="529">
        <v>0</v>
      </c>
      <c r="N23" s="529">
        <v>0</v>
      </c>
      <c r="O23" s="529">
        <f>('01 - Dados de Entrada'!$C$62)*20%*('01 - Dados de Entrada'!$C$332+'01 - Dados de Entrada'!$C$333)</f>
        <v>767552.71200000006</v>
      </c>
      <c r="P23" s="529">
        <v>0</v>
      </c>
      <c r="Q23" s="529">
        <v>0</v>
      </c>
      <c r="R23" s="529">
        <v>0</v>
      </c>
      <c r="S23" s="529">
        <v>0</v>
      </c>
      <c r="T23" s="529">
        <v>0</v>
      </c>
      <c r="U23" s="529">
        <v>0</v>
      </c>
      <c r="V23" s="529">
        <v>0</v>
      </c>
      <c r="W23" s="529">
        <v>0</v>
      </c>
      <c r="X23" s="529">
        <v>0</v>
      </c>
      <c r="Y23" s="529">
        <f>('01 - Dados de Entrada'!$C$62)*20%*('01 - Dados de Entrada'!$C$332+'01 - Dados de Entrada'!$C$333)</f>
        <v>767552.71200000006</v>
      </c>
      <c r="Z23" s="529">
        <v>0</v>
      </c>
      <c r="AA23" s="529">
        <v>0</v>
      </c>
      <c r="AB23" s="529">
        <v>0</v>
      </c>
      <c r="AC23" s="529">
        <v>0</v>
      </c>
      <c r="AD23" s="529">
        <v>0</v>
      </c>
      <c r="AE23" s="529">
        <v>0</v>
      </c>
      <c r="AF23" s="529">
        <v>0</v>
      </c>
      <c r="AG23" s="529">
        <v>0</v>
      </c>
      <c r="AH23" s="529">
        <v>0</v>
      </c>
      <c r="AI23" s="529">
        <f>('01 - Dados de Entrada'!$C$62)*20%*('01 - Dados de Entrada'!$C$332+'01 - Dados de Entrada'!$C$333)</f>
        <v>767552.71200000006</v>
      </c>
      <c r="AJ23" s="529">
        <v>0</v>
      </c>
      <c r="AK23" s="529">
        <v>0</v>
      </c>
      <c r="AL23" s="529">
        <v>0</v>
      </c>
      <c r="AM23" s="529">
        <v>0</v>
      </c>
    </row>
    <row r="24" spans="1:39" s="22" customFormat="1" ht="13.15" customHeight="1" x14ac:dyDescent="0.2">
      <c r="A24" s="36" t="s">
        <v>808</v>
      </c>
      <c r="B24" s="36" t="s">
        <v>1091</v>
      </c>
      <c r="C24" s="166"/>
      <c r="D24" s="525">
        <f t="shared" si="2"/>
        <v>205048.10666666666</v>
      </c>
      <c r="E24" s="525">
        <f>'04 - Veículos e Equipamentos'!B35*'01 - Dados de Entrada'!$C$58</f>
        <v>29292.586666666666</v>
      </c>
      <c r="F24" s="525">
        <f>'04 - Veículos e Equipamentos'!B35*'01 - Dados de Entrada'!$C$58-SUM(E24)</f>
        <v>0</v>
      </c>
      <c r="G24" s="525">
        <f>'04 - Veículos e Equipamentos'!C35*'01 - Dados de Entrada'!$C$58-SUM(E24:F24)</f>
        <v>0</v>
      </c>
      <c r="H24" s="525">
        <f>'04 - Veículos e Equipamentos'!D35*'01 - Dados de Entrada'!$C$58-SUM(E24:G24)</f>
        <v>0</v>
      </c>
      <c r="I24" s="525">
        <f>'04 - Veículos e Equipamentos'!E35*'01 - Dados de Entrada'!$C$58-SUM(E24:H24)</f>
        <v>0</v>
      </c>
      <c r="J24" s="525">
        <f>'04 - Veículos e Equipamentos'!F35*'01 - Dados de Entrada'!$C$58-SUM(F24:I24)</f>
        <v>29292.586666666666</v>
      </c>
      <c r="K24" s="525">
        <f>'04 - Veículos e Equipamentos'!G35*'01 - Dados de Entrada'!$C$58-SUM(G24:J24)</f>
        <v>0</v>
      </c>
      <c r="L24" s="525">
        <f>'04 - Veículos e Equipamentos'!H35*'01 - Dados de Entrada'!$C$58-SUM(H24:K24)</f>
        <v>0</v>
      </c>
      <c r="M24" s="525">
        <f>'04 - Veículos e Equipamentos'!I35*'01 - Dados de Entrada'!$C$58-SUM(I24:L24)</f>
        <v>0</v>
      </c>
      <c r="N24" s="525">
        <f>'04 - Veículos e Equipamentos'!J35*'01 - Dados de Entrada'!$C$58-SUM(J24:M24)</f>
        <v>0</v>
      </c>
      <c r="O24" s="525">
        <f>'04 - Veículos e Equipamentos'!K35*'01 - Dados de Entrada'!$C$58-SUM(K24:N24)</f>
        <v>29292.586666666666</v>
      </c>
      <c r="P24" s="525">
        <f>'04 - Veículos e Equipamentos'!L35*'01 - Dados de Entrada'!$C$58-SUM(L24:O24)</f>
        <v>0</v>
      </c>
      <c r="Q24" s="525">
        <f>'04 - Veículos e Equipamentos'!M35*'01 - Dados de Entrada'!$C$58-SUM(M24:P24)</f>
        <v>0</v>
      </c>
      <c r="R24" s="525">
        <f>'04 - Veículos e Equipamentos'!N35*'01 - Dados de Entrada'!$C$58-SUM(N24:Q24)</f>
        <v>0</v>
      </c>
      <c r="S24" s="525">
        <f>'04 - Veículos e Equipamentos'!O35*'01 - Dados de Entrada'!$C$58-SUM(O24:R24)</f>
        <v>0</v>
      </c>
      <c r="T24" s="525">
        <f>'04 - Veículos e Equipamentos'!P35*'01 - Dados de Entrada'!$C$58-SUM(P24:S24)</f>
        <v>29292.586666666666</v>
      </c>
      <c r="U24" s="525">
        <f>'04 - Veículos e Equipamentos'!Q35*'01 - Dados de Entrada'!$C$58-SUM(Q24:T24)</f>
        <v>0</v>
      </c>
      <c r="V24" s="525">
        <f>'04 - Veículos e Equipamentos'!R35*'01 - Dados de Entrada'!$C$58-SUM(R24:U24)</f>
        <v>0</v>
      </c>
      <c r="W24" s="525">
        <f>'04 - Veículos e Equipamentos'!S35*'01 - Dados de Entrada'!$C$58-SUM(S24:V24)</f>
        <v>0</v>
      </c>
      <c r="X24" s="525">
        <f>'04 - Veículos e Equipamentos'!T35*'01 - Dados de Entrada'!$C$58-SUM(T24:W24)</f>
        <v>0</v>
      </c>
      <c r="Y24" s="525">
        <f>'04 - Veículos e Equipamentos'!U35*'01 - Dados de Entrada'!$C$58-SUM(U24:X24)</f>
        <v>29292.586666666666</v>
      </c>
      <c r="Z24" s="525">
        <f>'04 - Veículos e Equipamentos'!V35*'01 - Dados de Entrada'!$C$58-SUM(V24:Y24)</f>
        <v>0</v>
      </c>
      <c r="AA24" s="525">
        <f>'04 - Veículos e Equipamentos'!W35*'01 - Dados de Entrada'!$C$58-SUM(W24:Z24)</f>
        <v>0</v>
      </c>
      <c r="AB24" s="525">
        <f>'04 - Veículos e Equipamentos'!X35*'01 - Dados de Entrada'!$C$58-SUM(X24:AA24)</f>
        <v>0</v>
      </c>
      <c r="AC24" s="525">
        <f>'04 - Veículos e Equipamentos'!Y35*'01 - Dados de Entrada'!$C$58-SUM(Y24:AB24)</f>
        <v>0</v>
      </c>
      <c r="AD24" s="525">
        <f>'04 - Veículos e Equipamentos'!Z35*'01 - Dados de Entrada'!$C$58-SUM(Z24:AC24)</f>
        <v>29292.586666666666</v>
      </c>
      <c r="AE24" s="525">
        <f>'04 - Veículos e Equipamentos'!AA35*'01 - Dados de Entrada'!$C$58-SUM(AA24:AD24)</f>
        <v>0</v>
      </c>
      <c r="AF24" s="525">
        <f>'04 - Veículos e Equipamentos'!AB35*'01 - Dados de Entrada'!$C$58-SUM(AB24:AE24)</f>
        <v>0</v>
      </c>
      <c r="AG24" s="525">
        <f>'04 - Veículos e Equipamentos'!AC35*'01 - Dados de Entrada'!$C$58-SUM(AC24:AF24)</f>
        <v>0</v>
      </c>
      <c r="AH24" s="525">
        <f>'04 - Veículos e Equipamentos'!AD35*'01 - Dados de Entrada'!$C$58-SUM(AD24:AG24)</f>
        <v>0</v>
      </c>
      <c r="AI24" s="525">
        <f>'04 - Veículos e Equipamentos'!AE35*'01 - Dados de Entrada'!$C$58-SUM(AE24:AH24)</f>
        <v>29292.586666666666</v>
      </c>
      <c r="AJ24" s="525">
        <f>'04 - Veículos e Equipamentos'!AF35*'01 - Dados de Entrada'!$C$58-SUM(AF24:AI24)</f>
        <v>0</v>
      </c>
      <c r="AK24" s="525">
        <f>'04 - Veículos e Equipamentos'!AG35*'01 - Dados de Entrada'!$C$58-SUM(AG24:AJ24)</f>
        <v>0</v>
      </c>
      <c r="AL24" s="525">
        <f>'04 - Veículos e Equipamentos'!AH35*'01 - Dados de Entrada'!$C$58-SUM(AH24:AK24)</f>
        <v>0</v>
      </c>
      <c r="AM24" s="525">
        <f>'04 - Veículos e Equipamentos'!AI35*'01 - Dados de Entrada'!$C$58-SUM(AI24:AL24)</f>
        <v>0</v>
      </c>
    </row>
    <row r="25" spans="1:39" s="22" customFormat="1" ht="13.15" customHeight="1" x14ac:dyDescent="0.2">
      <c r="A25" s="36" t="s">
        <v>809</v>
      </c>
      <c r="B25" s="36" t="s">
        <v>1091</v>
      </c>
      <c r="C25" s="166"/>
      <c r="D25" s="525">
        <f t="shared" si="2"/>
        <v>236800</v>
      </c>
      <c r="E25" s="525">
        <f>'04 - Veículos e Equipamentos'!B36*('01 - Dados de Entrada'!$C$79)</f>
        <v>59200</v>
      </c>
      <c r="F25" s="525">
        <f>'04 - Veículos e Equipamentos'!C36*('01 - Dados de Entrada'!$C$79)-SUM(E25)</f>
        <v>0</v>
      </c>
      <c r="G25" s="525">
        <f>'04 - Veículos e Equipamentos'!D36*('01 - Dados de Entrada'!$C$79)-SUM(E25:F25)</f>
        <v>0</v>
      </c>
      <c r="H25" s="525">
        <f>'04 - Veículos e Equipamentos'!E36*('01 - Dados de Entrada'!$C$79)-SUM(E25:G25)</f>
        <v>0</v>
      </c>
      <c r="I25" s="525">
        <f>'04 - Veículos e Equipamentos'!F36*('01 - Dados de Entrada'!$C$79)-SUM(E25:H25)</f>
        <v>0</v>
      </c>
      <c r="J25" s="525">
        <f>'04 - Veículos e Equipamentos'!G36*('01 - Dados de Entrada'!$C$79)-SUM(E25:I25)</f>
        <v>0</v>
      </c>
      <c r="K25" s="525">
        <f>'04 - Veículos e Equipamentos'!H36*('01 - Dados de Entrada'!$C$79)-SUM(E25:J25)</f>
        <v>0</v>
      </c>
      <c r="L25" s="525">
        <f>'04 - Veículos e Equipamentos'!I36*('01 - Dados de Entrada'!$C$79)-SUM(E25:K25)</f>
        <v>0</v>
      </c>
      <c r="M25" s="525">
        <f>'04 - Veículos e Equipamentos'!J36*('01 - Dados de Entrada'!$C$79)-SUM(E25:L25)</f>
        <v>0</v>
      </c>
      <c r="N25" s="525">
        <f>'04 - Veículos e Equipamentos'!K36*('01 - Dados de Entrada'!$C$79)-SUM(E25:M25)</f>
        <v>0</v>
      </c>
      <c r="O25" s="525">
        <f>'04 - Veículos e Equipamentos'!L36*('01 - Dados de Entrada'!$C$79)-SUM(F25:N25)</f>
        <v>59200</v>
      </c>
      <c r="P25" s="525">
        <f>'04 - Veículos e Equipamentos'!M36*('01 - Dados de Entrada'!$C$79)-SUM(G25:O25)</f>
        <v>0</v>
      </c>
      <c r="Q25" s="525">
        <f>'04 - Veículos e Equipamentos'!N36*('01 - Dados de Entrada'!$C$79)-SUM(H25:P25)</f>
        <v>0</v>
      </c>
      <c r="R25" s="525">
        <f>'04 - Veículos e Equipamentos'!O36*('01 - Dados de Entrada'!$C$79)-SUM(I25:Q25)</f>
        <v>0</v>
      </c>
      <c r="S25" s="525">
        <f>'04 - Veículos e Equipamentos'!P36*('01 - Dados de Entrada'!$C$79)-SUM(J25:R25)</f>
        <v>0</v>
      </c>
      <c r="T25" s="525">
        <f>'04 - Veículos e Equipamentos'!Q36*('01 - Dados de Entrada'!$C$79)-SUM(K25:S25)</f>
        <v>0</v>
      </c>
      <c r="U25" s="525">
        <f>'04 - Veículos e Equipamentos'!R36*('01 - Dados de Entrada'!$C$79)-SUM(L25:T25)</f>
        <v>0</v>
      </c>
      <c r="V25" s="525">
        <f>'04 - Veículos e Equipamentos'!S36*('01 - Dados de Entrada'!$C$79)-SUM(M25:U25)</f>
        <v>0</v>
      </c>
      <c r="W25" s="525">
        <f>'04 - Veículos e Equipamentos'!T36*('01 - Dados de Entrada'!$C$79)-SUM(N25:V25)</f>
        <v>0</v>
      </c>
      <c r="X25" s="525">
        <f>'04 - Veículos e Equipamentos'!U36*('01 - Dados de Entrada'!$C$79)-SUM(O25:W25)</f>
        <v>0</v>
      </c>
      <c r="Y25" s="525">
        <f>'04 - Veículos e Equipamentos'!V36*('01 - Dados de Entrada'!$C$79)-SUM(P25:X25)</f>
        <v>59200</v>
      </c>
      <c r="Z25" s="525">
        <f>'04 - Veículos e Equipamentos'!W36*('01 - Dados de Entrada'!$C$79)-SUM(Q25:Y25)</f>
        <v>0</v>
      </c>
      <c r="AA25" s="525">
        <f>'04 - Veículos e Equipamentos'!X36*('01 - Dados de Entrada'!$C$79)-SUM(R25:Z25)</f>
        <v>0</v>
      </c>
      <c r="AB25" s="525">
        <f>'04 - Veículos e Equipamentos'!Y36*('01 - Dados de Entrada'!$C$79)-SUM(S25:AA25)</f>
        <v>0</v>
      </c>
      <c r="AC25" s="525">
        <f>'04 - Veículos e Equipamentos'!Z36*('01 - Dados de Entrada'!$C$79)-SUM(T25:AB25)</f>
        <v>0</v>
      </c>
      <c r="AD25" s="525">
        <f>'04 - Veículos e Equipamentos'!AA36*('01 - Dados de Entrada'!$C$79)-SUM(U25:AC25)</f>
        <v>0</v>
      </c>
      <c r="AE25" s="525">
        <f>'04 - Veículos e Equipamentos'!AB36*('01 - Dados de Entrada'!$C$79)-SUM(V25:AD25)</f>
        <v>0</v>
      </c>
      <c r="AF25" s="525">
        <f>'04 - Veículos e Equipamentos'!AC36*('01 - Dados de Entrada'!$C$79)-SUM(W25:AE25)</f>
        <v>0</v>
      </c>
      <c r="AG25" s="525">
        <f>'04 - Veículos e Equipamentos'!AD36*('01 - Dados de Entrada'!$C$79)-SUM(X25:AF25)</f>
        <v>0</v>
      </c>
      <c r="AH25" s="525">
        <f>'04 - Veículos e Equipamentos'!AE36*('01 - Dados de Entrada'!$C$79)-SUM(Y25:AG25)</f>
        <v>0</v>
      </c>
      <c r="AI25" s="525">
        <f>'04 - Veículos e Equipamentos'!AF36*('01 - Dados de Entrada'!$C$79)-SUM(Z25:AH25)</f>
        <v>59200</v>
      </c>
      <c r="AJ25" s="525">
        <f>'04 - Veículos e Equipamentos'!AG36*('01 - Dados de Entrada'!$C$79)-SUM(AA25:AI25)</f>
        <v>0</v>
      </c>
      <c r="AK25" s="525">
        <f>'04 - Veículos e Equipamentos'!AH36*('01 - Dados de Entrada'!$C$79)-SUM(AB25:AJ25)</f>
        <v>0</v>
      </c>
      <c r="AL25" s="525">
        <f>'04 - Veículos e Equipamentos'!AI36*('01 - Dados de Entrada'!$C$79)-SUM(AC25:AK25)</f>
        <v>0</v>
      </c>
      <c r="AM25" s="525">
        <f>'04 - Veículos e Equipamentos'!AJ36*('01 - Dados de Entrada'!$C$79)-SUM(AD25:AL25)</f>
        <v>0</v>
      </c>
    </row>
    <row r="26" spans="1:39" s="22" customFormat="1" ht="13.15" customHeight="1" x14ac:dyDescent="0.2">
      <c r="A26" s="36" t="s">
        <v>127</v>
      </c>
      <c r="B26" s="36" t="s">
        <v>1091</v>
      </c>
      <c r="C26" s="166"/>
      <c r="D26" s="525">
        <f xml:space="preserve"> SUM( $E26:$AM26 )</f>
        <v>1654989.6300000004</v>
      </c>
      <c r="E26" s="525">
        <f>'01 - Dados de Entrada'!$C$61*'04 - Veículos e Equipamentos'!B38</f>
        <v>0</v>
      </c>
      <c r="F26" s="525">
        <f>'01 - Dados de Entrada'!$C$61*'04 - Veículos e Equipamentos'!C38-SUM(E26)</f>
        <v>78809.03</v>
      </c>
      <c r="G26" s="525">
        <f>'01 - Dados de Entrada'!$C$61*'04 - Veículos e Equipamentos'!D38-SUM(E26:F26)</f>
        <v>78809.03</v>
      </c>
      <c r="H26" s="525">
        <f>'01 - Dados de Entrada'!$C$61*'04 - Veículos e Equipamentos'!E38-SUM(E26:G26)</f>
        <v>0</v>
      </c>
      <c r="I26" s="525">
        <f>'01 - Dados de Entrada'!$C$61*'04 - Veículos e Equipamentos'!F38-SUM(E26:H26)</f>
        <v>78809.03</v>
      </c>
      <c r="J26" s="525">
        <f>'01 - Dados de Entrada'!$C$61*'04 - Veículos e Equipamentos'!G38-SUM(E26:I26)</f>
        <v>0</v>
      </c>
      <c r="K26" s="525">
        <f>'01 - Dados de Entrada'!$C$61*'04 - Veículos e Equipamentos'!H38-SUM(G26:J26)</f>
        <v>78809.03</v>
      </c>
      <c r="L26" s="525">
        <f>'01 - Dados de Entrada'!$C$61*'04 - Veículos e Equipamentos'!I38-SUM(H26:K26)</f>
        <v>78809.03</v>
      </c>
      <c r="M26" s="525">
        <f>'01 - Dados de Entrada'!$C$61*'04 - Veículos e Equipamentos'!J38-SUM(I26:L26)</f>
        <v>0</v>
      </c>
      <c r="N26" s="525">
        <f>'01 - Dados de Entrada'!$C$61*'04 - Veículos e Equipamentos'!K38-SUM(J26:M26)</f>
        <v>78809.03</v>
      </c>
      <c r="O26" s="525">
        <f>'01 - Dados de Entrada'!$C$61*'04 - Veículos e Equipamentos'!L38-SUM(K26:N26)</f>
        <v>0</v>
      </c>
      <c r="P26" s="525">
        <f>'01 - Dados de Entrada'!$C$61*'04 - Veículos e Equipamentos'!M38-SUM(L26:O26)</f>
        <v>78809.03</v>
      </c>
      <c r="Q26" s="525">
        <f>'01 - Dados de Entrada'!$C$61*'04 - Veículos e Equipamentos'!N38-SUM(M26:P26)</f>
        <v>78809.03</v>
      </c>
      <c r="R26" s="525">
        <f>'01 - Dados de Entrada'!$C$61*'04 - Veículos e Equipamentos'!O38-SUM(N26:Q26)</f>
        <v>0</v>
      </c>
      <c r="S26" s="525">
        <f>'01 - Dados de Entrada'!$C$61*'04 - Veículos e Equipamentos'!P38-SUM(O26:R26)</f>
        <v>78809.03</v>
      </c>
      <c r="T26" s="525">
        <f>'01 - Dados de Entrada'!$C$61*'04 - Veículos e Equipamentos'!Q38-SUM(P26:S26)</f>
        <v>0</v>
      </c>
      <c r="U26" s="525">
        <f>'01 - Dados de Entrada'!$C$61*'04 - Veículos e Equipamentos'!R38-SUM(Q26:T26)</f>
        <v>78809.03</v>
      </c>
      <c r="V26" s="525">
        <f>'01 - Dados de Entrada'!$C$61*'04 - Veículos e Equipamentos'!S38-SUM(R26:U26)</f>
        <v>78809.03</v>
      </c>
      <c r="W26" s="525">
        <f>'01 - Dados de Entrada'!$C$61*'04 - Veículos e Equipamentos'!T38-SUM(S26:V26)</f>
        <v>0</v>
      </c>
      <c r="X26" s="525">
        <f>'01 - Dados de Entrada'!$C$61*'04 - Veículos e Equipamentos'!U38-SUM(T26:W26)</f>
        <v>78809.03</v>
      </c>
      <c r="Y26" s="525">
        <f>'01 - Dados de Entrada'!$C$61*'04 - Veículos e Equipamentos'!V38-SUM(U26:X26)</f>
        <v>0</v>
      </c>
      <c r="Z26" s="525">
        <f>'01 - Dados de Entrada'!$C$61*'04 - Veículos e Equipamentos'!W38-SUM(V26:Y26)</f>
        <v>78809.03</v>
      </c>
      <c r="AA26" s="525">
        <f>'01 - Dados de Entrada'!$C$61*'04 - Veículos e Equipamentos'!X38-SUM(W26:Z26)</f>
        <v>78809.03</v>
      </c>
      <c r="AB26" s="525">
        <f>'01 - Dados de Entrada'!$C$61*'04 - Veículos e Equipamentos'!Y38-SUM(X26:AA26)</f>
        <v>0</v>
      </c>
      <c r="AC26" s="525">
        <f>'01 - Dados de Entrada'!$C$61*'04 - Veículos e Equipamentos'!Z38-SUM(Y26:AB26)</f>
        <v>78809.03</v>
      </c>
      <c r="AD26" s="525">
        <f>'01 - Dados de Entrada'!$C$61*'04 - Veículos e Equipamentos'!AA38-SUM(Z26:AC26)</f>
        <v>0</v>
      </c>
      <c r="AE26" s="525">
        <f>'01 - Dados de Entrada'!$C$61*'04 - Veículos e Equipamentos'!AB38-SUM(AA26:AD26)</f>
        <v>78809.03</v>
      </c>
      <c r="AF26" s="525">
        <f>'01 - Dados de Entrada'!$C$61*'04 - Veículos e Equipamentos'!AC38-SUM(AB26:AE26)</f>
        <v>78809.03</v>
      </c>
      <c r="AG26" s="525">
        <f>'01 - Dados de Entrada'!$C$61*'04 - Veículos e Equipamentos'!AD38-SUM(AC26:AF26)</f>
        <v>0</v>
      </c>
      <c r="AH26" s="525">
        <f>'01 - Dados de Entrada'!$C$61*'04 - Veículos e Equipamentos'!AE38-SUM(AD26:AG26)</f>
        <v>78809.03</v>
      </c>
      <c r="AI26" s="525">
        <f>'01 - Dados de Entrada'!$C$61*'04 - Veículos e Equipamentos'!AF38-SUM(AE26:AH26)</f>
        <v>0</v>
      </c>
      <c r="AJ26" s="525">
        <f>'01 - Dados de Entrada'!$C$61*'04 - Veículos e Equipamentos'!AG38-SUM(AF26:AI26)</f>
        <v>78809.03</v>
      </c>
      <c r="AK26" s="525">
        <f>'01 - Dados de Entrada'!$C$61*'04 - Veículos e Equipamentos'!AH38-SUM(AG26:AJ26)</f>
        <v>78809.03</v>
      </c>
      <c r="AL26" s="525">
        <f>'01 - Dados de Entrada'!$C$61*'04 - Veículos e Equipamentos'!AI38-SUM(AH26:AK26)</f>
        <v>0</v>
      </c>
      <c r="AM26" s="525">
        <f>'01 - Dados de Entrada'!$C$61*'04 - Veículos e Equipamentos'!AJ38-SUM(AI26:AL26)</f>
        <v>78809.03</v>
      </c>
    </row>
    <row r="27" spans="1:39" s="22" customFormat="1" ht="13.15" customHeight="1" x14ac:dyDescent="0.2">
      <c r="A27" s="36" t="s">
        <v>811</v>
      </c>
      <c r="B27" s="36" t="s">
        <v>1091</v>
      </c>
      <c r="C27" s="166"/>
      <c r="D27" s="525">
        <f t="shared" si="2"/>
        <v>192232.59999999998</v>
      </c>
      <c r="E27" s="525">
        <f>'04 - Veículos e Equipamentos'!B39*'01 - Dados de Entrada'!$C$58</f>
        <v>0</v>
      </c>
      <c r="F27" s="525">
        <f>'01 - Dados de Entrada'!$C$58*'04 - Veículos e Equipamentos'!C39-SUM(E27)</f>
        <v>9153.9333333333325</v>
      </c>
      <c r="G27" s="525">
        <f>'01 - Dados de Entrada'!$C$58*'04 - Veículos e Equipamentos'!D39-SUM(E27:F27)</f>
        <v>9153.9333333333325</v>
      </c>
      <c r="H27" s="525">
        <f>'01 - Dados de Entrada'!$C$58*'04 - Veículos e Equipamentos'!E39-SUM(E27:G27)</f>
        <v>0</v>
      </c>
      <c r="I27" s="525">
        <f>'01 - Dados de Entrada'!$C$58*'04 - Veículos e Equipamentos'!F39-SUM(E27:H27)</f>
        <v>9153.9333333333343</v>
      </c>
      <c r="J27" s="525">
        <f>'01 - Dados de Entrada'!$C$58*'04 - Veículos e Equipamentos'!G39-SUM(E27:I27)</f>
        <v>0</v>
      </c>
      <c r="K27" s="525">
        <f>'01 - Dados de Entrada'!$C$58*'04 - Veículos e Equipamentos'!H39-SUM(G27:J27)</f>
        <v>9153.9333333333307</v>
      </c>
      <c r="L27" s="525">
        <f>'01 - Dados de Entrada'!$C$58*'04 - Veículos e Equipamentos'!I39-SUM(H27:K27)</f>
        <v>9153.9333333333343</v>
      </c>
      <c r="M27" s="525">
        <f>'01 - Dados de Entrada'!$C$58*'04 - Veículos e Equipamentos'!J39-SUM(I27:L27)</f>
        <v>0</v>
      </c>
      <c r="N27" s="525">
        <f>'01 - Dados de Entrada'!$C$58*'04 - Veículos e Equipamentos'!K39-SUM(J27:M27)</f>
        <v>9153.9333333333343</v>
      </c>
      <c r="O27" s="525">
        <f>'01 - Dados de Entrada'!$C$58*'04 - Veículos e Equipamentos'!L39-SUM(K27:N27)</f>
        <v>0</v>
      </c>
      <c r="P27" s="525">
        <f>'01 - Dados de Entrada'!$C$58*'04 - Veículos e Equipamentos'!M39-SUM(L27:O27)</f>
        <v>9153.9333333333307</v>
      </c>
      <c r="Q27" s="525">
        <f>'01 - Dados de Entrada'!$C$58*'04 - Veículos e Equipamentos'!N39-SUM(M27:P27)</f>
        <v>9153.9333333333343</v>
      </c>
      <c r="R27" s="525">
        <f>'01 - Dados de Entrada'!$C$58*'04 - Veículos e Equipamentos'!O39-SUM(N27:Q27)</f>
        <v>0</v>
      </c>
      <c r="S27" s="525">
        <f>'01 - Dados de Entrada'!$C$58*'04 - Veículos e Equipamentos'!P39-SUM(O27:R27)</f>
        <v>9153.9333333333343</v>
      </c>
      <c r="T27" s="525">
        <f>'01 - Dados de Entrada'!$C$58*'04 - Veículos e Equipamentos'!Q39-SUM(P27:S27)</f>
        <v>0</v>
      </c>
      <c r="U27" s="525">
        <f>'01 - Dados de Entrada'!$C$58*'04 - Veículos e Equipamentos'!R39-SUM(Q27:T27)</f>
        <v>9153.9333333333307</v>
      </c>
      <c r="V27" s="525">
        <f>'01 - Dados de Entrada'!$C$58*'04 - Veículos e Equipamentos'!S39-SUM(R27:U27)</f>
        <v>9153.9333333333343</v>
      </c>
      <c r="W27" s="525">
        <f>'01 - Dados de Entrada'!$C$58*'04 - Veículos e Equipamentos'!T39-SUM(S27:V27)</f>
        <v>0</v>
      </c>
      <c r="X27" s="525">
        <f>'01 - Dados de Entrada'!$C$58*'04 - Veículos e Equipamentos'!U39-SUM(T27:W27)</f>
        <v>9153.9333333333343</v>
      </c>
      <c r="Y27" s="525">
        <f>'01 - Dados de Entrada'!$C$58*'04 - Veículos e Equipamentos'!V39-SUM(U27:X27)</f>
        <v>0</v>
      </c>
      <c r="Z27" s="525">
        <f>'01 - Dados de Entrada'!$C$58*'04 - Veículos e Equipamentos'!W39-SUM(V27:Y27)</f>
        <v>9153.9333333333307</v>
      </c>
      <c r="AA27" s="525">
        <f>'01 - Dados de Entrada'!$C$58*'04 - Veículos e Equipamentos'!X39-SUM(W27:Z27)</f>
        <v>9153.9333333333343</v>
      </c>
      <c r="AB27" s="525">
        <f>'01 - Dados de Entrada'!$C$58*'04 - Veículos e Equipamentos'!Y39-SUM(X27:AA27)</f>
        <v>0</v>
      </c>
      <c r="AC27" s="525">
        <f>'01 - Dados de Entrada'!$C$58*'04 - Veículos e Equipamentos'!Z39-SUM(Y27:AB27)</f>
        <v>9153.9333333333343</v>
      </c>
      <c r="AD27" s="525">
        <f>'01 - Dados de Entrada'!$C$58*'04 - Veículos e Equipamentos'!AA39-SUM(Z27:AC27)</f>
        <v>0</v>
      </c>
      <c r="AE27" s="525">
        <f>'01 - Dados de Entrada'!$C$58*'04 - Veículos e Equipamentos'!AB39-SUM(AA27:AD27)</f>
        <v>9153.9333333333307</v>
      </c>
      <c r="AF27" s="525">
        <f>'01 - Dados de Entrada'!$C$58*'04 - Veículos e Equipamentos'!AC39-SUM(AB27:AE27)</f>
        <v>9153.9333333333343</v>
      </c>
      <c r="AG27" s="525">
        <f>'01 - Dados de Entrada'!$C$58*'04 - Veículos e Equipamentos'!AD39-SUM(AC27:AF27)</f>
        <v>0</v>
      </c>
      <c r="AH27" s="525">
        <f>'01 - Dados de Entrada'!$C$58*'04 - Veículos e Equipamentos'!AE39-SUM(AD27:AG27)</f>
        <v>9153.9333333333343</v>
      </c>
      <c r="AI27" s="525">
        <f>'01 - Dados de Entrada'!$C$58*'04 - Veículos e Equipamentos'!AF39-SUM(AE27:AH27)</f>
        <v>0</v>
      </c>
      <c r="AJ27" s="525">
        <f>'01 - Dados de Entrada'!$C$58*'04 - Veículos e Equipamentos'!AG39-SUM(AF27:AI27)</f>
        <v>9153.9333333333307</v>
      </c>
      <c r="AK27" s="525">
        <f>'01 - Dados de Entrada'!$C$58*'04 - Veículos e Equipamentos'!AH39-SUM(AG27:AJ27)</f>
        <v>9153.9333333333343</v>
      </c>
      <c r="AL27" s="525">
        <f>'01 - Dados de Entrada'!$C$58*'04 - Veículos e Equipamentos'!AI39-SUM(AH27:AK27)</f>
        <v>0</v>
      </c>
      <c r="AM27" s="525">
        <f>'01 - Dados de Entrada'!$C$58*'04 - Veículos e Equipamentos'!AJ39-SUM(AI27:AL27)</f>
        <v>9153.9333333333343</v>
      </c>
    </row>
    <row r="28" spans="1:39" ht="13.15" customHeight="1" x14ac:dyDescent="0.2">
      <c r="A28" s="198" t="s">
        <v>1046</v>
      </c>
      <c r="B28" s="198"/>
      <c r="C28" s="512" t="s">
        <v>1096</v>
      </c>
      <c r="D28" s="524">
        <f t="shared" si="2"/>
        <v>3616947</v>
      </c>
      <c r="E28" s="524">
        <f>SUM(E29:E32)</f>
        <v>401883</v>
      </c>
      <c r="F28" s="524">
        <f t="shared" ref="F28:AH28" si="28">SUM(F29:F32)</f>
        <v>0</v>
      </c>
      <c r="G28" s="524">
        <f t="shared" si="28"/>
        <v>0</v>
      </c>
      <c r="H28" s="524">
        <f t="shared" si="28"/>
        <v>0</v>
      </c>
      <c r="I28" s="524">
        <f t="shared" si="28"/>
        <v>401883</v>
      </c>
      <c r="J28" s="524">
        <f t="shared" si="28"/>
        <v>0</v>
      </c>
      <c r="K28" s="524">
        <f t="shared" si="28"/>
        <v>0</v>
      </c>
      <c r="L28" s="524">
        <f t="shared" si="28"/>
        <v>0</v>
      </c>
      <c r="M28" s="524">
        <f t="shared" si="28"/>
        <v>401883</v>
      </c>
      <c r="N28" s="524">
        <f t="shared" si="28"/>
        <v>0</v>
      </c>
      <c r="O28" s="524">
        <f t="shared" si="28"/>
        <v>0</v>
      </c>
      <c r="P28" s="524">
        <f t="shared" si="28"/>
        <v>0</v>
      </c>
      <c r="Q28" s="524">
        <f t="shared" si="28"/>
        <v>401883</v>
      </c>
      <c r="R28" s="524">
        <f t="shared" si="28"/>
        <v>0</v>
      </c>
      <c r="S28" s="524">
        <f t="shared" si="28"/>
        <v>0</v>
      </c>
      <c r="T28" s="524">
        <f t="shared" si="28"/>
        <v>0</v>
      </c>
      <c r="U28" s="524">
        <f t="shared" si="28"/>
        <v>401883</v>
      </c>
      <c r="V28" s="524">
        <f t="shared" si="28"/>
        <v>0</v>
      </c>
      <c r="W28" s="524">
        <f t="shared" si="28"/>
        <v>0</v>
      </c>
      <c r="X28" s="524">
        <f t="shared" si="28"/>
        <v>0</v>
      </c>
      <c r="Y28" s="524">
        <f t="shared" si="28"/>
        <v>401883</v>
      </c>
      <c r="Z28" s="524">
        <f t="shared" si="28"/>
        <v>0</v>
      </c>
      <c r="AA28" s="524">
        <f t="shared" si="28"/>
        <v>0</v>
      </c>
      <c r="AB28" s="524">
        <f t="shared" si="28"/>
        <v>0</v>
      </c>
      <c r="AC28" s="524">
        <f t="shared" si="28"/>
        <v>401883</v>
      </c>
      <c r="AD28" s="524">
        <f t="shared" si="28"/>
        <v>0</v>
      </c>
      <c r="AE28" s="524">
        <f t="shared" si="28"/>
        <v>0</v>
      </c>
      <c r="AF28" s="524">
        <f t="shared" si="28"/>
        <v>0</v>
      </c>
      <c r="AG28" s="524">
        <f t="shared" si="28"/>
        <v>401883</v>
      </c>
      <c r="AH28" s="524">
        <f t="shared" si="28"/>
        <v>0</v>
      </c>
      <c r="AI28" s="524">
        <f>SUM(AI29:AI32)</f>
        <v>0</v>
      </c>
      <c r="AJ28" s="524">
        <f>SUM(AJ29:AJ32)</f>
        <v>0</v>
      </c>
      <c r="AK28" s="524">
        <f>SUM(AK29:AK32)</f>
        <v>401883</v>
      </c>
      <c r="AL28" s="524">
        <f>SUM(AL29:AL32)</f>
        <v>0</v>
      </c>
      <c r="AM28" s="524">
        <f>SUM(AM29:AM32)</f>
        <v>0</v>
      </c>
    </row>
    <row r="29" spans="1:39" s="22" customFormat="1" ht="13.15" customHeight="1" x14ac:dyDescent="0.2">
      <c r="A29" s="24" t="s">
        <v>1047</v>
      </c>
      <c r="B29" s="24" t="s">
        <v>1086</v>
      </c>
      <c r="C29" s="166"/>
      <c r="D29" s="525">
        <f t="shared" si="2"/>
        <v>907335</v>
      </c>
      <c r="E29" s="525">
        <f>'04 - Veículos e Equipamentos'!B25*'01 - Dados de Entrada'!$C$55</f>
        <v>100815</v>
      </c>
      <c r="F29" s="525">
        <f>'04 - Veículos e Equipamentos'!C25*'01 - Dados de Entrada'!$C$55-SUM(E29)</f>
        <v>0</v>
      </c>
      <c r="G29" s="525">
        <f>'04 - Veículos e Equipamentos'!D25*'01 - Dados de Entrada'!$C$55-SUM(E29:F29)</f>
        <v>0</v>
      </c>
      <c r="H29" s="525">
        <f>'04 - Veículos e Equipamentos'!E25*'01 - Dados de Entrada'!$C$55-SUM(E29:G29)</f>
        <v>0</v>
      </c>
      <c r="I29" s="525">
        <f>'04 - Veículos e Equipamentos'!F25*'01 - Dados de Entrada'!$C$55-SUM(F29:H29)</f>
        <v>100815</v>
      </c>
      <c r="J29" s="525">
        <f>'04 - Veículos e Equipamentos'!G25*'01 - Dados de Entrada'!$C$55-SUM(G29:I29)</f>
        <v>0</v>
      </c>
      <c r="K29" s="525">
        <f>'04 - Veículos e Equipamentos'!H25*'01 - Dados de Entrada'!$C$55-SUM(H29:J29)</f>
        <v>0</v>
      </c>
      <c r="L29" s="525">
        <f>'04 - Veículos e Equipamentos'!I25*'01 - Dados de Entrada'!$C$55-SUM(I29:K29)</f>
        <v>0</v>
      </c>
      <c r="M29" s="525">
        <f>'04 - Veículos e Equipamentos'!J25*'01 - Dados de Entrada'!$C$55-SUM(J29:L29)</f>
        <v>100815</v>
      </c>
      <c r="N29" s="525">
        <f>'04 - Veículos e Equipamentos'!K25*'01 - Dados de Entrada'!$C$55-SUM(K29:M29)</f>
        <v>0</v>
      </c>
      <c r="O29" s="525">
        <f>'04 - Veículos e Equipamentos'!L25*'01 - Dados de Entrada'!$C$55-SUM(L29:N29)</f>
        <v>0</v>
      </c>
      <c r="P29" s="525">
        <f>'04 - Veículos e Equipamentos'!M25*'01 - Dados de Entrada'!$C$55-SUM(M29:O29)</f>
        <v>0</v>
      </c>
      <c r="Q29" s="525">
        <f>'04 - Veículos e Equipamentos'!N25*'01 - Dados de Entrada'!$C$55-SUM(N29:P29)</f>
        <v>100815</v>
      </c>
      <c r="R29" s="525">
        <f>'04 - Veículos e Equipamentos'!O25*'01 - Dados de Entrada'!$C$55-SUM(O29:Q29)</f>
        <v>0</v>
      </c>
      <c r="S29" s="525">
        <f>'04 - Veículos e Equipamentos'!P25*'01 - Dados de Entrada'!$C$55-SUM(P29:R29)</f>
        <v>0</v>
      </c>
      <c r="T29" s="525">
        <f>'04 - Veículos e Equipamentos'!Q25*'01 - Dados de Entrada'!$C$55-SUM(Q29:S29)</f>
        <v>0</v>
      </c>
      <c r="U29" s="525">
        <f>'04 - Veículos e Equipamentos'!R25*'01 - Dados de Entrada'!$C$55-SUM(R29:T29)</f>
        <v>100815</v>
      </c>
      <c r="V29" s="525">
        <f>'04 - Veículos e Equipamentos'!S25*'01 - Dados de Entrada'!$C$55-SUM(S29:U29)</f>
        <v>0</v>
      </c>
      <c r="W29" s="525">
        <f>'04 - Veículos e Equipamentos'!T25*'01 - Dados de Entrada'!$C$55-SUM(T29:V29)</f>
        <v>0</v>
      </c>
      <c r="X29" s="525">
        <f>'04 - Veículos e Equipamentos'!U25*'01 - Dados de Entrada'!$C$55-SUM(U29:W29)</f>
        <v>0</v>
      </c>
      <c r="Y29" s="525">
        <f>'04 - Veículos e Equipamentos'!V25*'01 - Dados de Entrada'!$C$55-SUM(V29:X29)</f>
        <v>100815</v>
      </c>
      <c r="Z29" s="525">
        <f>'04 - Veículos e Equipamentos'!W25*'01 - Dados de Entrada'!$C$55-SUM(W29:Y29)</f>
        <v>0</v>
      </c>
      <c r="AA29" s="525">
        <f>'04 - Veículos e Equipamentos'!X25*'01 - Dados de Entrada'!$C$55-SUM(X29:Z29)</f>
        <v>0</v>
      </c>
      <c r="AB29" s="525">
        <f>'04 - Veículos e Equipamentos'!Y25*'01 - Dados de Entrada'!$C$55-SUM(Y29:AA29)</f>
        <v>0</v>
      </c>
      <c r="AC29" s="525">
        <f>'04 - Veículos e Equipamentos'!Z25*'01 - Dados de Entrada'!$C$55-SUM(Z29:AB29)</f>
        <v>100815</v>
      </c>
      <c r="AD29" s="525">
        <f>'04 - Veículos e Equipamentos'!AA25*'01 - Dados de Entrada'!$C$55-SUM(AA29:AC29)</f>
        <v>0</v>
      </c>
      <c r="AE29" s="525">
        <f>'04 - Veículos e Equipamentos'!AB25*'01 - Dados de Entrada'!$C$55-SUM(AB29:AD29)</f>
        <v>0</v>
      </c>
      <c r="AF29" s="525">
        <f>'04 - Veículos e Equipamentos'!AC25*'01 - Dados de Entrada'!$C$55-SUM(AC29:AE29)</f>
        <v>0</v>
      </c>
      <c r="AG29" s="525">
        <f>'04 - Veículos e Equipamentos'!AD25*'01 - Dados de Entrada'!$C$55-SUM(AD29:AF29)</f>
        <v>100815</v>
      </c>
      <c r="AH29" s="525">
        <f>'04 - Veículos e Equipamentos'!AE25*'01 - Dados de Entrada'!$C$55-SUM(AE29:AG29)</f>
        <v>0</v>
      </c>
      <c r="AI29" s="525">
        <f>'04 - Veículos e Equipamentos'!AF25*'01 - Dados de Entrada'!$C$55-SUM(AF29:AH29)</f>
        <v>0</v>
      </c>
      <c r="AJ29" s="525">
        <f>'04 - Veículos e Equipamentos'!AG25*'01 - Dados de Entrada'!$C$55-SUM(AG29:AI29)</f>
        <v>0</v>
      </c>
      <c r="AK29" s="525">
        <f>'04 - Veículos e Equipamentos'!AH25*'01 - Dados de Entrada'!$C$55-SUM(AH29:AJ29)</f>
        <v>100815</v>
      </c>
      <c r="AL29" s="525">
        <f>'04 - Veículos e Equipamentos'!AI25*'01 - Dados de Entrada'!$C$55-SUM(AI29:AK29)</f>
        <v>0</v>
      </c>
      <c r="AM29" s="525">
        <f>'04 - Veículos e Equipamentos'!AJ25*'01 - Dados de Entrada'!$C$55-SUM(AJ29:AL29)</f>
        <v>0</v>
      </c>
    </row>
    <row r="30" spans="1:39" s="22" customFormat="1" ht="13.15" customHeight="1" x14ac:dyDescent="0.2">
      <c r="A30" s="24" t="s">
        <v>1048</v>
      </c>
      <c r="B30" s="24" t="s">
        <v>1086</v>
      </c>
      <c r="C30" s="166"/>
      <c r="D30" s="525">
        <f t="shared" si="2"/>
        <v>677403</v>
      </c>
      <c r="E30" s="525">
        <f>('04 - Veículos e Equipamentos'!B27)*'01 - Dados de Entrada'!$C$56</f>
        <v>75267</v>
      </c>
      <c r="F30" s="525">
        <f>('04 - Veículos e Equipamentos'!C27)*'01 - Dados de Entrada'!$C$56-SUM(E30)</f>
        <v>0</v>
      </c>
      <c r="G30" s="525">
        <f>('04 - Veículos e Equipamentos'!D27)*'01 - Dados de Entrada'!$C$56-SUM(E30:F30)</f>
        <v>0</v>
      </c>
      <c r="H30" s="525">
        <f>('04 - Veículos e Equipamentos'!E27)*'01 - Dados de Entrada'!$C$56-SUM(E30:G30)</f>
        <v>0</v>
      </c>
      <c r="I30" s="525">
        <f>('04 - Veículos e Equipamentos'!F27)*'01 - Dados de Entrada'!$C$56-SUM(F30:H30)</f>
        <v>75267</v>
      </c>
      <c r="J30" s="525">
        <f>('04 - Veículos e Equipamentos'!G27)*'01 - Dados de Entrada'!$C$56-SUM(G30:I30)</f>
        <v>0</v>
      </c>
      <c r="K30" s="525">
        <f>('04 - Veículos e Equipamentos'!H27)*'01 - Dados de Entrada'!$C$56-SUM(H30:J30)</f>
        <v>0</v>
      </c>
      <c r="L30" s="525">
        <f>('04 - Veículos e Equipamentos'!I27)*'01 - Dados de Entrada'!$C$56-SUM(I30:K30)</f>
        <v>0</v>
      </c>
      <c r="M30" s="525">
        <f>('04 - Veículos e Equipamentos'!J27)*'01 - Dados de Entrada'!$C$56-SUM(J30:L30)</f>
        <v>75267</v>
      </c>
      <c r="N30" s="525">
        <f>('04 - Veículos e Equipamentos'!K27)*'01 - Dados de Entrada'!$C$56-SUM(K30:M30)</f>
        <v>0</v>
      </c>
      <c r="O30" s="525">
        <f>('04 - Veículos e Equipamentos'!L27)*'01 - Dados de Entrada'!$C$56-SUM(L30:N30)</f>
        <v>0</v>
      </c>
      <c r="P30" s="525">
        <f>('04 - Veículos e Equipamentos'!M27)*'01 - Dados de Entrada'!$C$56-SUM(M30:O30)</f>
        <v>0</v>
      </c>
      <c r="Q30" s="525">
        <f>('04 - Veículos e Equipamentos'!N27)*'01 - Dados de Entrada'!$C$56-SUM(N30:P30)</f>
        <v>75267</v>
      </c>
      <c r="R30" s="525">
        <f>('04 - Veículos e Equipamentos'!O27)*'01 - Dados de Entrada'!$C$56-SUM(O30:Q30)</f>
        <v>0</v>
      </c>
      <c r="S30" s="525">
        <f>('04 - Veículos e Equipamentos'!P27)*'01 - Dados de Entrada'!$C$56-SUM(P30:R30)</f>
        <v>0</v>
      </c>
      <c r="T30" s="525">
        <f>('04 - Veículos e Equipamentos'!Q27)*'01 - Dados de Entrada'!$C$56-SUM(Q30:S30)</f>
        <v>0</v>
      </c>
      <c r="U30" s="525">
        <f>('04 - Veículos e Equipamentos'!R27)*'01 - Dados de Entrada'!$C$56-SUM(R30:T30)</f>
        <v>75267</v>
      </c>
      <c r="V30" s="525">
        <f>('04 - Veículos e Equipamentos'!S27)*'01 - Dados de Entrada'!$C$56-SUM(S30:U30)</f>
        <v>0</v>
      </c>
      <c r="W30" s="525">
        <f>('04 - Veículos e Equipamentos'!T27)*'01 - Dados de Entrada'!$C$56-SUM(T30:V30)</f>
        <v>0</v>
      </c>
      <c r="X30" s="525">
        <f>('04 - Veículos e Equipamentos'!U27)*'01 - Dados de Entrada'!$C$56-SUM(U30:W30)</f>
        <v>0</v>
      </c>
      <c r="Y30" s="525">
        <f>('04 - Veículos e Equipamentos'!V27)*'01 - Dados de Entrada'!$C$56-SUM(V30:X30)</f>
        <v>75267</v>
      </c>
      <c r="Z30" s="525">
        <f>('04 - Veículos e Equipamentos'!W27)*'01 - Dados de Entrada'!$C$56-SUM(W30:Y30)</f>
        <v>0</v>
      </c>
      <c r="AA30" s="525">
        <f>('04 - Veículos e Equipamentos'!X27)*'01 - Dados de Entrada'!$C$56-SUM(X30:Z30)</f>
        <v>0</v>
      </c>
      <c r="AB30" s="525">
        <f>('04 - Veículos e Equipamentos'!Y27)*'01 - Dados de Entrada'!$C$56-SUM(Y30:AA30)</f>
        <v>0</v>
      </c>
      <c r="AC30" s="525">
        <f>('04 - Veículos e Equipamentos'!Z27)*'01 - Dados de Entrada'!$C$56-SUM(Z30:AB30)</f>
        <v>75267</v>
      </c>
      <c r="AD30" s="525">
        <f>('04 - Veículos e Equipamentos'!AA27)*'01 - Dados de Entrada'!$C$56-SUM(AA30:AC30)</f>
        <v>0</v>
      </c>
      <c r="AE30" s="525">
        <f>('04 - Veículos e Equipamentos'!AB27)*'01 - Dados de Entrada'!$C$56-SUM(AB30:AD30)</f>
        <v>0</v>
      </c>
      <c r="AF30" s="525">
        <f>('04 - Veículos e Equipamentos'!AC27)*'01 - Dados de Entrada'!$C$56-SUM(AC30:AE30)</f>
        <v>0</v>
      </c>
      <c r="AG30" s="525">
        <f>('04 - Veículos e Equipamentos'!AD27)*'01 - Dados de Entrada'!$C$56-SUM(AD30:AF30)</f>
        <v>75267</v>
      </c>
      <c r="AH30" s="525">
        <f>('04 - Veículos e Equipamentos'!AE27)*'01 - Dados de Entrada'!$C$56-SUM(AE30:AG30)</f>
        <v>0</v>
      </c>
      <c r="AI30" s="525">
        <f>('04 - Veículos e Equipamentos'!AF27)*'01 - Dados de Entrada'!$C$56-SUM(AF30:AH30)</f>
        <v>0</v>
      </c>
      <c r="AJ30" s="525">
        <f>('04 - Veículos e Equipamentos'!AG27)*'01 - Dados de Entrada'!$C$56-SUM(AG30:AI30)</f>
        <v>0</v>
      </c>
      <c r="AK30" s="525">
        <f>('04 - Veículos e Equipamentos'!AH27)*'01 - Dados de Entrada'!$C$56-SUM(AH30:AJ30)</f>
        <v>75267</v>
      </c>
      <c r="AL30" s="525">
        <f>('04 - Veículos e Equipamentos'!AI27)*'01 - Dados de Entrada'!$C$56-SUM(AI30:AK30)</f>
        <v>0</v>
      </c>
      <c r="AM30" s="525">
        <f>('04 - Veículos e Equipamentos'!AJ27)*'01 - Dados de Entrada'!$C$56-SUM(AJ30:AL30)</f>
        <v>0</v>
      </c>
    </row>
    <row r="31" spans="1:39" s="22" customFormat="1" ht="13.15" customHeight="1" x14ac:dyDescent="0.2">
      <c r="A31" s="24" t="s">
        <v>1049</v>
      </c>
      <c r="B31" s="24" t="s">
        <v>1086</v>
      </c>
      <c r="C31" s="166"/>
      <c r="D31" s="525">
        <f t="shared" si="2"/>
        <v>677403</v>
      </c>
      <c r="E31" s="525">
        <f>('04 - Veículos e Equipamentos'!B29)*'01 - Dados de Entrada'!$C$56</f>
        <v>75267</v>
      </c>
      <c r="F31" s="525">
        <f>('04 - Veículos e Equipamentos'!C29)*'01 - Dados de Entrada'!$C$56-SUM(E31)</f>
        <v>0</v>
      </c>
      <c r="G31" s="525">
        <f>('04 - Veículos e Equipamentos'!D29)*'01 - Dados de Entrada'!$C$56-SUM(E31:F31)</f>
        <v>0</v>
      </c>
      <c r="H31" s="525">
        <f>('04 - Veículos e Equipamentos'!E29)*'01 - Dados de Entrada'!$C$56-SUM(E31:G31)</f>
        <v>0</v>
      </c>
      <c r="I31" s="525">
        <f>('04 - Veículos e Equipamentos'!F29)*'01 - Dados de Entrada'!$C$56-SUM(F31:H31)</f>
        <v>75267</v>
      </c>
      <c r="J31" s="525">
        <f>('04 - Veículos e Equipamentos'!G29)*'01 - Dados de Entrada'!$C$56-SUM(G31:I31)</f>
        <v>0</v>
      </c>
      <c r="K31" s="525">
        <f>('04 - Veículos e Equipamentos'!H29)*'01 - Dados de Entrada'!$C$56-SUM(H31:J31)</f>
        <v>0</v>
      </c>
      <c r="L31" s="525">
        <f>('04 - Veículos e Equipamentos'!I29)*'01 - Dados de Entrada'!$C$56-SUM(I31:K31)</f>
        <v>0</v>
      </c>
      <c r="M31" s="525">
        <f>('04 - Veículos e Equipamentos'!J29)*'01 - Dados de Entrada'!$C$56-SUM(J31:L31)</f>
        <v>75267</v>
      </c>
      <c r="N31" s="525">
        <f>('04 - Veículos e Equipamentos'!K29)*'01 - Dados de Entrada'!$C$56-SUM(K31:M31)</f>
        <v>0</v>
      </c>
      <c r="O31" s="525">
        <f>('04 - Veículos e Equipamentos'!L29)*'01 - Dados de Entrada'!$C$56-SUM(L31:N31)</f>
        <v>0</v>
      </c>
      <c r="P31" s="525">
        <f>('04 - Veículos e Equipamentos'!M29)*'01 - Dados de Entrada'!$C$56-SUM(M31:O31)</f>
        <v>0</v>
      </c>
      <c r="Q31" s="525">
        <f>('04 - Veículos e Equipamentos'!N29)*'01 - Dados de Entrada'!$C$56-SUM(N31:P31)</f>
        <v>75267</v>
      </c>
      <c r="R31" s="525">
        <f>('04 - Veículos e Equipamentos'!O29)*'01 - Dados de Entrada'!$C$56-SUM(O31:Q31)</f>
        <v>0</v>
      </c>
      <c r="S31" s="525">
        <f>('04 - Veículos e Equipamentos'!P29)*'01 - Dados de Entrada'!$C$56-SUM(P31:R31)</f>
        <v>0</v>
      </c>
      <c r="T31" s="525">
        <f>('04 - Veículos e Equipamentos'!Q29)*'01 - Dados de Entrada'!$C$56-SUM(Q31:S31)</f>
        <v>0</v>
      </c>
      <c r="U31" s="525">
        <f>('04 - Veículos e Equipamentos'!R29)*'01 - Dados de Entrada'!$C$56-SUM(R31:T31)</f>
        <v>75267</v>
      </c>
      <c r="V31" s="525">
        <f>('04 - Veículos e Equipamentos'!S29)*'01 - Dados de Entrada'!$C$56-SUM(S31:U31)</f>
        <v>0</v>
      </c>
      <c r="W31" s="525">
        <f>('04 - Veículos e Equipamentos'!T29)*'01 - Dados de Entrada'!$C$56-SUM(T31:V31)</f>
        <v>0</v>
      </c>
      <c r="X31" s="525">
        <f>('04 - Veículos e Equipamentos'!U29)*'01 - Dados de Entrada'!$C$56-SUM(U31:W31)</f>
        <v>0</v>
      </c>
      <c r="Y31" s="525">
        <f>('04 - Veículos e Equipamentos'!V29)*'01 - Dados de Entrada'!$C$56-SUM(V31:X31)</f>
        <v>75267</v>
      </c>
      <c r="Z31" s="525">
        <f>('04 - Veículos e Equipamentos'!W29)*'01 - Dados de Entrada'!$C$56-SUM(W31:Y31)</f>
        <v>0</v>
      </c>
      <c r="AA31" s="525">
        <f>('04 - Veículos e Equipamentos'!X29)*'01 - Dados de Entrada'!$C$56-SUM(X31:Z31)</f>
        <v>0</v>
      </c>
      <c r="AB31" s="525">
        <f>('04 - Veículos e Equipamentos'!Y29)*'01 - Dados de Entrada'!$C$56-SUM(Y31:AA31)</f>
        <v>0</v>
      </c>
      <c r="AC31" s="525">
        <f>('04 - Veículos e Equipamentos'!Z29)*'01 - Dados de Entrada'!$C$56-SUM(Z31:AB31)</f>
        <v>75267</v>
      </c>
      <c r="AD31" s="525">
        <f>('04 - Veículos e Equipamentos'!AA29)*'01 - Dados de Entrada'!$C$56-SUM(AA31:AC31)</f>
        <v>0</v>
      </c>
      <c r="AE31" s="525">
        <f>('04 - Veículos e Equipamentos'!AB29)*'01 - Dados de Entrada'!$C$56-SUM(AB31:AD31)</f>
        <v>0</v>
      </c>
      <c r="AF31" s="525">
        <f>('04 - Veículos e Equipamentos'!AC29)*'01 - Dados de Entrada'!$C$56-SUM(AC31:AE31)</f>
        <v>0</v>
      </c>
      <c r="AG31" s="525">
        <f>('04 - Veículos e Equipamentos'!AD29)*'01 - Dados de Entrada'!$C$56-SUM(AD31:AF31)</f>
        <v>75267</v>
      </c>
      <c r="AH31" s="525">
        <f>('04 - Veículos e Equipamentos'!AE29)*'01 - Dados de Entrada'!$C$56-SUM(AE31:AG31)</f>
        <v>0</v>
      </c>
      <c r="AI31" s="525">
        <f>('04 - Veículos e Equipamentos'!AF29)*'01 - Dados de Entrada'!$C$56-SUM(AF31:AH31)</f>
        <v>0</v>
      </c>
      <c r="AJ31" s="525">
        <f>('04 - Veículos e Equipamentos'!AG29)*'01 - Dados de Entrada'!$C$56-SUM(AG31:AI31)</f>
        <v>0</v>
      </c>
      <c r="AK31" s="525">
        <f>('04 - Veículos e Equipamentos'!AH29)*'01 - Dados de Entrada'!$C$56-SUM(AH31:AJ31)</f>
        <v>75267</v>
      </c>
      <c r="AL31" s="525">
        <f>('04 - Veículos e Equipamentos'!AI29)*'01 - Dados de Entrada'!$C$56-SUM(AI31:AK31)</f>
        <v>0</v>
      </c>
      <c r="AM31" s="525">
        <f>('04 - Veículos e Equipamentos'!AJ29)*'01 - Dados de Entrada'!$C$56-SUM(AJ31:AL31)</f>
        <v>0</v>
      </c>
    </row>
    <row r="32" spans="1:39" s="22" customFormat="1" ht="13.15" customHeight="1" x14ac:dyDescent="0.2">
      <c r="A32" s="24" t="s">
        <v>1050</v>
      </c>
      <c r="B32" s="24" t="s">
        <v>1086</v>
      </c>
      <c r="C32" s="166"/>
      <c r="D32" s="525">
        <f t="shared" si="2"/>
        <v>1354806</v>
      </c>
      <c r="E32" s="525">
        <f>('04 - Veículos e Equipamentos'!B31)*'01 - Dados de Entrada'!$C$56</f>
        <v>150534</v>
      </c>
      <c r="F32" s="525">
        <f>('04 - Veículos e Equipamentos'!C31)*'01 - Dados de Entrada'!$C$56-SUM(E32)</f>
        <v>0</v>
      </c>
      <c r="G32" s="525">
        <f>('04 - Veículos e Equipamentos'!D31)*'01 - Dados de Entrada'!$C$56-SUM(E32:F32)</f>
        <v>0</v>
      </c>
      <c r="H32" s="525">
        <f>('04 - Veículos e Equipamentos'!E31)*'01 - Dados de Entrada'!$C$56-SUM(E32:G32)</f>
        <v>0</v>
      </c>
      <c r="I32" s="525">
        <f>('04 - Veículos e Equipamentos'!F31)*'01 - Dados de Entrada'!$C$56-SUM(F32:H32)</f>
        <v>150534</v>
      </c>
      <c r="J32" s="525">
        <f>('04 - Veículos e Equipamentos'!G31)*'01 - Dados de Entrada'!$C$56-SUM(G32:I32)</f>
        <v>0</v>
      </c>
      <c r="K32" s="525">
        <f>('04 - Veículos e Equipamentos'!H31)*'01 - Dados de Entrada'!$C$56-SUM(H32:J32)</f>
        <v>0</v>
      </c>
      <c r="L32" s="525">
        <f>('04 - Veículos e Equipamentos'!I31)*'01 - Dados de Entrada'!$C$56-SUM(I32:K32)</f>
        <v>0</v>
      </c>
      <c r="M32" s="525">
        <f>('04 - Veículos e Equipamentos'!J31)*'01 - Dados de Entrada'!$C$56-SUM(J32:L32)</f>
        <v>150534</v>
      </c>
      <c r="N32" s="525">
        <f>('04 - Veículos e Equipamentos'!K31)*'01 - Dados de Entrada'!$C$56-SUM(K32:M32)</f>
        <v>0</v>
      </c>
      <c r="O32" s="525">
        <f>('04 - Veículos e Equipamentos'!L31)*'01 - Dados de Entrada'!$C$56-SUM(L32:N32)</f>
        <v>0</v>
      </c>
      <c r="P32" s="525">
        <f>('04 - Veículos e Equipamentos'!M31)*'01 - Dados de Entrada'!$C$56-SUM(M32:O32)</f>
        <v>0</v>
      </c>
      <c r="Q32" s="525">
        <f>('04 - Veículos e Equipamentos'!N31)*'01 - Dados de Entrada'!$C$56-SUM(N32:P32)</f>
        <v>150534</v>
      </c>
      <c r="R32" s="525">
        <f>('04 - Veículos e Equipamentos'!O31)*'01 - Dados de Entrada'!$C$56-SUM(O32:Q32)</f>
        <v>0</v>
      </c>
      <c r="S32" s="525">
        <f>('04 - Veículos e Equipamentos'!P31)*'01 - Dados de Entrada'!$C$56-SUM(P32:R32)</f>
        <v>0</v>
      </c>
      <c r="T32" s="525">
        <f>('04 - Veículos e Equipamentos'!Q31)*'01 - Dados de Entrada'!$C$56-SUM(Q32:S32)</f>
        <v>0</v>
      </c>
      <c r="U32" s="525">
        <f>('04 - Veículos e Equipamentos'!R31)*'01 - Dados de Entrada'!$C$56-SUM(R32:T32)</f>
        <v>150534</v>
      </c>
      <c r="V32" s="525">
        <f>('04 - Veículos e Equipamentos'!S31)*'01 - Dados de Entrada'!$C$56-SUM(S32:U32)</f>
        <v>0</v>
      </c>
      <c r="W32" s="525">
        <f>('04 - Veículos e Equipamentos'!T31)*'01 - Dados de Entrada'!$C$56-SUM(T32:V32)</f>
        <v>0</v>
      </c>
      <c r="X32" s="525">
        <f>('04 - Veículos e Equipamentos'!U31)*'01 - Dados de Entrada'!$C$56-SUM(U32:W32)</f>
        <v>0</v>
      </c>
      <c r="Y32" s="525">
        <f>('04 - Veículos e Equipamentos'!V31)*'01 - Dados de Entrada'!$C$56-SUM(V32:X32)</f>
        <v>150534</v>
      </c>
      <c r="Z32" s="525">
        <f>('04 - Veículos e Equipamentos'!W31)*'01 - Dados de Entrada'!$C$56-SUM(W32:Y32)</f>
        <v>0</v>
      </c>
      <c r="AA32" s="525">
        <f>('04 - Veículos e Equipamentos'!X31)*'01 - Dados de Entrada'!$C$56-SUM(X32:Z32)</f>
        <v>0</v>
      </c>
      <c r="AB32" s="525">
        <f>('04 - Veículos e Equipamentos'!Y31)*'01 - Dados de Entrada'!$C$56-SUM(Y32:AA32)</f>
        <v>0</v>
      </c>
      <c r="AC32" s="525">
        <f>('04 - Veículos e Equipamentos'!Z31)*'01 - Dados de Entrada'!$C$56-SUM(Z32:AB32)</f>
        <v>150534</v>
      </c>
      <c r="AD32" s="525">
        <f>('04 - Veículos e Equipamentos'!AA31)*'01 - Dados de Entrada'!$C$56-SUM(AA32:AC32)</f>
        <v>0</v>
      </c>
      <c r="AE32" s="525">
        <f>('04 - Veículos e Equipamentos'!AB31)*'01 - Dados de Entrada'!$C$56-SUM(AB32:AD32)</f>
        <v>0</v>
      </c>
      <c r="AF32" s="525">
        <f>('04 - Veículos e Equipamentos'!AC31)*'01 - Dados de Entrada'!$C$56-SUM(AC32:AE32)</f>
        <v>0</v>
      </c>
      <c r="AG32" s="525">
        <f>('04 - Veículos e Equipamentos'!AD31)*'01 - Dados de Entrada'!$C$56-SUM(AD32:AF32)</f>
        <v>150534</v>
      </c>
      <c r="AH32" s="525">
        <f>('04 - Veículos e Equipamentos'!AE31)*'01 - Dados de Entrada'!$C$56-SUM(AE32:AG32)</f>
        <v>0</v>
      </c>
      <c r="AI32" s="525">
        <f>('04 - Veículos e Equipamentos'!AF31)*'01 - Dados de Entrada'!$C$56-SUM(AF32:AH32)</f>
        <v>0</v>
      </c>
      <c r="AJ32" s="525">
        <f>('04 - Veículos e Equipamentos'!AG31)*'01 - Dados de Entrada'!$C$56-SUM(AG32:AI32)</f>
        <v>0</v>
      </c>
      <c r="AK32" s="525">
        <f>('04 - Veículos e Equipamentos'!AH31)*'01 - Dados de Entrada'!$C$56-SUM(AH32:AJ32)</f>
        <v>150534</v>
      </c>
      <c r="AL32" s="525">
        <f>('04 - Veículos e Equipamentos'!AI31)*'01 - Dados de Entrada'!$C$56-SUM(AI32:AK32)</f>
        <v>0</v>
      </c>
      <c r="AM32" s="525">
        <f>('04 - Veículos e Equipamentos'!AJ31)*'01 - Dados de Entrada'!$C$56-SUM(AJ32:AL32)</f>
        <v>0</v>
      </c>
    </row>
    <row r="33" spans="1:39" ht="13.15" customHeight="1" x14ac:dyDescent="0.2">
      <c r="A33" s="198" t="s">
        <v>944</v>
      </c>
      <c r="B33" s="198"/>
      <c r="C33" s="512" t="s">
        <v>1096</v>
      </c>
      <c r="D33" s="524">
        <f t="shared" si="2"/>
        <v>6786000</v>
      </c>
      <c r="E33" s="524">
        <f t="shared" ref="E33:AM33" si="29">SUM(E34:E35)</f>
        <v>1357200</v>
      </c>
      <c r="F33" s="524">
        <f t="shared" si="29"/>
        <v>0</v>
      </c>
      <c r="G33" s="524">
        <f t="shared" si="29"/>
        <v>0</v>
      </c>
      <c r="H33" s="524">
        <f t="shared" si="29"/>
        <v>0</v>
      </c>
      <c r="I33" s="524">
        <f t="shared" si="29"/>
        <v>0</v>
      </c>
      <c r="J33" s="524">
        <f t="shared" si="29"/>
        <v>0</v>
      </c>
      <c r="K33" s="524">
        <f t="shared" si="29"/>
        <v>0</v>
      </c>
      <c r="L33" s="524">
        <f t="shared" si="29"/>
        <v>1357200</v>
      </c>
      <c r="M33" s="524">
        <f t="shared" si="29"/>
        <v>0</v>
      </c>
      <c r="N33" s="524">
        <f t="shared" si="29"/>
        <v>0</v>
      </c>
      <c r="O33" s="524">
        <f t="shared" si="29"/>
        <v>0</v>
      </c>
      <c r="P33" s="524">
        <f t="shared" si="29"/>
        <v>0</v>
      </c>
      <c r="Q33" s="524">
        <f t="shared" si="29"/>
        <v>0</v>
      </c>
      <c r="R33" s="524">
        <f t="shared" si="29"/>
        <v>0</v>
      </c>
      <c r="S33" s="524">
        <f t="shared" si="29"/>
        <v>1357200</v>
      </c>
      <c r="T33" s="524">
        <f t="shared" si="29"/>
        <v>0</v>
      </c>
      <c r="U33" s="524">
        <f t="shared" si="29"/>
        <v>0</v>
      </c>
      <c r="V33" s="524">
        <f t="shared" si="29"/>
        <v>0</v>
      </c>
      <c r="W33" s="524">
        <f t="shared" si="29"/>
        <v>0</v>
      </c>
      <c r="X33" s="524">
        <f t="shared" si="29"/>
        <v>0</v>
      </c>
      <c r="Y33" s="524">
        <f t="shared" si="29"/>
        <v>0</v>
      </c>
      <c r="Z33" s="524">
        <f t="shared" si="29"/>
        <v>1357200</v>
      </c>
      <c r="AA33" s="524">
        <f t="shared" si="29"/>
        <v>0</v>
      </c>
      <c r="AB33" s="524">
        <f t="shared" si="29"/>
        <v>0</v>
      </c>
      <c r="AC33" s="524">
        <f t="shared" si="29"/>
        <v>0</v>
      </c>
      <c r="AD33" s="524">
        <f t="shared" si="29"/>
        <v>0</v>
      </c>
      <c r="AE33" s="524">
        <f t="shared" si="29"/>
        <v>0</v>
      </c>
      <c r="AF33" s="524">
        <f t="shared" si="29"/>
        <v>0</v>
      </c>
      <c r="AG33" s="524">
        <f t="shared" si="29"/>
        <v>1357200</v>
      </c>
      <c r="AH33" s="524">
        <f t="shared" si="29"/>
        <v>0</v>
      </c>
      <c r="AI33" s="524">
        <f t="shared" si="29"/>
        <v>0</v>
      </c>
      <c r="AJ33" s="524">
        <f t="shared" si="29"/>
        <v>0</v>
      </c>
      <c r="AK33" s="524">
        <f t="shared" si="29"/>
        <v>0</v>
      </c>
      <c r="AL33" s="524">
        <f t="shared" si="29"/>
        <v>0</v>
      </c>
      <c r="AM33" s="524">
        <f t="shared" si="29"/>
        <v>0</v>
      </c>
    </row>
    <row r="34" spans="1:39" s="22" customFormat="1" ht="13.15" customHeight="1" x14ac:dyDescent="0.2">
      <c r="A34" s="36" t="s">
        <v>813</v>
      </c>
      <c r="B34" s="36" t="s">
        <v>1086</v>
      </c>
      <c r="C34" s="166"/>
      <c r="D34" s="525">
        <f t="shared" si="2"/>
        <v>3393000</v>
      </c>
      <c r="E34" s="525">
        <f>'04 - Veículos e Equipamentos'!B41*('01 - Dados de Entrada'!$C$44+'01 - Dados de Entrada'!$C$64)</f>
        <v>678600</v>
      </c>
      <c r="F34" s="525">
        <f>'04 - Veículos e Equipamentos'!C41*('01 - Dados de Entrada'!$C$44+'01 - Dados de Entrada'!$C$64)-SUM(E34)</f>
        <v>0</v>
      </c>
      <c r="G34" s="525">
        <f>'04 - Veículos e Equipamentos'!D41*('01 - Dados de Entrada'!$C$44+'01 - Dados de Entrada'!$C$64)-SUM(E34:F34)</f>
        <v>0</v>
      </c>
      <c r="H34" s="525">
        <f>'04 - Veículos e Equipamentos'!E41*('01 - Dados de Entrada'!$C$44+'01 - Dados de Entrada'!$C$64)-SUM(E34:G34)</f>
        <v>0</v>
      </c>
      <c r="I34" s="525">
        <f>'04 - Veículos e Equipamentos'!F41*('01 - Dados de Entrada'!$C$44+'01 - Dados de Entrada'!$C$64)-SUM(E34:H34)</f>
        <v>0</v>
      </c>
      <c r="J34" s="525">
        <f>'04 - Veículos e Equipamentos'!G41*('01 - Dados de Entrada'!$C$44+'01 - Dados de Entrada'!$C$64)-SUM(E34:I34)</f>
        <v>0</v>
      </c>
      <c r="K34" s="525">
        <f>'04 - Veículos e Equipamentos'!H41*('01 - Dados de Entrada'!$C$44+'01 - Dados de Entrada'!$C$64)-SUM(E34:J34)</f>
        <v>0</v>
      </c>
      <c r="L34" s="525">
        <f>'04 - Veículos e Equipamentos'!I41*('01 - Dados de Entrada'!$C$44+'01 - Dados de Entrada'!$C$64)-SUM(F34:K34)</f>
        <v>678600</v>
      </c>
      <c r="M34" s="525">
        <f>'04 - Veículos e Equipamentos'!J41*('01 - Dados de Entrada'!$C$44+'01 - Dados de Entrada'!$C$64)-SUM(G34:L34)</f>
        <v>0</v>
      </c>
      <c r="N34" s="525">
        <f>'04 - Veículos e Equipamentos'!K41*('01 - Dados de Entrada'!$C$44+'01 - Dados de Entrada'!$C$64)-SUM(H34:M34)</f>
        <v>0</v>
      </c>
      <c r="O34" s="525">
        <f>'04 - Veículos e Equipamentos'!L41*('01 - Dados de Entrada'!$C$44+'01 - Dados de Entrada'!$C$64)-SUM(I34:N34)</f>
        <v>0</v>
      </c>
      <c r="P34" s="525">
        <f>'04 - Veículos e Equipamentos'!M41*('01 - Dados de Entrada'!$C$44+'01 - Dados de Entrada'!$C$64)-SUM(J34:O34)</f>
        <v>0</v>
      </c>
      <c r="Q34" s="525">
        <f>'04 - Veículos e Equipamentos'!N41*('01 - Dados de Entrada'!$C$44+'01 - Dados de Entrada'!$C$64)-SUM(K34:P34)</f>
        <v>0</v>
      </c>
      <c r="R34" s="525">
        <f>'04 - Veículos e Equipamentos'!O41*('01 - Dados de Entrada'!$C$44+'01 - Dados de Entrada'!$C$64)-SUM(L34:Q34)</f>
        <v>0</v>
      </c>
      <c r="S34" s="525">
        <f>'04 - Veículos e Equipamentos'!P41*('01 - Dados de Entrada'!$C$44+'01 - Dados de Entrada'!$C$64)-SUM(M34:R34)</f>
        <v>678600</v>
      </c>
      <c r="T34" s="525">
        <f>'04 - Veículos e Equipamentos'!Q41*('01 - Dados de Entrada'!$C$44+'01 - Dados de Entrada'!$C$64)-SUM(N34:S34)</f>
        <v>0</v>
      </c>
      <c r="U34" s="525">
        <f>'04 - Veículos e Equipamentos'!R41*('01 - Dados de Entrada'!$C$44+'01 - Dados de Entrada'!$C$64)-SUM(O34:T34)</f>
        <v>0</v>
      </c>
      <c r="V34" s="525">
        <f>'04 - Veículos e Equipamentos'!S41*('01 - Dados de Entrada'!$C$44+'01 - Dados de Entrada'!$C$64)-SUM(P34:U34)</f>
        <v>0</v>
      </c>
      <c r="W34" s="525">
        <f>'04 - Veículos e Equipamentos'!T41*('01 - Dados de Entrada'!$C$44+'01 - Dados de Entrada'!$C$64)-SUM(Q34:V34)</f>
        <v>0</v>
      </c>
      <c r="X34" s="525">
        <f>'04 - Veículos e Equipamentos'!U41*('01 - Dados de Entrada'!$C$44+'01 - Dados de Entrada'!$C$64)-SUM(R34:W34)</f>
        <v>0</v>
      </c>
      <c r="Y34" s="525">
        <f>'04 - Veículos e Equipamentos'!V41*('01 - Dados de Entrada'!$C$44+'01 - Dados de Entrada'!$C$64)-SUM(S34:X34)</f>
        <v>0</v>
      </c>
      <c r="Z34" s="525">
        <f>'04 - Veículos e Equipamentos'!W41*('01 - Dados de Entrada'!$C$44+'01 - Dados de Entrada'!$C$64)-SUM(T34:Y34)</f>
        <v>678600</v>
      </c>
      <c r="AA34" s="525">
        <f>'04 - Veículos e Equipamentos'!X41*('01 - Dados de Entrada'!$C$44+'01 - Dados de Entrada'!$C$64)-SUM(U34:Z34)</f>
        <v>0</v>
      </c>
      <c r="AB34" s="525">
        <f>'04 - Veículos e Equipamentos'!Y41*('01 - Dados de Entrada'!$C$44+'01 - Dados de Entrada'!$C$64)-SUM(V34:AA34)</f>
        <v>0</v>
      </c>
      <c r="AC34" s="525">
        <f>'04 - Veículos e Equipamentos'!Z41*('01 - Dados de Entrada'!$C$44+'01 - Dados de Entrada'!$C$64)-SUM(W34:AB34)</f>
        <v>0</v>
      </c>
      <c r="AD34" s="525">
        <f>'04 - Veículos e Equipamentos'!AA41*('01 - Dados de Entrada'!$C$44+'01 - Dados de Entrada'!$C$64)-SUM(X34:AC34)</f>
        <v>0</v>
      </c>
      <c r="AE34" s="525">
        <f>'04 - Veículos e Equipamentos'!AB41*('01 - Dados de Entrada'!$C$44+'01 - Dados de Entrada'!$C$64)-SUM(Y34:AD34)</f>
        <v>0</v>
      </c>
      <c r="AF34" s="525">
        <f>'04 - Veículos e Equipamentos'!AC41*('01 - Dados de Entrada'!$C$44+'01 - Dados de Entrada'!$C$64)-SUM(Z34:AE34)</f>
        <v>0</v>
      </c>
      <c r="AG34" s="525">
        <f>'04 - Veículos e Equipamentos'!AD41*('01 - Dados de Entrada'!$C$44+'01 - Dados de Entrada'!$C$64)-SUM(AA34:AF34)</f>
        <v>678600</v>
      </c>
      <c r="AH34" s="525">
        <f>'04 - Veículos e Equipamentos'!AE41*('01 - Dados de Entrada'!$C$44+'01 - Dados de Entrada'!$C$64)-SUM(AB34:AG34)</f>
        <v>0</v>
      </c>
      <c r="AI34" s="525">
        <f>'04 - Veículos e Equipamentos'!AF41*('01 - Dados de Entrada'!$C$44+'01 - Dados de Entrada'!$C$64)-SUM(AC34:AH34)</f>
        <v>0</v>
      </c>
      <c r="AJ34" s="525">
        <f>'04 - Veículos e Equipamentos'!AG41*('01 - Dados de Entrada'!$C$44+'01 - Dados de Entrada'!$C$64)-SUM(AD34:AI34)</f>
        <v>0</v>
      </c>
      <c r="AK34" s="525">
        <f>'04 - Veículos e Equipamentos'!AH41*('01 - Dados de Entrada'!$C$44+'01 - Dados de Entrada'!$C$64)-SUM(AE34:AJ34)</f>
        <v>0</v>
      </c>
      <c r="AL34" s="525">
        <f>'04 - Veículos e Equipamentos'!AI41*('01 - Dados de Entrada'!$C$44+'01 - Dados de Entrada'!$C$64)-SUM(AF34:AK34)</f>
        <v>0</v>
      </c>
      <c r="AM34" s="525">
        <f>'04 - Veículos e Equipamentos'!AJ41*('01 - Dados de Entrada'!$C$44+'01 - Dados de Entrada'!$C$64)-SUM(AG34:AL34)</f>
        <v>0</v>
      </c>
    </row>
    <row r="35" spans="1:39" s="22" customFormat="1" ht="13.15" customHeight="1" x14ac:dyDescent="0.2">
      <c r="A35" s="36" t="s">
        <v>814</v>
      </c>
      <c r="B35" s="36" t="s">
        <v>1086</v>
      </c>
      <c r="C35" s="166"/>
      <c r="D35" s="525">
        <f t="shared" si="2"/>
        <v>3393000</v>
      </c>
      <c r="E35" s="525">
        <f>'04 - Veículos e Equipamentos'!B42*('01 - Dados de Entrada'!$C$44+'01 - Dados de Entrada'!$C$64)</f>
        <v>678600</v>
      </c>
      <c r="F35" s="525">
        <f>'04 - Veículos e Equipamentos'!C42*('01 - Dados de Entrada'!$C$44+'01 - Dados de Entrada'!$C$64)-SUM(E35)</f>
        <v>0</v>
      </c>
      <c r="G35" s="525">
        <f>'04 - Veículos e Equipamentos'!D42*('01 - Dados de Entrada'!$C$44+'01 - Dados de Entrada'!$C$64)-SUM(E35:F35)</f>
        <v>0</v>
      </c>
      <c r="H35" s="525">
        <f>'04 - Veículos e Equipamentos'!E42*('01 - Dados de Entrada'!$C$44+'01 - Dados de Entrada'!$C$64)-SUM(E35:G35)</f>
        <v>0</v>
      </c>
      <c r="I35" s="525">
        <f>'04 - Veículos e Equipamentos'!F42*('01 - Dados de Entrada'!$C$44+'01 - Dados de Entrada'!$C$64)-SUM(E35:H35)</f>
        <v>0</v>
      </c>
      <c r="J35" s="525">
        <f>'04 - Veículos e Equipamentos'!G42*('01 - Dados de Entrada'!$C$44+'01 - Dados de Entrada'!$C$64)-SUM(E35:I35)</f>
        <v>0</v>
      </c>
      <c r="K35" s="525">
        <f>'04 - Veículos e Equipamentos'!H42*('01 - Dados de Entrada'!$C$44+'01 - Dados de Entrada'!$C$64)-SUM(E35:J35)</f>
        <v>0</v>
      </c>
      <c r="L35" s="525">
        <f>'04 - Veículos e Equipamentos'!I42*('01 - Dados de Entrada'!$C$44+'01 - Dados de Entrada'!$C$64)-SUM(F35:K35)</f>
        <v>678600</v>
      </c>
      <c r="M35" s="525">
        <f>'04 - Veículos e Equipamentos'!J42*('01 - Dados de Entrada'!$C$44+'01 - Dados de Entrada'!$C$64)-SUM(G35:L35)</f>
        <v>0</v>
      </c>
      <c r="N35" s="525">
        <f>'04 - Veículos e Equipamentos'!K42*('01 - Dados de Entrada'!$C$44+'01 - Dados de Entrada'!$C$64)-SUM(H35:M35)</f>
        <v>0</v>
      </c>
      <c r="O35" s="525">
        <f>'04 - Veículos e Equipamentos'!L42*('01 - Dados de Entrada'!$C$44+'01 - Dados de Entrada'!$C$64)-SUM(I35:N35)</f>
        <v>0</v>
      </c>
      <c r="P35" s="525">
        <f>'04 - Veículos e Equipamentos'!M42*('01 - Dados de Entrada'!$C$44+'01 - Dados de Entrada'!$C$64)-SUM(J35:O35)</f>
        <v>0</v>
      </c>
      <c r="Q35" s="525">
        <f>'04 - Veículos e Equipamentos'!N42*('01 - Dados de Entrada'!$C$44+'01 - Dados de Entrada'!$C$64)-SUM(K35:P35)</f>
        <v>0</v>
      </c>
      <c r="R35" s="525">
        <f>'04 - Veículos e Equipamentos'!O42*('01 - Dados de Entrada'!$C$44+'01 - Dados de Entrada'!$C$64)-SUM(L35:Q35)</f>
        <v>0</v>
      </c>
      <c r="S35" s="525">
        <f>'04 - Veículos e Equipamentos'!P42*('01 - Dados de Entrada'!$C$44+'01 - Dados de Entrada'!$C$64)-SUM(M35:R35)</f>
        <v>678600</v>
      </c>
      <c r="T35" s="525">
        <f>'04 - Veículos e Equipamentos'!Q42*('01 - Dados de Entrada'!$C$44+'01 - Dados de Entrada'!$C$64)-SUM(N35:S35)</f>
        <v>0</v>
      </c>
      <c r="U35" s="525">
        <f>'04 - Veículos e Equipamentos'!R42*('01 - Dados de Entrada'!$C$44+'01 - Dados de Entrada'!$C$64)-SUM(O35:T35)</f>
        <v>0</v>
      </c>
      <c r="V35" s="525">
        <f>'04 - Veículos e Equipamentos'!S42*('01 - Dados de Entrada'!$C$44+'01 - Dados de Entrada'!$C$64)-SUM(P35:U35)</f>
        <v>0</v>
      </c>
      <c r="W35" s="525">
        <f>'04 - Veículos e Equipamentos'!T42*('01 - Dados de Entrada'!$C$44+'01 - Dados de Entrada'!$C$64)-SUM(Q35:V35)</f>
        <v>0</v>
      </c>
      <c r="X35" s="525">
        <f>'04 - Veículos e Equipamentos'!U42*('01 - Dados de Entrada'!$C$44+'01 - Dados de Entrada'!$C$64)-SUM(R35:W35)</f>
        <v>0</v>
      </c>
      <c r="Y35" s="525">
        <f>'04 - Veículos e Equipamentos'!V42*('01 - Dados de Entrada'!$C$44+'01 - Dados de Entrada'!$C$64)-SUM(S35:X35)</f>
        <v>0</v>
      </c>
      <c r="Z35" s="525">
        <f>'04 - Veículos e Equipamentos'!W42*('01 - Dados de Entrada'!$C$44+'01 - Dados de Entrada'!$C$64)-SUM(T35:Y35)</f>
        <v>678600</v>
      </c>
      <c r="AA35" s="525">
        <f>'04 - Veículos e Equipamentos'!X42*('01 - Dados de Entrada'!$C$44+'01 - Dados de Entrada'!$C$64)-SUM(U35:Z35)</f>
        <v>0</v>
      </c>
      <c r="AB35" s="525">
        <f>'04 - Veículos e Equipamentos'!Y42*('01 - Dados de Entrada'!$C$44+'01 - Dados de Entrada'!$C$64)-SUM(V35:AA35)</f>
        <v>0</v>
      </c>
      <c r="AC35" s="525">
        <f>'04 - Veículos e Equipamentos'!Z42*('01 - Dados de Entrada'!$C$44+'01 - Dados de Entrada'!$C$64)-SUM(W35:AB35)</f>
        <v>0</v>
      </c>
      <c r="AD35" s="525">
        <f>'04 - Veículos e Equipamentos'!AA42*('01 - Dados de Entrada'!$C$44+'01 - Dados de Entrada'!$C$64)-SUM(X35:AC35)</f>
        <v>0</v>
      </c>
      <c r="AE35" s="525">
        <f>'04 - Veículos e Equipamentos'!AB42*('01 - Dados de Entrada'!$C$44+'01 - Dados de Entrada'!$C$64)-SUM(Y35:AD35)</f>
        <v>0</v>
      </c>
      <c r="AF35" s="525">
        <f>'04 - Veículos e Equipamentos'!AC42*('01 - Dados de Entrada'!$C$44+'01 - Dados de Entrada'!$C$64)-SUM(Z35:AE35)</f>
        <v>0</v>
      </c>
      <c r="AG35" s="525">
        <f>'04 - Veículos e Equipamentos'!AD42*('01 - Dados de Entrada'!$C$44+'01 - Dados de Entrada'!$C$64)-SUM(AA35:AF35)</f>
        <v>678600</v>
      </c>
      <c r="AH35" s="525">
        <f>'04 - Veículos e Equipamentos'!AE42*('01 - Dados de Entrada'!$C$44+'01 - Dados de Entrada'!$C$64)-SUM(AB35:AG35)</f>
        <v>0</v>
      </c>
      <c r="AI35" s="525">
        <f>'04 - Veículos e Equipamentos'!AF42*('01 - Dados de Entrada'!$C$44+'01 - Dados de Entrada'!$C$64)-SUM(AC35:AH35)</f>
        <v>0</v>
      </c>
      <c r="AJ35" s="525">
        <f>'04 - Veículos e Equipamentos'!AG42*('01 - Dados de Entrada'!$C$44+'01 - Dados de Entrada'!$C$64)-SUM(AD35:AI35)</f>
        <v>0</v>
      </c>
      <c r="AK35" s="525">
        <f>'04 - Veículos e Equipamentos'!AH42*('01 - Dados de Entrada'!$C$44+'01 - Dados de Entrada'!$C$64)-SUM(AE35:AJ35)</f>
        <v>0</v>
      </c>
      <c r="AL35" s="525">
        <f>'04 - Veículos e Equipamentos'!AI42*('01 - Dados de Entrada'!$C$44+'01 - Dados de Entrada'!$C$64)-SUM(AF35:AK35)</f>
        <v>0</v>
      </c>
      <c r="AM35" s="525">
        <f>'04 - Veículos e Equipamentos'!AJ42*('01 - Dados de Entrada'!$C$44+'01 - Dados de Entrada'!$C$64)-SUM(AG35:AL35)</f>
        <v>0</v>
      </c>
    </row>
    <row r="36" spans="1:39" ht="13.15" customHeight="1" x14ac:dyDescent="0.2">
      <c r="A36" s="198" t="s">
        <v>880</v>
      </c>
      <c r="B36" s="198"/>
      <c r="C36" s="512" t="s">
        <v>1096</v>
      </c>
      <c r="D36" s="524">
        <f t="shared" si="2"/>
        <v>13910445.216666665</v>
      </c>
      <c r="E36" s="524">
        <f>SUM(E37:E47)</f>
        <v>2573344.7966666664</v>
      </c>
      <c r="F36" s="524">
        <f t="shared" ref="F36:AM36" si="30">SUM(F37:F47)</f>
        <v>116315</v>
      </c>
      <c r="G36" s="524">
        <f t="shared" si="30"/>
        <v>116315</v>
      </c>
      <c r="H36" s="524">
        <f t="shared" si="30"/>
        <v>0</v>
      </c>
      <c r="I36" s="524">
        <f t="shared" si="30"/>
        <v>17119</v>
      </c>
      <c r="J36" s="524">
        <f t="shared" si="30"/>
        <v>219978.61666666667</v>
      </c>
      <c r="K36" s="524">
        <f t="shared" si="30"/>
        <v>116315</v>
      </c>
      <c r="L36" s="524">
        <f t="shared" si="30"/>
        <v>2452562.1799999997</v>
      </c>
      <c r="M36" s="524">
        <f t="shared" si="30"/>
        <v>17119</v>
      </c>
      <c r="N36" s="524">
        <f t="shared" si="30"/>
        <v>0</v>
      </c>
      <c r="O36" s="524">
        <f t="shared" si="30"/>
        <v>219978.61666666667</v>
      </c>
      <c r="P36" s="524">
        <f t="shared" si="30"/>
        <v>116315</v>
      </c>
      <c r="Q36" s="524">
        <f t="shared" si="30"/>
        <v>133434</v>
      </c>
      <c r="R36" s="524">
        <f t="shared" si="30"/>
        <v>0</v>
      </c>
      <c r="S36" s="524">
        <f t="shared" si="30"/>
        <v>1971873.18</v>
      </c>
      <c r="T36" s="524">
        <f t="shared" si="30"/>
        <v>219978.61666666667</v>
      </c>
      <c r="U36" s="524">
        <f t="shared" si="30"/>
        <v>133434</v>
      </c>
      <c r="V36" s="524">
        <f t="shared" si="30"/>
        <v>116315</v>
      </c>
      <c r="W36" s="524">
        <f t="shared" si="30"/>
        <v>0</v>
      </c>
      <c r="X36" s="524">
        <f t="shared" si="30"/>
        <v>0</v>
      </c>
      <c r="Y36" s="524">
        <f t="shared" si="30"/>
        <v>237097.61666666667</v>
      </c>
      <c r="Z36" s="524">
        <f t="shared" si="30"/>
        <v>2088188.18</v>
      </c>
      <c r="AA36" s="524">
        <f t="shared" si="30"/>
        <v>116315</v>
      </c>
      <c r="AB36" s="524">
        <f t="shared" si="30"/>
        <v>0</v>
      </c>
      <c r="AC36" s="524">
        <f t="shared" si="30"/>
        <v>17119</v>
      </c>
      <c r="AD36" s="524">
        <f t="shared" si="30"/>
        <v>219978.61666666667</v>
      </c>
      <c r="AE36" s="524">
        <f t="shared" si="30"/>
        <v>116315</v>
      </c>
      <c r="AF36" s="524">
        <f t="shared" si="30"/>
        <v>116315</v>
      </c>
      <c r="AG36" s="524">
        <f t="shared" si="30"/>
        <v>1988992.18</v>
      </c>
      <c r="AH36" s="524">
        <f t="shared" si="30"/>
        <v>0</v>
      </c>
      <c r="AI36" s="524">
        <f t="shared" si="30"/>
        <v>219978.61666666667</v>
      </c>
      <c r="AJ36" s="524">
        <f t="shared" si="30"/>
        <v>116315</v>
      </c>
      <c r="AK36" s="524">
        <f t="shared" si="30"/>
        <v>133434</v>
      </c>
      <c r="AL36" s="524">
        <f t="shared" si="30"/>
        <v>0</v>
      </c>
      <c r="AM36" s="524">
        <f t="shared" si="30"/>
        <v>0</v>
      </c>
    </row>
    <row r="37" spans="1:39" s="8" customFormat="1" ht="13.15" customHeight="1" x14ac:dyDescent="0.2">
      <c r="A37" s="24" t="s">
        <v>1051</v>
      </c>
      <c r="B37" s="24" t="s">
        <v>1086</v>
      </c>
      <c r="C37" s="166"/>
      <c r="D37" s="525">
        <f t="shared" si="2"/>
        <v>3238262.8000000003</v>
      </c>
      <c r="E37" s="525">
        <f>'04 - Veículos e Equipamentos'!B44*('01 - Dados de Entrada'!$C$65+'01 - Dados de Entrada'!$C$66)</f>
        <v>647652.56000000006</v>
      </c>
      <c r="F37" s="525">
        <f>'04 - Veículos e Equipamentos'!C44*('01 - Dados de Entrada'!$C$65+'01 - Dados de Entrada'!$C$66)-SUM(E37)</f>
        <v>0</v>
      </c>
      <c r="G37" s="525">
        <f>'04 - Veículos e Equipamentos'!D44*('01 - Dados de Entrada'!$C$65+'01 - Dados de Entrada'!$C$66)-SUM(E37:F37)</f>
        <v>0</v>
      </c>
      <c r="H37" s="525">
        <f>'04 - Veículos e Equipamentos'!E44*('01 - Dados de Entrada'!$C$65+'01 - Dados de Entrada'!$C$66)-SUM(E37:G37)</f>
        <v>0</v>
      </c>
      <c r="I37" s="525">
        <f>'04 - Veículos e Equipamentos'!F44*('01 - Dados de Entrada'!$C$65+'01 - Dados de Entrada'!$C$66)-SUM(E37:H37)</f>
        <v>0</v>
      </c>
      <c r="J37" s="525">
        <f>'04 - Veículos e Equipamentos'!G44*('01 - Dados de Entrada'!$C$65+'01 - Dados de Entrada'!$C$66)-SUM(E37:I37)</f>
        <v>0</v>
      </c>
      <c r="K37" s="525">
        <f>'04 - Veículos e Equipamentos'!H44*('01 - Dados de Entrada'!$C$65+'01 - Dados de Entrada'!$C$66)-SUM(E37:J37)</f>
        <v>0</v>
      </c>
      <c r="L37" s="525">
        <f>'04 - Veículos e Equipamentos'!I44*('01 - Dados de Entrada'!$C$65+'01 - Dados de Entrada'!$C$66)-SUM(F37:K37)</f>
        <v>647652.56000000006</v>
      </c>
      <c r="M37" s="525">
        <f>'04 - Veículos e Equipamentos'!J44*('01 - Dados de Entrada'!$C$65+'01 - Dados de Entrada'!$C$66)-SUM(G37:L37)</f>
        <v>0</v>
      </c>
      <c r="N37" s="525">
        <f>'04 - Veículos e Equipamentos'!K44*('01 - Dados de Entrada'!$C$65+'01 - Dados de Entrada'!$C$66)-SUM(H37:M37)</f>
        <v>0</v>
      </c>
      <c r="O37" s="525">
        <f>'04 - Veículos e Equipamentos'!L44*('01 - Dados de Entrada'!$C$65+'01 - Dados de Entrada'!$C$66)-SUM(I37:N37)</f>
        <v>0</v>
      </c>
      <c r="P37" s="525">
        <f>'04 - Veículos e Equipamentos'!M44*('01 - Dados de Entrada'!$C$65+'01 - Dados de Entrada'!$C$66)-SUM(J37:O37)</f>
        <v>0</v>
      </c>
      <c r="Q37" s="525">
        <f>'04 - Veículos e Equipamentos'!N44*('01 - Dados de Entrada'!$C$65+'01 - Dados de Entrada'!$C$66)-SUM(K37:P37)</f>
        <v>0</v>
      </c>
      <c r="R37" s="525">
        <f>'04 - Veículos e Equipamentos'!O44*('01 - Dados de Entrada'!$C$65+'01 - Dados de Entrada'!$C$66)-SUM(L37:Q37)</f>
        <v>0</v>
      </c>
      <c r="S37" s="525">
        <f>'04 - Veículos e Equipamentos'!P44*('01 - Dados de Entrada'!$C$65+'01 - Dados de Entrada'!$C$66)-SUM(M37:R37)</f>
        <v>647652.56000000006</v>
      </c>
      <c r="T37" s="525">
        <f>'04 - Veículos e Equipamentos'!Q44*('01 - Dados de Entrada'!$C$65+'01 - Dados de Entrada'!$C$66)-SUM(N37:S37)</f>
        <v>0</v>
      </c>
      <c r="U37" s="525">
        <f>'04 - Veículos e Equipamentos'!R44*('01 - Dados de Entrada'!$C$65+'01 - Dados de Entrada'!$C$66)-SUM(O37:T37)</f>
        <v>0</v>
      </c>
      <c r="V37" s="525">
        <f>'04 - Veículos e Equipamentos'!S44*('01 - Dados de Entrada'!$C$65+'01 - Dados de Entrada'!$C$66)-SUM(P37:U37)</f>
        <v>0</v>
      </c>
      <c r="W37" s="525">
        <f>'04 - Veículos e Equipamentos'!T44*('01 - Dados de Entrada'!$C$65+'01 - Dados de Entrada'!$C$66)-SUM(Q37:V37)</f>
        <v>0</v>
      </c>
      <c r="X37" s="525">
        <f>'04 - Veículos e Equipamentos'!U44*('01 - Dados de Entrada'!$C$65+'01 - Dados de Entrada'!$C$66)-SUM(R37:W37)</f>
        <v>0</v>
      </c>
      <c r="Y37" s="525">
        <f>'04 - Veículos e Equipamentos'!V44*('01 - Dados de Entrada'!$C$65+'01 - Dados de Entrada'!$C$66)-SUM(S37:X37)</f>
        <v>0</v>
      </c>
      <c r="Z37" s="525">
        <f>'04 - Veículos e Equipamentos'!W44*('01 - Dados de Entrada'!$C$65+'01 - Dados de Entrada'!$C$66)-SUM(T37:Y37)</f>
        <v>647652.56000000006</v>
      </c>
      <c r="AA37" s="525">
        <f>'04 - Veículos e Equipamentos'!X44*('01 - Dados de Entrada'!$C$65+'01 - Dados de Entrada'!$C$66)-SUM(U37:Z37)</f>
        <v>0</v>
      </c>
      <c r="AB37" s="525">
        <f>'04 - Veículos e Equipamentos'!Y44*('01 - Dados de Entrada'!$C$65+'01 - Dados de Entrada'!$C$66)-SUM(V37:AA37)</f>
        <v>0</v>
      </c>
      <c r="AC37" s="525">
        <f>'04 - Veículos e Equipamentos'!Z44*('01 - Dados de Entrada'!$C$65+'01 - Dados de Entrada'!$C$66)-SUM(W37:AB37)</f>
        <v>0</v>
      </c>
      <c r="AD37" s="525">
        <f>'04 - Veículos e Equipamentos'!AA44*('01 - Dados de Entrada'!$C$65+'01 - Dados de Entrada'!$C$66)-SUM(X37:AC37)</f>
        <v>0</v>
      </c>
      <c r="AE37" s="525">
        <f>'04 - Veículos e Equipamentos'!AB44*('01 - Dados de Entrada'!$C$65+'01 - Dados de Entrada'!$C$66)-SUM(Y37:AD37)</f>
        <v>0</v>
      </c>
      <c r="AF37" s="525">
        <f>'04 - Veículos e Equipamentos'!AC44*('01 - Dados de Entrada'!$C$65+'01 - Dados de Entrada'!$C$66)-SUM(Z37:AE37)</f>
        <v>0</v>
      </c>
      <c r="AG37" s="525">
        <f>'04 - Veículos e Equipamentos'!AD44*('01 - Dados de Entrada'!$C$65+'01 - Dados de Entrada'!$C$66)-SUM(AA37:AF37)</f>
        <v>647652.56000000006</v>
      </c>
      <c r="AH37" s="525">
        <f>'04 - Veículos e Equipamentos'!AE44*('01 - Dados de Entrada'!$C$65+'01 - Dados de Entrada'!$C$66)-SUM(AB37:AG37)</f>
        <v>0</v>
      </c>
      <c r="AI37" s="525">
        <f>'04 - Veículos e Equipamentos'!AF44*('01 - Dados de Entrada'!$C$65+'01 - Dados de Entrada'!$C$66)-SUM(AC37:AH37)</f>
        <v>0</v>
      </c>
      <c r="AJ37" s="525">
        <f>'04 - Veículos e Equipamentos'!AG44*('01 - Dados de Entrada'!$C$65+'01 - Dados de Entrada'!$C$66)-SUM(AD37:AI37)</f>
        <v>0</v>
      </c>
      <c r="AK37" s="525">
        <f>'04 - Veículos e Equipamentos'!AH44*('01 - Dados de Entrada'!$C$65+'01 - Dados de Entrada'!$C$66)-SUM(AE37:AJ37)</f>
        <v>0</v>
      </c>
      <c r="AL37" s="525">
        <f>'04 - Veículos e Equipamentos'!AI44*('01 - Dados de Entrada'!$C$65+'01 - Dados de Entrada'!$C$66)-SUM(AF37:AK37)</f>
        <v>0</v>
      </c>
      <c r="AM37" s="525">
        <f>'04 - Veículos e Equipamentos'!AJ44*('01 - Dados de Entrada'!$C$65+'01 - Dados de Entrada'!$C$66)-SUM(AG37:AL37)</f>
        <v>0</v>
      </c>
    </row>
    <row r="38" spans="1:39" s="8" customFormat="1" ht="13.15" customHeight="1" x14ac:dyDescent="0.2">
      <c r="A38" s="24" t="s">
        <v>145</v>
      </c>
      <c r="B38" s="24" t="s">
        <v>1091</v>
      </c>
      <c r="C38" s="166"/>
      <c r="D38" s="525">
        <f t="shared" ref="D38:D47" si="31" xml:space="preserve"> SUM( $E38:$AM38 )</f>
        <v>1609732.25</v>
      </c>
      <c r="E38" s="525">
        <f>'04 - Veículos e Equipamentos'!B45*('01 - Dados de Entrada'!$C$69+'01 - Dados de Entrada'!$C$70)</f>
        <v>321946.45</v>
      </c>
      <c r="F38" s="525">
        <f>'04 - Veículos e Equipamentos'!C45*('01 - Dados de Entrada'!$C$69+'01 - Dados de Entrada'!$C$70)-SUM(E38)</f>
        <v>0</v>
      </c>
      <c r="G38" s="525">
        <f>'04 - Veículos e Equipamentos'!D45*('01 - Dados de Entrada'!$C$69+'01 - Dados de Entrada'!$C$70)-SUM(E38:F38)</f>
        <v>0</v>
      </c>
      <c r="H38" s="525">
        <f>'04 - Veículos e Equipamentos'!E45*('01 - Dados de Entrada'!$C$69+'01 - Dados de Entrada'!$C$70)-SUM(E38:G38)</f>
        <v>0</v>
      </c>
      <c r="I38" s="525">
        <f>'04 - Veículos e Equipamentos'!F45*('01 - Dados de Entrada'!$C$69+'01 - Dados de Entrada'!$C$70)-SUM(E38:H38)</f>
        <v>0</v>
      </c>
      <c r="J38" s="525">
        <f>'04 - Veículos e Equipamentos'!G45*('01 - Dados de Entrada'!$C$69+'01 - Dados de Entrada'!$C$70)-SUM(E38:I38)</f>
        <v>0</v>
      </c>
      <c r="K38" s="525">
        <f>'04 - Veículos e Equipamentos'!H45*('01 - Dados de Entrada'!$C$69+'01 - Dados de Entrada'!$C$70)-SUM(E38:J38)</f>
        <v>0</v>
      </c>
      <c r="L38" s="525">
        <f>'04 - Veículos e Equipamentos'!I45*('01 - Dados de Entrada'!$C$69+'01 - Dados de Entrada'!$C$70)-SUM(F38:K38)</f>
        <v>321946.45</v>
      </c>
      <c r="M38" s="525">
        <f>'04 - Veículos e Equipamentos'!J45*('01 - Dados de Entrada'!$C$69+'01 - Dados de Entrada'!$C$70)-SUM(G38:L38)</f>
        <v>0</v>
      </c>
      <c r="N38" s="525">
        <f>'04 - Veículos e Equipamentos'!K45*('01 - Dados de Entrada'!$C$69+'01 - Dados de Entrada'!$C$70)-SUM(H38:M38)</f>
        <v>0</v>
      </c>
      <c r="O38" s="525">
        <f>'04 - Veículos e Equipamentos'!L45*('01 - Dados de Entrada'!$C$69+'01 - Dados de Entrada'!$C$70)-SUM(I38:N38)</f>
        <v>0</v>
      </c>
      <c r="P38" s="525">
        <f>'04 - Veículos e Equipamentos'!M45*('01 - Dados de Entrada'!$C$69+'01 - Dados de Entrada'!$C$70)-SUM(J38:O38)</f>
        <v>0</v>
      </c>
      <c r="Q38" s="525">
        <f>'04 - Veículos e Equipamentos'!N45*('01 - Dados de Entrada'!$C$69+'01 - Dados de Entrada'!$C$70)-SUM(K38:P38)</f>
        <v>0</v>
      </c>
      <c r="R38" s="525">
        <f>'04 - Veículos e Equipamentos'!O45*('01 - Dados de Entrada'!$C$69+'01 - Dados de Entrada'!$C$70)-SUM(L38:Q38)</f>
        <v>0</v>
      </c>
      <c r="S38" s="525">
        <f>'04 - Veículos e Equipamentos'!P45*('01 - Dados de Entrada'!$C$69+'01 - Dados de Entrada'!$C$70)-SUM(M38:R38)</f>
        <v>321946.45</v>
      </c>
      <c r="T38" s="525">
        <f>'04 - Veículos e Equipamentos'!Q45*('01 - Dados de Entrada'!$C$69+'01 - Dados de Entrada'!$C$70)-SUM(N38:S38)</f>
        <v>0</v>
      </c>
      <c r="U38" s="525">
        <f>'04 - Veículos e Equipamentos'!R45*('01 - Dados de Entrada'!$C$69+'01 - Dados de Entrada'!$C$70)-SUM(O38:T38)</f>
        <v>0</v>
      </c>
      <c r="V38" s="525">
        <f>'04 - Veículos e Equipamentos'!S45*('01 - Dados de Entrada'!$C$69+'01 - Dados de Entrada'!$C$70)-SUM(P38:U38)</f>
        <v>0</v>
      </c>
      <c r="W38" s="525">
        <f>'04 - Veículos e Equipamentos'!T45*('01 - Dados de Entrada'!$C$69+'01 - Dados de Entrada'!$C$70)-SUM(Q38:V38)</f>
        <v>0</v>
      </c>
      <c r="X38" s="525">
        <f>'04 - Veículos e Equipamentos'!U45*('01 - Dados de Entrada'!$C$69+'01 - Dados de Entrada'!$C$70)-SUM(R38:W38)</f>
        <v>0</v>
      </c>
      <c r="Y38" s="525">
        <f>'04 - Veículos e Equipamentos'!V45*('01 - Dados de Entrada'!$C$69+'01 - Dados de Entrada'!$C$70)-SUM(S38:X38)</f>
        <v>0</v>
      </c>
      <c r="Z38" s="525">
        <f>'04 - Veículos e Equipamentos'!W45*('01 - Dados de Entrada'!$C$69+'01 - Dados de Entrada'!$C$70)-SUM(T38:Y38)</f>
        <v>321946.45</v>
      </c>
      <c r="AA38" s="525">
        <f>'04 - Veículos e Equipamentos'!X45*('01 - Dados de Entrada'!$C$69+'01 - Dados de Entrada'!$C$70)-SUM(U38:Z38)</f>
        <v>0</v>
      </c>
      <c r="AB38" s="525">
        <f>'04 - Veículos e Equipamentos'!Y45*('01 - Dados de Entrada'!$C$69+'01 - Dados de Entrada'!$C$70)-SUM(V38:AA38)</f>
        <v>0</v>
      </c>
      <c r="AC38" s="525">
        <f>'04 - Veículos e Equipamentos'!Z45*('01 - Dados de Entrada'!$C$69+'01 - Dados de Entrada'!$C$70)-SUM(W38:AB38)</f>
        <v>0</v>
      </c>
      <c r="AD38" s="525">
        <f>'04 - Veículos e Equipamentos'!AA45*('01 - Dados de Entrada'!$C$69+'01 - Dados de Entrada'!$C$70)-SUM(X38:AC38)</f>
        <v>0</v>
      </c>
      <c r="AE38" s="525">
        <f>'04 - Veículos e Equipamentos'!AB45*('01 - Dados de Entrada'!$C$69+'01 - Dados de Entrada'!$C$70)-SUM(Y38:AD38)</f>
        <v>0</v>
      </c>
      <c r="AF38" s="525">
        <f>'04 - Veículos e Equipamentos'!AC45*('01 - Dados de Entrada'!$C$69+'01 - Dados de Entrada'!$C$70)-SUM(Z38:AE38)</f>
        <v>0</v>
      </c>
      <c r="AG38" s="525">
        <f>'04 - Veículos e Equipamentos'!AD45*('01 - Dados de Entrada'!$C$69+'01 - Dados de Entrada'!$C$70)-SUM(AA38:AF38)</f>
        <v>321946.45</v>
      </c>
      <c r="AH38" s="525">
        <f>'04 - Veículos e Equipamentos'!AE45*('01 - Dados de Entrada'!$C$69+'01 - Dados de Entrada'!$C$70)-SUM(AB38:AG38)</f>
        <v>0</v>
      </c>
      <c r="AI38" s="525">
        <f>'04 - Veículos e Equipamentos'!AF45*('01 - Dados de Entrada'!$C$69+'01 - Dados de Entrada'!$C$70)-SUM(AC38:AH38)</f>
        <v>0</v>
      </c>
      <c r="AJ38" s="525">
        <f>'04 - Veículos e Equipamentos'!AG45*('01 - Dados de Entrada'!$C$69+'01 - Dados de Entrada'!$C$70)-SUM(AD38:AI38)</f>
        <v>0</v>
      </c>
      <c r="AK38" s="525">
        <f>'04 - Veículos e Equipamentos'!AH45*('01 - Dados de Entrada'!$C$69+'01 - Dados de Entrada'!$C$70)-SUM(AE38:AJ38)</f>
        <v>0</v>
      </c>
      <c r="AL38" s="525">
        <f>'04 - Veículos e Equipamentos'!AI45*('01 - Dados de Entrada'!$C$69+'01 - Dados de Entrada'!$C$70)-SUM(AF38:AK38)</f>
        <v>0</v>
      </c>
      <c r="AM38" s="525">
        <f>'04 - Veículos e Equipamentos'!AJ45*('01 - Dados de Entrada'!$C$69+'01 - Dados de Entrada'!$C$70)-SUM(AG38:AL38)</f>
        <v>0</v>
      </c>
    </row>
    <row r="39" spans="1:39" s="8" customFormat="1" ht="13.15" customHeight="1" x14ac:dyDescent="0.2">
      <c r="A39" s="24" t="s">
        <v>1097</v>
      </c>
      <c r="B39" s="24" t="s">
        <v>1086</v>
      </c>
      <c r="C39" s="166"/>
      <c r="D39" s="525">
        <f t="shared" si="31"/>
        <v>1586370.8499999999</v>
      </c>
      <c r="E39" s="525">
        <f>'04 - Veículos e Equipamentos'!B46*('01 - Dados de Entrada'!$C$71)</f>
        <v>317274.17</v>
      </c>
      <c r="F39" s="525">
        <f>'04 - Veículos e Equipamentos'!C46*('01 - Dados de Entrada'!$C$71)-SUM(E39)</f>
        <v>0</v>
      </c>
      <c r="G39" s="525">
        <f>'04 - Veículos e Equipamentos'!D46*('01 - Dados de Entrada'!$C$71)-SUM(E39:F39)</f>
        <v>0</v>
      </c>
      <c r="H39" s="525">
        <f>'04 - Veículos e Equipamentos'!E46*('01 - Dados de Entrada'!$C$71)-SUM(E39:G39)</f>
        <v>0</v>
      </c>
      <c r="I39" s="525">
        <f>'04 - Veículos e Equipamentos'!F46*('01 - Dados de Entrada'!$C$71)-SUM(E39:H39)</f>
        <v>0</v>
      </c>
      <c r="J39" s="525">
        <f>'04 - Veículos e Equipamentos'!G46*('01 - Dados de Entrada'!$C$71)-SUM(E39:I39)</f>
        <v>0</v>
      </c>
      <c r="K39" s="525">
        <f>'04 - Veículos e Equipamentos'!H46*('01 - Dados de Entrada'!$C$71)-SUM(E39:J39)</f>
        <v>0</v>
      </c>
      <c r="L39" s="525">
        <f>'04 - Veículos e Equipamentos'!I46*('01 - Dados de Entrada'!$C$71)-SUM(F39:K39)</f>
        <v>317274.17</v>
      </c>
      <c r="M39" s="525">
        <f>'04 - Veículos e Equipamentos'!J46*('01 - Dados de Entrada'!$C$71)-SUM(G39:L39)</f>
        <v>0</v>
      </c>
      <c r="N39" s="525">
        <f>'04 - Veículos e Equipamentos'!K46*('01 - Dados de Entrada'!$C$71)-SUM(H39:M39)</f>
        <v>0</v>
      </c>
      <c r="O39" s="525">
        <f>'04 - Veículos e Equipamentos'!L46*('01 - Dados de Entrada'!$C$71)-SUM(I39:N39)</f>
        <v>0</v>
      </c>
      <c r="P39" s="525">
        <f>'04 - Veículos e Equipamentos'!M46*('01 - Dados de Entrada'!$C$71)-SUM(J39:O39)</f>
        <v>0</v>
      </c>
      <c r="Q39" s="525">
        <f>'04 - Veículos e Equipamentos'!N46*('01 - Dados de Entrada'!$C$71)-SUM(K39:P39)</f>
        <v>0</v>
      </c>
      <c r="R39" s="525">
        <f>'04 - Veículos e Equipamentos'!O46*('01 - Dados de Entrada'!$C$71)-SUM(L39:Q39)</f>
        <v>0</v>
      </c>
      <c r="S39" s="525">
        <f>'04 - Veículos e Equipamentos'!P46*('01 - Dados de Entrada'!$C$71)-SUM(M39:R39)</f>
        <v>317274.17</v>
      </c>
      <c r="T39" s="525">
        <f>'04 - Veículos e Equipamentos'!Q46*('01 - Dados de Entrada'!$C$71)-SUM(N39:S39)</f>
        <v>0</v>
      </c>
      <c r="U39" s="525">
        <f>'04 - Veículos e Equipamentos'!R46*('01 - Dados de Entrada'!$C$71)-SUM(O39:T39)</f>
        <v>0</v>
      </c>
      <c r="V39" s="525">
        <f>'04 - Veículos e Equipamentos'!S46*('01 - Dados de Entrada'!$C$71)-SUM(P39:U39)</f>
        <v>0</v>
      </c>
      <c r="W39" s="525">
        <f>'04 - Veículos e Equipamentos'!T46*('01 - Dados de Entrada'!$C$71)-SUM(Q39:V39)</f>
        <v>0</v>
      </c>
      <c r="X39" s="525">
        <f>'04 - Veículos e Equipamentos'!U46*('01 - Dados de Entrada'!$C$71)-SUM(R39:W39)</f>
        <v>0</v>
      </c>
      <c r="Y39" s="525">
        <f>'04 - Veículos e Equipamentos'!V46*('01 - Dados de Entrada'!$C$71)-SUM(S39:X39)</f>
        <v>0</v>
      </c>
      <c r="Z39" s="525">
        <f>'04 - Veículos e Equipamentos'!W46*('01 - Dados de Entrada'!$C$71)-SUM(T39:Y39)</f>
        <v>317274.17</v>
      </c>
      <c r="AA39" s="525">
        <f>'04 - Veículos e Equipamentos'!X46*('01 - Dados de Entrada'!$C$71)-SUM(U39:Z39)</f>
        <v>0</v>
      </c>
      <c r="AB39" s="525">
        <f>'04 - Veículos e Equipamentos'!Y46*('01 - Dados de Entrada'!$C$71)-SUM(V39:AA39)</f>
        <v>0</v>
      </c>
      <c r="AC39" s="525">
        <f>'04 - Veículos e Equipamentos'!Z46*('01 - Dados de Entrada'!$C$71)-SUM(W39:AB39)</f>
        <v>0</v>
      </c>
      <c r="AD39" s="525">
        <f>'04 - Veículos e Equipamentos'!AA46*('01 - Dados de Entrada'!$C$71)-SUM(X39:AC39)</f>
        <v>0</v>
      </c>
      <c r="AE39" s="525">
        <f>'04 - Veículos e Equipamentos'!AB46*('01 - Dados de Entrada'!$C$71)-SUM(Y39:AD39)</f>
        <v>0</v>
      </c>
      <c r="AF39" s="525">
        <f>'04 - Veículos e Equipamentos'!AC46*('01 - Dados de Entrada'!$C$71)-SUM(Z39:AE39)</f>
        <v>0</v>
      </c>
      <c r="AG39" s="525">
        <f>'04 - Veículos e Equipamentos'!AD46*('01 - Dados de Entrada'!$C$71)-SUM(AA39:AF39)</f>
        <v>317274.17</v>
      </c>
      <c r="AH39" s="525">
        <f>'04 - Veículos e Equipamentos'!AE46*('01 - Dados de Entrada'!$C$71)-SUM(AB39:AG39)</f>
        <v>0</v>
      </c>
      <c r="AI39" s="525">
        <f>'04 - Veículos e Equipamentos'!AF46*('01 - Dados de Entrada'!$C$71)-SUM(AC39:AH39)</f>
        <v>0</v>
      </c>
      <c r="AJ39" s="525">
        <f>'04 - Veículos e Equipamentos'!AG46*('01 - Dados de Entrada'!$C$71)-SUM(AD39:AI39)</f>
        <v>0</v>
      </c>
      <c r="AK39" s="525">
        <f>'04 - Veículos e Equipamentos'!AH46*('01 - Dados de Entrada'!$C$71)-SUM(AE39:AJ39)</f>
        <v>0</v>
      </c>
      <c r="AL39" s="525">
        <f>'04 - Veículos e Equipamentos'!AI46*('01 - Dados de Entrada'!$C$71)-SUM(AF39:AK39)</f>
        <v>0</v>
      </c>
      <c r="AM39" s="525">
        <f>'04 - Veículos e Equipamentos'!AJ46*('01 - Dados de Entrada'!$C$71)-SUM(AG39:AL39)</f>
        <v>0</v>
      </c>
    </row>
    <row r="40" spans="1:39" s="8" customFormat="1" ht="13.15" customHeight="1" x14ac:dyDescent="0.2">
      <c r="A40" s="24" t="s">
        <v>149</v>
      </c>
      <c r="B40" s="24" t="s">
        <v>1091</v>
      </c>
      <c r="C40" s="166"/>
      <c r="D40" s="525">
        <f t="shared" si="31"/>
        <v>139841.33333333331</v>
      </c>
      <c r="E40" s="525">
        <f>'04 - Veículos e Equipamentos'!B47*('01 - Dados de Entrada'!$C$72)</f>
        <v>19977.333333333332</v>
      </c>
      <c r="F40" s="525">
        <f>'04 - Veículos e Equipamentos'!C47*('01 - Dados de Entrada'!$C$72)-SUM(E40)</f>
        <v>0</v>
      </c>
      <c r="G40" s="525">
        <f>'04 - Veículos e Equipamentos'!D47*('01 - Dados de Entrada'!$C$72)-SUM(E40:F40)</f>
        <v>0</v>
      </c>
      <c r="H40" s="525">
        <f>'04 - Veículos e Equipamentos'!E47*('01 - Dados de Entrada'!$C$72)-SUM(E40:G40)</f>
        <v>0</v>
      </c>
      <c r="I40" s="525">
        <f>'04 - Veículos e Equipamentos'!F47*('01 - Dados de Entrada'!$C$72)-SUM(E40:H40)</f>
        <v>0</v>
      </c>
      <c r="J40" s="525">
        <f>'04 - Veículos e Equipamentos'!G47*('01 - Dados de Entrada'!$C$72)-SUM(F40:I40)</f>
        <v>19977.333333333332</v>
      </c>
      <c r="K40" s="525">
        <f>'04 - Veículos e Equipamentos'!H47*('01 - Dados de Entrada'!$C$72)-SUM(G40:J40)</f>
        <v>0</v>
      </c>
      <c r="L40" s="525">
        <f>'04 - Veículos e Equipamentos'!I47*('01 - Dados de Entrada'!$C$72)-SUM(H40:K40)</f>
        <v>0</v>
      </c>
      <c r="M40" s="525">
        <f>'04 - Veículos e Equipamentos'!J47*('01 - Dados de Entrada'!$C$72)-SUM(I40:L40)</f>
        <v>0</v>
      </c>
      <c r="N40" s="525">
        <f>'04 - Veículos e Equipamentos'!K47*('01 - Dados de Entrada'!$C$72)-SUM(J40:M40)</f>
        <v>0</v>
      </c>
      <c r="O40" s="525">
        <f>'04 - Veículos e Equipamentos'!L47*('01 - Dados de Entrada'!$C$72)-SUM(K40:N40)</f>
        <v>19977.333333333332</v>
      </c>
      <c r="P40" s="525">
        <f>'04 - Veículos e Equipamentos'!M47*('01 - Dados de Entrada'!$C$72)-SUM(L40:O40)</f>
        <v>0</v>
      </c>
      <c r="Q40" s="525">
        <f>'04 - Veículos e Equipamentos'!N47*('01 - Dados de Entrada'!$C$72)-SUM(M40:P40)</f>
        <v>0</v>
      </c>
      <c r="R40" s="525">
        <f>'04 - Veículos e Equipamentos'!O47*('01 - Dados de Entrada'!$C$72)-SUM(N40:Q40)</f>
        <v>0</v>
      </c>
      <c r="S40" s="525">
        <f>'04 - Veículos e Equipamentos'!P47*('01 - Dados de Entrada'!$C$72)-SUM(O40:R40)</f>
        <v>0</v>
      </c>
      <c r="T40" s="525">
        <f>'04 - Veículos e Equipamentos'!Q47*('01 - Dados de Entrada'!$C$72)-SUM(P40:S40)</f>
        <v>19977.333333333332</v>
      </c>
      <c r="U40" s="525">
        <f>'04 - Veículos e Equipamentos'!R47*('01 - Dados de Entrada'!$C$72)-SUM(Q40:T40)</f>
        <v>0</v>
      </c>
      <c r="V40" s="525">
        <f>'04 - Veículos e Equipamentos'!S47*('01 - Dados de Entrada'!$C$72)-SUM(R40:U40)</f>
        <v>0</v>
      </c>
      <c r="W40" s="525">
        <f>'04 - Veículos e Equipamentos'!T47*('01 - Dados de Entrada'!$C$72)-SUM(S40:V40)</f>
        <v>0</v>
      </c>
      <c r="X40" s="525">
        <f>'04 - Veículos e Equipamentos'!U47*('01 - Dados de Entrada'!$C$72)-SUM(T40:W40)</f>
        <v>0</v>
      </c>
      <c r="Y40" s="525">
        <f>'04 - Veículos e Equipamentos'!V47*('01 - Dados de Entrada'!$C$72)-SUM(U40:X40)</f>
        <v>19977.333333333332</v>
      </c>
      <c r="Z40" s="525">
        <f>'04 - Veículos e Equipamentos'!W47*('01 - Dados de Entrada'!$C$72)-SUM(V40:Y40)</f>
        <v>0</v>
      </c>
      <c r="AA40" s="525">
        <f>'04 - Veículos e Equipamentos'!X47*('01 - Dados de Entrada'!$C$72)-SUM(W40:Z40)</f>
        <v>0</v>
      </c>
      <c r="AB40" s="525">
        <f>'04 - Veículos e Equipamentos'!Y47*('01 - Dados de Entrada'!$C$72)-SUM(X40:AA40)</f>
        <v>0</v>
      </c>
      <c r="AC40" s="525">
        <f>'04 - Veículos e Equipamentos'!Z47*('01 - Dados de Entrada'!$C$72)-SUM(Y40:AB40)</f>
        <v>0</v>
      </c>
      <c r="AD40" s="525">
        <f>'04 - Veículos e Equipamentos'!AA47*('01 - Dados de Entrada'!$C$72)-SUM(Z40:AC40)</f>
        <v>19977.333333333332</v>
      </c>
      <c r="AE40" s="525">
        <f>'04 - Veículos e Equipamentos'!AB47*('01 - Dados de Entrada'!$C$72)-SUM(AA40:AD40)</f>
        <v>0</v>
      </c>
      <c r="AF40" s="525">
        <f>'04 - Veículos e Equipamentos'!AC47*('01 - Dados de Entrada'!$C$72)-SUM(AB40:AE40)</f>
        <v>0</v>
      </c>
      <c r="AG40" s="525">
        <f>'04 - Veículos e Equipamentos'!AD47*('01 - Dados de Entrada'!$C$72)-SUM(AC40:AF40)</f>
        <v>0</v>
      </c>
      <c r="AH40" s="525">
        <f>'04 - Veículos e Equipamentos'!AE47*('01 - Dados de Entrada'!$C$72)-SUM(AD40:AG40)</f>
        <v>0</v>
      </c>
      <c r="AI40" s="525">
        <f>'04 - Veículos e Equipamentos'!AF47*('01 - Dados de Entrada'!$C$72)-SUM(AE40:AH40)</f>
        <v>19977.333333333332</v>
      </c>
      <c r="AJ40" s="525">
        <f>'04 - Veículos e Equipamentos'!AG47*('01 - Dados de Entrada'!$C$72)-SUM(AF40:AI40)</f>
        <v>0</v>
      </c>
      <c r="AK40" s="525">
        <f>'04 - Veículos e Equipamentos'!AH47*('01 - Dados de Entrada'!$C$72)-SUM(AG40:AJ40)</f>
        <v>0</v>
      </c>
      <c r="AL40" s="525">
        <f>'04 - Veículos e Equipamentos'!AI47*('01 - Dados de Entrada'!$C$72)-SUM(AH40:AK40)</f>
        <v>0</v>
      </c>
      <c r="AM40" s="525">
        <f>'04 - Veículos e Equipamentos'!AJ47*('01 - Dados de Entrada'!$C$72)-SUM(AI40:AL40)</f>
        <v>0</v>
      </c>
    </row>
    <row r="41" spans="1:39" s="22" customFormat="1" ht="13.15" customHeight="1" x14ac:dyDescent="0.2">
      <c r="A41" s="24" t="s">
        <v>817</v>
      </c>
      <c r="B41" s="24" t="s">
        <v>1091</v>
      </c>
      <c r="C41" s="401"/>
      <c r="D41" s="525">
        <f t="shared" si="31"/>
        <v>34960.333333333328</v>
      </c>
      <c r="E41" s="529">
        <f>'04 - Veículos e Equipamentos'!B48*('01 - Dados de Entrada'!$C$72)</f>
        <v>4994.333333333333</v>
      </c>
      <c r="F41" s="529">
        <f>'04 - Veículos e Equipamentos'!C48*('01 - Dados de Entrada'!$C$72)-SUM(E41)</f>
        <v>0</v>
      </c>
      <c r="G41" s="529">
        <f>'04 - Veículos e Equipamentos'!D48*('01 - Dados de Entrada'!$C$72)-SUM(E41:F41)</f>
        <v>0</v>
      </c>
      <c r="H41" s="529">
        <f>'04 - Veículos e Equipamentos'!E48*('01 - Dados de Entrada'!$C$72)-SUM(E41:G41)</f>
        <v>0</v>
      </c>
      <c r="I41" s="529">
        <f>'04 - Veículos e Equipamentos'!F48*('01 - Dados de Entrada'!$C$72)-SUM(E41:H41)</f>
        <v>0</v>
      </c>
      <c r="J41" s="529">
        <f>'04 - Veículos e Equipamentos'!G48*('01 - Dados de Entrada'!$C$72)-SUM(F41:I41)</f>
        <v>4994.333333333333</v>
      </c>
      <c r="K41" s="529">
        <f>'04 - Veículos e Equipamentos'!H48*('01 - Dados de Entrada'!$C$72)-SUM(G41:J41)</f>
        <v>0</v>
      </c>
      <c r="L41" s="529">
        <f>'04 - Veículos e Equipamentos'!I48*('01 - Dados de Entrada'!$C$72)-SUM(H41:K41)</f>
        <v>0</v>
      </c>
      <c r="M41" s="529">
        <f>'04 - Veículos e Equipamentos'!J48*('01 - Dados de Entrada'!$C$72)-SUM(I41:L41)</f>
        <v>0</v>
      </c>
      <c r="N41" s="529">
        <f>'04 - Veículos e Equipamentos'!K48*('01 - Dados de Entrada'!$C$72)-SUM(J41:M41)</f>
        <v>0</v>
      </c>
      <c r="O41" s="529">
        <f>'04 - Veículos e Equipamentos'!L48*('01 - Dados de Entrada'!$C$72)-SUM(K41:N41)</f>
        <v>4994.333333333333</v>
      </c>
      <c r="P41" s="529">
        <f>'04 - Veículos e Equipamentos'!M48*('01 - Dados de Entrada'!$C$72)-SUM(L41:O41)</f>
        <v>0</v>
      </c>
      <c r="Q41" s="529">
        <f>'04 - Veículos e Equipamentos'!N48*('01 - Dados de Entrada'!$C$72)-SUM(M41:P41)</f>
        <v>0</v>
      </c>
      <c r="R41" s="529">
        <f>'04 - Veículos e Equipamentos'!O48*('01 - Dados de Entrada'!$C$72)-SUM(N41:Q41)</f>
        <v>0</v>
      </c>
      <c r="S41" s="529">
        <f>'04 - Veículos e Equipamentos'!P48*('01 - Dados de Entrada'!$C$72)-SUM(O41:R41)</f>
        <v>0</v>
      </c>
      <c r="T41" s="529">
        <f>'04 - Veículos e Equipamentos'!Q48*('01 - Dados de Entrada'!$C$72)-SUM(P41:S41)</f>
        <v>4994.333333333333</v>
      </c>
      <c r="U41" s="529">
        <f>'04 - Veículos e Equipamentos'!R48*('01 - Dados de Entrada'!$C$72)-SUM(Q41:T41)</f>
        <v>0</v>
      </c>
      <c r="V41" s="529">
        <f>'04 - Veículos e Equipamentos'!S48*('01 - Dados de Entrada'!$C$72)-SUM(R41:U41)</f>
        <v>0</v>
      </c>
      <c r="W41" s="529">
        <f>'04 - Veículos e Equipamentos'!T48*('01 - Dados de Entrada'!$C$72)-SUM(S41:V41)</f>
        <v>0</v>
      </c>
      <c r="X41" s="529">
        <f>'04 - Veículos e Equipamentos'!U48*('01 - Dados de Entrada'!$C$72)-SUM(T41:W41)</f>
        <v>0</v>
      </c>
      <c r="Y41" s="529">
        <f>'04 - Veículos e Equipamentos'!V48*('01 - Dados de Entrada'!$C$72)-SUM(U41:X41)</f>
        <v>4994.333333333333</v>
      </c>
      <c r="Z41" s="529">
        <f>'04 - Veículos e Equipamentos'!W48*('01 - Dados de Entrada'!$C$72)-SUM(V41:Y41)</f>
        <v>0</v>
      </c>
      <c r="AA41" s="529">
        <f>'04 - Veículos e Equipamentos'!X48*('01 - Dados de Entrada'!$C$72)-SUM(W41:Z41)</f>
        <v>0</v>
      </c>
      <c r="AB41" s="529">
        <f>'04 - Veículos e Equipamentos'!Y48*('01 - Dados de Entrada'!$C$72)-SUM(X41:AA41)</f>
        <v>0</v>
      </c>
      <c r="AC41" s="529">
        <f>'04 - Veículos e Equipamentos'!Z48*('01 - Dados de Entrada'!$C$72)-SUM(Y41:AB41)</f>
        <v>0</v>
      </c>
      <c r="AD41" s="529">
        <f>'04 - Veículos e Equipamentos'!AA48*('01 - Dados de Entrada'!$C$72)-SUM(Z41:AC41)</f>
        <v>4994.333333333333</v>
      </c>
      <c r="AE41" s="529">
        <f>'04 - Veículos e Equipamentos'!AB48*('01 - Dados de Entrada'!$C$72)-SUM(AA41:AD41)</f>
        <v>0</v>
      </c>
      <c r="AF41" s="529">
        <f>'04 - Veículos e Equipamentos'!AC48*('01 - Dados de Entrada'!$C$72)-SUM(AB41:AE41)</f>
        <v>0</v>
      </c>
      <c r="AG41" s="529">
        <f>'04 - Veículos e Equipamentos'!AD48*('01 - Dados de Entrada'!$C$72)-SUM(AC41:AF41)</f>
        <v>0</v>
      </c>
      <c r="AH41" s="529">
        <f>'04 - Veículos e Equipamentos'!AE48*('01 - Dados de Entrada'!$C$72)-SUM(AD41:AG41)</f>
        <v>0</v>
      </c>
      <c r="AI41" s="529">
        <f>'04 - Veículos e Equipamentos'!AF48*('01 - Dados de Entrada'!$C$72)-SUM(AE41:AH41)</f>
        <v>4994.333333333333</v>
      </c>
      <c r="AJ41" s="529">
        <f>'04 - Veículos e Equipamentos'!AG48*('01 - Dados de Entrada'!$C$72)-SUM(AF41:AI41)</f>
        <v>0</v>
      </c>
      <c r="AK41" s="529">
        <f>'04 - Veículos e Equipamentos'!AH48*('01 - Dados de Entrada'!$C$72)-SUM(AG41:AJ41)</f>
        <v>0</v>
      </c>
      <c r="AL41" s="529">
        <f>'04 - Veículos e Equipamentos'!AI48*('01 - Dados de Entrada'!$C$72)-SUM(AH41:AK41)</f>
        <v>0</v>
      </c>
      <c r="AM41" s="529">
        <f>'04 - Veículos e Equipamentos'!AJ48*('01 - Dados de Entrada'!$C$72)-SUM(AI41:AL41)</f>
        <v>0</v>
      </c>
    </row>
    <row r="42" spans="1:39" s="8" customFormat="1" ht="13.15" customHeight="1" x14ac:dyDescent="0.2">
      <c r="A42" s="24" t="s">
        <v>151</v>
      </c>
      <c r="B42" s="24" t="s">
        <v>1091</v>
      </c>
      <c r="C42" s="166"/>
      <c r="D42" s="525">
        <f t="shared" si="31"/>
        <v>41547.100000000006</v>
      </c>
      <c r="E42" s="525">
        <f>'04 - Veículos e Equipamentos'!B49*('01 - Dados de Entrada'!$C$73)</f>
        <v>5935.3</v>
      </c>
      <c r="F42" s="525">
        <f>'04 - Veículos e Equipamentos'!C49*('01 - Dados de Entrada'!$C$73)-SUM(E42)</f>
        <v>0</v>
      </c>
      <c r="G42" s="525">
        <f>'04 - Veículos e Equipamentos'!D49*('01 - Dados de Entrada'!$C$73)-SUM(E42:F42)</f>
        <v>0</v>
      </c>
      <c r="H42" s="525">
        <f>'04 - Veículos e Equipamentos'!E49*('01 - Dados de Entrada'!$C$73)-SUM(E42:G42)</f>
        <v>0</v>
      </c>
      <c r="I42" s="525">
        <f>'04 - Veículos e Equipamentos'!F49*('01 - Dados de Entrada'!$C$73)-SUM(E42:H42)</f>
        <v>0</v>
      </c>
      <c r="J42" s="525">
        <f>'04 - Veículos e Equipamentos'!G49*('01 - Dados de Entrada'!$C$73)-SUM(F42:I42)</f>
        <v>5935.3</v>
      </c>
      <c r="K42" s="525">
        <f>'04 - Veículos e Equipamentos'!H49*('01 - Dados de Entrada'!$C$73)-SUM(G42:J42)</f>
        <v>0</v>
      </c>
      <c r="L42" s="525">
        <f>'04 - Veículos e Equipamentos'!I49*('01 - Dados de Entrada'!$C$73)-SUM(H42:K42)</f>
        <v>0</v>
      </c>
      <c r="M42" s="525">
        <f>'04 - Veículos e Equipamentos'!J49*('01 - Dados de Entrada'!$C$73)-SUM(I42:L42)</f>
        <v>0</v>
      </c>
      <c r="N42" s="525">
        <f>'04 - Veículos e Equipamentos'!K49*('01 - Dados de Entrada'!$C$73)-SUM(J42:M42)</f>
        <v>0</v>
      </c>
      <c r="O42" s="525">
        <f>'04 - Veículos e Equipamentos'!L49*('01 - Dados de Entrada'!$C$73)-SUM(K42:N42)</f>
        <v>5935.3</v>
      </c>
      <c r="P42" s="525">
        <f>'04 - Veículos e Equipamentos'!M49*('01 - Dados de Entrada'!$C$73)-SUM(L42:O42)</f>
        <v>0</v>
      </c>
      <c r="Q42" s="525">
        <f>'04 - Veículos e Equipamentos'!N49*('01 - Dados de Entrada'!$C$73)-SUM(M42:P42)</f>
        <v>0</v>
      </c>
      <c r="R42" s="525">
        <f>'04 - Veículos e Equipamentos'!O49*('01 - Dados de Entrada'!$C$73)-SUM(N42:Q42)</f>
        <v>0</v>
      </c>
      <c r="S42" s="525">
        <f>'04 - Veículos e Equipamentos'!P49*('01 - Dados de Entrada'!$C$73)-SUM(O42:R42)</f>
        <v>0</v>
      </c>
      <c r="T42" s="525">
        <f>'04 - Veículos e Equipamentos'!Q49*('01 - Dados de Entrada'!$C$73)-SUM(P42:S42)</f>
        <v>5935.3</v>
      </c>
      <c r="U42" s="525">
        <f>'04 - Veículos e Equipamentos'!R49*('01 - Dados de Entrada'!$C$73)-SUM(Q42:T42)</f>
        <v>0</v>
      </c>
      <c r="V42" s="525">
        <f>'04 - Veículos e Equipamentos'!S49*('01 - Dados de Entrada'!$C$73)-SUM(R42:U42)</f>
        <v>0</v>
      </c>
      <c r="W42" s="525">
        <f>'04 - Veículos e Equipamentos'!T49*('01 - Dados de Entrada'!$C$73)-SUM(S42:V42)</f>
        <v>0</v>
      </c>
      <c r="X42" s="525">
        <f>'04 - Veículos e Equipamentos'!U49*('01 - Dados de Entrada'!$C$73)-SUM(T42:W42)</f>
        <v>0</v>
      </c>
      <c r="Y42" s="525">
        <f>'04 - Veículos e Equipamentos'!V49*('01 - Dados de Entrada'!$C$73)-SUM(U42:X42)</f>
        <v>5935.3</v>
      </c>
      <c r="Z42" s="525">
        <f>'04 - Veículos e Equipamentos'!W49*('01 - Dados de Entrada'!$C$73)-SUM(V42:Y42)</f>
        <v>0</v>
      </c>
      <c r="AA42" s="525">
        <f>'04 - Veículos e Equipamentos'!X49*('01 - Dados de Entrada'!$C$73)-SUM(W42:Z42)</f>
        <v>0</v>
      </c>
      <c r="AB42" s="525">
        <f>'04 - Veículos e Equipamentos'!Y49*('01 - Dados de Entrada'!$C$73)-SUM(X42:AA42)</f>
        <v>0</v>
      </c>
      <c r="AC42" s="525">
        <f>'04 - Veículos e Equipamentos'!Z49*('01 - Dados de Entrada'!$C$73)-SUM(Y42:AB42)</f>
        <v>0</v>
      </c>
      <c r="AD42" s="525">
        <f>'04 - Veículos e Equipamentos'!AA49*('01 - Dados de Entrada'!$C$73)-SUM(Z42:AC42)</f>
        <v>5935.3</v>
      </c>
      <c r="AE42" s="525">
        <f>'04 - Veículos e Equipamentos'!AB49*('01 - Dados de Entrada'!$C$73)-SUM(AA42:AD42)</f>
        <v>0</v>
      </c>
      <c r="AF42" s="525">
        <f>'04 - Veículos e Equipamentos'!AC49*('01 - Dados de Entrada'!$C$73)-SUM(AB42:AE42)</f>
        <v>0</v>
      </c>
      <c r="AG42" s="525">
        <f>'04 - Veículos e Equipamentos'!AD49*('01 - Dados de Entrada'!$C$73)-SUM(AC42:AF42)</f>
        <v>0</v>
      </c>
      <c r="AH42" s="525">
        <f>'04 - Veículos e Equipamentos'!AE49*('01 - Dados de Entrada'!$C$73)-SUM(AD42:AG42)</f>
        <v>0</v>
      </c>
      <c r="AI42" s="525">
        <f>'04 - Veículos e Equipamentos'!AF49*('01 - Dados de Entrada'!$C$73)-SUM(AE42:AH42)</f>
        <v>5935.3</v>
      </c>
      <c r="AJ42" s="525">
        <f>'04 - Veículos e Equipamentos'!AG49*('01 - Dados de Entrada'!$C$73)-SUM(AF42:AI42)</f>
        <v>0</v>
      </c>
      <c r="AK42" s="525">
        <f>'04 - Veículos e Equipamentos'!AH49*('01 - Dados de Entrada'!$C$73)-SUM(AG42:AJ42)</f>
        <v>0</v>
      </c>
      <c r="AL42" s="525">
        <f>'04 - Veículos e Equipamentos'!AI49*('01 - Dados de Entrada'!$C$73)-SUM(AH42:AK42)</f>
        <v>0</v>
      </c>
      <c r="AM42" s="525">
        <f>'04 - Veículos e Equipamentos'!AJ49*('01 - Dados de Entrada'!$C$73)-SUM(AI42:AL42)</f>
        <v>0</v>
      </c>
    </row>
    <row r="43" spans="1:39" s="22" customFormat="1" ht="13.15" customHeight="1" x14ac:dyDescent="0.2">
      <c r="A43" s="24" t="s">
        <v>818</v>
      </c>
      <c r="B43" s="24" t="s">
        <v>1091</v>
      </c>
      <c r="C43" s="401"/>
      <c r="D43" s="525">
        <f t="shared" si="31"/>
        <v>20773.550000000003</v>
      </c>
      <c r="E43" s="525">
        <f>'04 - Veículos e Equipamentos'!B50*('01 - Dados de Entrada'!$C$73)</f>
        <v>2967.65</v>
      </c>
      <c r="F43" s="525">
        <f>'04 - Veículos e Equipamentos'!C50*('01 - Dados de Entrada'!$C$73)-SUM(E43)</f>
        <v>0</v>
      </c>
      <c r="G43" s="525">
        <f>'04 - Veículos e Equipamentos'!D50*('01 - Dados de Entrada'!$C$73)-SUM(E43:F43)</f>
        <v>0</v>
      </c>
      <c r="H43" s="525">
        <f>'04 - Veículos e Equipamentos'!E50*('01 - Dados de Entrada'!$C$73)-SUM(E43:G43)</f>
        <v>0</v>
      </c>
      <c r="I43" s="525">
        <f>'04 - Veículos e Equipamentos'!F50*('01 - Dados de Entrada'!$C$73)-SUM(E43:H43)</f>
        <v>0</v>
      </c>
      <c r="J43" s="525">
        <f>'04 - Veículos e Equipamentos'!G50*('01 - Dados de Entrada'!$C$73)-SUM(F43:I43)</f>
        <v>2967.65</v>
      </c>
      <c r="K43" s="525">
        <f>'04 - Veículos e Equipamentos'!H50*('01 - Dados de Entrada'!$C$73)-SUM(G43:J43)</f>
        <v>0</v>
      </c>
      <c r="L43" s="525">
        <f>'04 - Veículos e Equipamentos'!I50*('01 - Dados de Entrada'!$C$73)-SUM(H43:K43)</f>
        <v>0</v>
      </c>
      <c r="M43" s="525">
        <f>'04 - Veículos e Equipamentos'!J50*('01 - Dados de Entrada'!$C$73)-SUM(I43:L43)</f>
        <v>0</v>
      </c>
      <c r="N43" s="525">
        <f>'04 - Veículos e Equipamentos'!K50*('01 - Dados de Entrada'!$C$73)-SUM(J43:M43)</f>
        <v>0</v>
      </c>
      <c r="O43" s="525">
        <f>'04 - Veículos e Equipamentos'!L50*('01 - Dados de Entrada'!$C$73)-SUM(K43:N43)</f>
        <v>2967.65</v>
      </c>
      <c r="P43" s="525">
        <f>'04 - Veículos e Equipamentos'!M50*('01 - Dados de Entrada'!$C$73)-SUM(L43:O43)</f>
        <v>0</v>
      </c>
      <c r="Q43" s="525">
        <f>'04 - Veículos e Equipamentos'!N50*('01 - Dados de Entrada'!$C$73)-SUM(M43:P43)</f>
        <v>0</v>
      </c>
      <c r="R43" s="525">
        <f>'04 - Veículos e Equipamentos'!O50*('01 - Dados de Entrada'!$C$73)-SUM(N43:Q43)</f>
        <v>0</v>
      </c>
      <c r="S43" s="525">
        <f>'04 - Veículos e Equipamentos'!P50*('01 - Dados de Entrada'!$C$73)-SUM(O43:R43)</f>
        <v>0</v>
      </c>
      <c r="T43" s="525">
        <f>'04 - Veículos e Equipamentos'!Q50*('01 - Dados de Entrada'!$C$73)-SUM(P43:S43)</f>
        <v>2967.65</v>
      </c>
      <c r="U43" s="525">
        <f>'04 - Veículos e Equipamentos'!R50*('01 - Dados de Entrada'!$C$73)-SUM(Q43:T43)</f>
        <v>0</v>
      </c>
      <c r="V43" s="525">
        <f>'04 - Veículos e Equipamentos'!S50*('01 - Dados de Entrada'!$C$73)-SUM(R43:U43)</f>
        <v>0</v>
      </c>
      <c r="W43" s="525">
        <f>'04 - Veículos e Equipamentos'!T50*('01 - Dados de Entrada'!$C$73)-SUM(S43:V43)</f>
        <v>0</v>
      </c>
      <c r="X43" s="525">
        <f>'04 - Veículos e Equipamentos'!U50*('01 - Dados de Entrada'!$C$73)-SUM(T43:W43)</f>
        <v>0</v>
      </c>
      <c r="Y43" s="525">
        <f>'04 - Veículos e Equipamentos'!V50*('01 - Dados de Entrada'!$C$73)-SUM(U43:X43)</f>
        <v>2967.65</v>
      </c>
      <c r="Z43" s="525">
        <f>'04 - Veículos e Equipamentos'!W50*('01 - Dados de Entrada'!$C$73)-SUM(V43:Y43)</f>
        <v>0</v>
      </c>
      <c r="AA43" s="525">
        <f>'04 - Veículos e Equipamentos'!X50*('01 - Dados de Entrada'!$C$73)-SUM(W43:Z43)</f>
        <v>0</v>
      </c>
      <c r="AB43" s="525">
        <f>'04 - Veículos e Equipamentos'!Y50*('01 - Dados de Entrada'!$C$73)-SUM(X43:AA43)</f>
        <v>0</v>
      </c>
      <c r="AC43" s="525">
        <f>'04 - Veículos e Equipamentos'!Z50*('01 - Dados de Entrada'!$C$73)-SUM(Y43:AB43)</f>
        <v>0</v>
      </c>
      <c r="AD43" s="525">
        <f>'04 - Veículos e Equipamentos'!AA50*('01 - Dados de Entrada'!$C$73)-SUM(Z43:AC43)</f>
        <v>2967.65</v>
      </c>
      <c r="AE43" s="525">
        <f>'04 - Veículos e Equipamentos'!AB50*('01 - Dados de Entrada'!$C$73)-SUM(AA43:AD43)</f>
        <v>0</v>
      </c>
      <c r="AF43" s="525">
        <f>'04 - Veículos e Equipamentos'!AC50*('01 - Dados de Entrada'!$C$73)-SUM(AB43:AE43)</f>
        <v>0</v>
      </c>
      <c r="AG43" s="525">
        <f>'04 - Veículos e Equipamentos'!AD50*('01 - Dados de Entrada'!$C$73)-SUM(AC43:AF43)</f>
        <v>0</v>
      </c>
      <c r="AH43" s="525">
        <f>'04 - Veículos e Equipamentos'!AE50*('01 - Dados de Entrada'!$C$73)-SUM(AD43:AG43)</f>
        <v>0</v>
      </c>
      <c r="AI43" s="525">
        <f>'04 - Veículos e Equipamentos'!AF50*('01 - Dados de Entrada'!$C$73)-SUM(AE43:AH43)</f>
        <v>2967.65</v>
      </c>
      <c r="AJ43" s="525">
        <f>'04 - Veículos e Equipamentos'!AG50*('01 - Dados de Entrada'!$C$73)-SUM(AF43:AI43)</f>
        <v>0</v>
      </c>
      <c r="AK43" s="525">
        <f>'04 - Veículos e Equipamentos'!AH50*('01 - Dados de Entrada'!$C$73)-SUM(AG43:AJ43)</f>
        <v>0</v>
      </c>
      <c r="AL43" s="525">
        <f>'04 - Veículos e Equipamentos'!AI50*('01 - Dados de Entrada'!$C$73)-SUM(AH43:AK43)</f>
        <v>0</v>
      </c>
      <c r="AM43" s="525">
        <f>'04 - Veículos e Equipamentos'!AJ50*('01 - Dados de Entrada'!$C$73)-SUM(AI43:AL43)</f>
        <v>0</v>
      </c>
    </row>
    <row r="44" spans="1:39" s="22" customFormat="1" ht="13.15" customHeight="1" x14ac:dyDescent="0.2">
      <c r="A44" s="36" t="s">
        <v>810</v>
      </c>
      <c r="B44" s="36" t="s">
        <v>1091</v>
      </c>
      <c r="C44" s="166"/>
      <c r="D44" s="525">
        <f xml:space="preserve"> SUM( $E44:$AM44 )</f>
        <v>2931138</v>
      </c>
      <c r="E44" s="525">
        <f>'01 - Dados de Entrada'!$C$60*'04 - Veículos e Equipamentos'!B37</f>
        <v>186104</v>
      </c>
      <c r="F44" s="525">
        <f>'01 - Dados de Entrada'!C60*('04 - Veículos e Equipamentos'!C37-'04 - Veículos e Equipamentos'!B37)</f>
        <v>116315</v>
      </c>
      <c r="G44" s="525">
        <f>'01 - Dados de Entrada'!C60*('04 - Veículos e Equipamentos'!D37-'04 - Veículos e Equipamentos'!C37)</f>
        <v>116315</v>
      </c>
      <c r="H44" s="525"/>
      <c r="I44" s="525"/>
      <c r="J44" s="525">
        <f>E44</f>
        <v>186104</v>
      </c>
      <c r="K44" s="525">
        <f>F44</f>
        <v>116315</v>
      </c>
      <c r="L44" s="525">
        <f>G44</f>
        <v>116315</v>
      </c>
      <c r="M44" s="527"/>
      <c r="N44" s="525"/>
      <c r="O44" s="525">
        <f>J44</f>
        <v>186104</v>
      </c>
      <c r="P44" s="525">
        <f>K44</f>
        <v>116315</v>
      </c>
      <c r="Q44" s="525">
        <f>L44</f>
        <v>116315</v>
      </c>
      <c r="R44" s="527"/>
      <c r="S44" s="480"/>
      <c r="T44" s="525">
        <f>O44</f>
        <v>186104</v>
      </c>
      <c r="U44" s="525">
        <f>P44</f>
        <v>116315</v>
      </c>
      <c r="V44" s="525">
        <f>Q44</f>
        <v>116315</v>
      </c>
      <c r="W44" s="527"/>
      <c r="X44" s="480"/>
      <c r="Y44" s="525">
        <f>T44</f>
        <v>186104</v>
      </c>
      <c r="Z44" s="525">
        <f>U44</f>
        <v>116315</v>
      </c>
      <c r="AA44" s="525">
        <f>V44</f>
        <v>116315</v>
      </c>
      <c r="AB44" s="525"/>
      <c r="AC44" s="480"/>
      <c r="AD44" s="525">
        <f>Y44</f>
        <v>186104</v>
      </c>
      <c r="AE44" s="525">
        <f>Z44</f>
        <v>116315</v>
      </c>
      <c r="AF44" s="525">
        <f>AA44</f>
        <v>116315</v>
      </c>
      <c r="AG44" s="525"/>
      <c r="AH44" s="525"/>
      <c r="AI44" s="525">
        <f>AD44</f>
        <v>186104</v>
      </c>
      <c r="AJ44" s="525">
        <f>AE44</f>
        <v>116315</v>
      </c>
      <c r="AK44" s="525">
        <f>AF44</f>
        <v>116315</v>
      </c>
      <c r="AL44" s="525"/>
      <c r="AM44" s="525"/>
    </row>
    <row r="45" spans="1:39" s="8" customFormat="1" ht="13.15" customHeight="1" x14ac:dyDescent="0.2">
      <c r="A45" s="24" t="s">
        <v>565</v>
      </c>
      <c r="B45" s="24" t="s">
        <v>1086</v>
      </c>
      <c r="C45" s="166"/>
      <c r="D45" s="525">
        <f t="shared" si="31"/>
        <v>3425000</v>
      </c>
      <c r="E45" s="525">
        <f>'04 - Veículos e Equipamentos'!B51*('01 - Dados de Entrada'!$C$74)</f>
        <v>685000</v>
      </c>
      <c r="F45" s="525">
        <f>'04 - Veículos e Equipamentos'!C51*('01 - Dados de Entrada'!$C$74)-SUM(E45)</f>
        <v>0</v>
      </c>
      <c r="G45" s="525">
        <f>'04 - Veículos e Equipamentos'!D51*('01 - Dados de Entrada'!$C$74)-SUM(E45:F45)</f>
        <v>0</v>
      </c>
      <c r="H45" s="525">
        <f>'04 - Veículos e Equipamentos'!E51*('01 - Dados de Entrada'!$C$74)-SUM(E45:G45)</f>
        <v>0</v>
      </c>
      <c r="I45" s="525">
        <f>'04 - Veículos e Equipamentos'!F51*('01 - Dados de Entrada'!$C$74)-SUM(E45:H45)</f>
        <v>0</v>
      </c>
      <c r="J45" s="525">
        <f>'04 - Veículos e Equipamentos'!G51*('01 - Dados de Entrada'!$C$74)-SUM(E45:I45)</f>
        <v>0</v>
      </c>
      <c r="K45" s="525">
        <f>'04 - Veículos e Equipamentos'!H51*('01 - Dados de Entrada'!$C$74)-SUM(E45:J45)</f>
        <v>0</v>
      </c>
      <c r="L45" s="525">
        <f>'04 - Veículos e Equipamentos'!I51*('01 - Dados de Entrada'!$C$74)-SUM(F45:K45)</f>
        <v>685000</v>
      </c>
      <c r="M45" s="525">
        <f>'04 - Veículos e Equipamentos'!J51*('01 - Dados de Entrada'!$C$74)-SUM(G45:L45)</f>
        <v>0</v>
      </c>
      <c r="N45" s="525">
        <f>'04 - Veículos e Equipamentos'!K51*('01 - Dados de Entrada'!$C$74)-SUM(H45:M45)</f>
        <v>0</v>
      </c>
      <c r="O45" s="525">
        <f>'04 - Veículos e Equipamentos'!L51*('01 - Dados de Entrada'!$C$74)-SUM(I45:N45)</f>
        <v>0</v>
      </c>
      <c r="P45" s="525">
        <f>'04 - Veículos e Equipamentos'!M51*('01 - Dados de Entrada'!$C$74)-SUM(J45:O45)</f>
        <v>0</v>
      </c>
      <c r="Q45" s="525">
        <f>'04 - Veículos e Equipamentos'!N51*('01 - Dados de Entrada'!$C$74)-SUM(K45:P45)</f>
        <v>0</v>
      </c>
      <c r="R45" s="525">
        <f>'04 - Veículos e Equipamentos'!O51*('01 - Dados de Entrada'!$C$74)-SUM(L45:Q45)</f>
        <v>0</v>
      </c>
      <c r="S45" s="525">
        <f>'04 - Veículos e Equipamentos'!P51*('01 - Dados de Entrada'!$C$74)-SUM(M45:R45)</f>
        <v>685000</v>
      </c>
      <c r="T45" s="525">
        <f>'04 - Veículos e Equipamentos'!Q51*('01 - Dados de Entrada'!$C$74)-SUM(N45:S45)</f>
        <v>0</v>
      </c>
      <c r="U45" s="525">
        <f>'04 - Veículos e Equipamentos'!R51*('01 - Dados de Entrada'!$C$74)-SUM(O45:T45)</f>
        <v>0</v>
      </c>
      <c r="V45" s="525">
        <f>'04 - Veículos e Equipamentos'!S51*('01 - Dados de Entrada'!$C$74)-SUM(P45:U45)</f>
        <v>0</v>
      </c>
      <c r="W45" s="525">
        <f>'04 - Veículos e Equipamentos'!T51*('01 - Dados de Entrada'!$C$74)-SUM(Q45:V45)</f>
        <v>0</v>
      </c>
      <c r="X45" s="525">
        <f>'04 - Veículos e Equipamentos'!U51*('01 - Dados de Entrada'!$C$74)-SUM(R45:W45)</f>
        <v>0</v>
      </c>
      <c r="Y45" s="525">
        <f>'04 - Veículos e Equipamentos'!V51*('01 - Dados de Entrada'!$C$74)-SUM(S45:X45)</f>
        <v>0</v>
      </c>
      <c r="Z45" s="525">
        <f>'04 - Veículos e Equipamentos'!W51*('01 - Dados de Entrada'!$C$74)-SUM(T45:Y45)</f>
        <v>685000</v>
      </c>
      <c r="AA45" s="525">
        <f>'04 - Veículos e Equipamentos'!X51*('01 - Dados de Entrada'!$C$74)-SUM(U45:Z45)</f>
        <v>0</v>
      </c>
      <c r="AB45" s="525">
        <f>'04 - Veículos e Equipamentos'!Y51*('01 - Dados de Entrada'!$C$74)-SUM(V45:AA45)</f>
        <v>0</v>
      </c>
      <c r="AC45" s="525">
        <f>'04 - Veículos e Equipamentos'!Z51*('01 - Dados de Entrada'!$C$74)-SUM(W45:AB45)</f>
        <v>0</v>
      </c>
      <c r="AD45" s="525">
        <f>'04 - Veículos e Equipamentos'!AA51*('01 - Dados de Entrada'!$C$74)-SUM(X45:AC45)</f>
        <v>0</v>
      </c>
      <c r="AE45" s="525">
        <f>'04 - Veículos e Equipamentos'!AB51*('01 - Dados de Entrada'!$C$74)-SUM(Y45:AD45)</f>
        <v>0</v>
      </c>
      <c r="AF45" s="525">
        <f>'04 - Veículos e Equipamentos'!AC51*('01 - Dados de Entrada'!$C$74)-SUM(Z45:AE45)</f>
        <v>0</v>
      </c>
      <c r="AG45" s="525">
        <f>'04 - Veículos e Equipamentos'!AD51*('01 - Dados de Entrada'!$C$74)-SUM(AA45:AF45)</f>
        <v>685000</v>
      </c>
      <c r="AH45" s="525">
        <f>'04 - Veículos e Equipamentos'!AE51*('01 - Dados de Entrada'!$C$74)-SUM(AB45:AG45)</f>
        <v>0</v>
      </c>
      <c r="AI45" s="525">
        <f>'04 - Veículos e Equipamentos'!AF51*('01 - Dados de Entrada'!$C$74)-SUM(AC45:AH45)</f>
        <v>0</v>
      </c>
      <c r="AJ45" s="525">
        <f>'04 - Veículos e Equipamentos'!AG51*('01 - Dados de Entrada'!$C$74)-SUM(AD45:AI45)</f>
        <v>0</v>
      </c>
      <c r="AK45" s="525">
        <f>'04 - Veículos e Equipamentos'!AH51*('01 - Dados de Entrada'!$C$74)-SUM(AE45:AJ45)</f>
        <v>0</v>
      </c>
      <c r="AL45" s="525">
        <f>'04 - Veículos e Equipamentos'!AI51*('01 - Dados de Entrada'!$C$74)-SUM(AF45:AK45)</f>
        <v>0</v>
      </c>
      <c r="AM45" s="525">
        <f>'04 - Veículos e Equipamentos'!AJ51*('01 - Dados de Entrada'!$C$74)-SUM(AG45:AL45)</f>
        <v>0</v>
      </c>
    </row>
    <row r="46" spans="1:39" s="22" customFormat="1" ht="13.15" customHeight="1" x14ac:dyDescent="0.2">
      <c r="A46" s="24" t="s">
        <v>582</v>
      </c>
      <c r="B46" s="24" t="s">
        <v>1086</v>
      </c>
      <c r="C46" s="401"/>
      <c r="D46" s="525">
        <f t="shared" si="31"/>
        <v>728748</v>
      </c>
      <c r="E46" s="529">
        <f>'04 - Veículos e Equipamentos'!B52*('01 - Dados de Entrada'!$C$75)</f>
        <v>364374</v>
      </c>
      <c r="F46" s="525">
        <f>'04 - Veículos e Equipamentos'!C52*('01 - Dados de Entrada'!$C$75)-SUM(E46)</f>
        <v>0</v>
      </c>
      <c r="G46" s="525">
        <f>'04 - Veículos e Equipamentos'!D52*('01 - Dados de Entrada'!$C$75)-SUM(E46:F46)</f>
        <v>0</v>
      </c>
      <c r="H46" s="525">
        <f>'04 - Veículos e Equipamentos'!E52*('01 - Dados de Entrada'!$C$75)-SUM(E46:G46)</f>
        <v>0</v>
      </c>
      <c r="I46" s="525">
        <f>'04 - Veículos e Equipamentos'!F52*('01 - Dados de Entrada'!$C$75)-SUM(E46:H46)</f>
        <v>0</v>
      </c>
      <c r="J46" s="525">
        <f>'04 - Veículos e Equipamentos'!G52*('01 - Dados de Entrada'!$C$75)-SUM(E46:I46)</f>
        <v>0</v>
      </c>
      <c r="K46" s="525">
        <f>'04 - Veículos e Equipamentos'!H52*('01 - Dados de Entrada'!$C$75)-SUM(E46:J46)</f>
        <v>0</v>
      </c>
      <c r="L46" s="525">
        <f>'04 - Veículos e Equipamentos'!I52*('01 - Dados de Entrada'!$C$75)-SUM(F46:K46)</f>
        <v>364374</v>
      </c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  <c r="AG46" s="529"/>
      <c r="AH46" s="529"/>
      <c r="AI46" s="480"/>
      <c r="AJ46" s="480"/>
      <c r="AK46" s="480"/>
      <c r="AL46" s="480"/>
      <c r="AM46" s="480"/>
    </row>
    <row r="47" spans="1:39" s="8" customFormat="1" ht="13.15" customHeight="1" x14ac:dyDescent="0.2">
      <c r="A47" s="400" t="s">
        <v>819</v>
      </c>
      <c r="B47" s="400" t="s">
        <v>1086</v>
      </c>
      <c r="C47" s="401"/>
      <c r="D47" s="525">
        <f t="shared" si="31"/>
        <v>154071</v>
      </c>
      <c r="E47" s="525">
        <f>'04 - Veículos e Equipamentos'!B53*('01 - Dados de Entrada'!$C$57)</f>
        <v>17119</v>
      </c>
      <c r="F47" s="525">
        <f>'04 - Veículos e Equipamentos'!C53*('01 - Dados de Entrada'!$C$57)-SUM(E47)</f>
        <v>0</v>
      </c>
      <c r="G47" s="525">
        <f>'04 - Veículos e Equipamentos'!D53*('01 - Dados de Entrada'!$C$57)-SUM(E47:F47)</f>
        <v>0</v>
      </c>
      <c r="H47" s="525">
        <f>'04 - Veículos e Equipamentos'!E53*('01 - Dados de Entrada'!$C$57)-SUM(E47:G47)</f>
        <v>0</v>
      </c>
      <c r="I47" s="525">
        <f>'04 - Veículos e Equipamentos'!F53*('01 - Dados de Entrada'!$C$57)-SUM(F47:H47)</f>
        <v>17119</v>
      </c>
      <c r="J47" s="525">
        <f>'04 - Veículos e Equipamentos'!G53*('01 - Dados de Entrada'!$C$57)-SUM(G47:I47)</f>
        <v>0</v>
      </c>
      <c r="K47" s="525">
        <f>'04 - Veículos e Equipamentos'!H53*('01 - Dados de Entrada'!$C$57)-SUM(H47:J47)</f>
        <v>0</v>
      </c>
      <c r="L47" s="525">
        <f>'04 - Veículos e Equipamentos'!I53*('01 - Dados de Entrada'!$C$57)-SUM(I47:K47)</f>
        <v>0</v>
      </c>
      <c r="M47" s="525">
        <f>'04 - Veículos e Equipamentos'!J53*('01 - Dados de Entrada'!$C$57)-SUM(J47:L47)</f>
        <v>17119</v>
      </c>
      <c r="N47" s="525">
        <f>'04 - Veículos e Equipamentos'!K53*('01 - Dados de Entrada'!$C$57)-SUM(K47:M47)</f>
        <v>0</v>
      </c>
      <c r="O47" s="525">
        <f>'04 - Veículos e Equipamentos'!L53*('01 - Dados de Entrada'!$C$57)-SUM(L47:N47)</f>
        <v>0</v>
      </c>
      <c r="P47" s="525">
        <f>'04 - Veículos e Equipamentos'!M53*('01 - Dados de Entrada'!$C$57)-SUM(M47:O47)</f>
        <v>0</v>
      </c>
      <c r="Q47" s="525">
        <f>'04 - Veículos e Equipamentos'!N53*('01 - Dados de Entrada'!$C$57)-SUM(N47:P47)</f>
        <v>17119</v>
      </c>
      <c r="R47" s="525">
        <f>'04 - Veículos e Equipamentos'!O53*('01 - Dados de Entrada'!$C$57)-SUM(O47:Q47)</f>
        <v>0</v>
      </c>
      <c r="S47" s="525">
        <f>'04 - Veículos e Equipamentos'!P53*('01 - Dados de Entrada'!$C$57)-SUM(P47:R47)</f>
        <v>0</v>
      </c>
      <c r="T47" s="525">
        <f>'04 - Veículos e Equipamentos'!Q53*('01 - Dados de Entrada'!$C$57)-SUM(Q47:S47)</f>
        <v>0</v>
      </c>
      <c r="U47" s="525">
        <f>'04 - Veículos e Equipamentos'!R53*('01 - Dados de Entrada'!$C$57)-SUM(R47:T47)</f>
        <v>17119</v>
      </c>
      <c r="V47" s="525">
        <f>'04 - Veículos e Equipamentos'!S53*('01 - Dados de Entrada'!$C$57)-SUM(S47:U47)</f>
        <v>0</v>
      </c>
      <c r="W47" s="525">
        <f>'04 - Veículos e Equipamentos'!T53*('01 - Dados de Entrada'!$C$57)-SUM(T47:V47)</f>
        <v>0</v>
      </c>
      <c r="X47" s="525">
        <f>'04 - Veículos e Equipamentos'!U53*('01 - Dados de Entrada'!$C$57)-SUM(U47:W47)</f>
        <v>0</v>
      </c>
      <c r="Y47" s="525">
        <f>'04 - Veículos e Equipamentos'!V53*('01 - Dados de Entrada'!$C$57)-SUM(V47:X47)</f>
        <v>17119</v>
      </c>
      <c r="Z47" s="525">
        <f>'04 - Veículos e Equipamentos'!W53*('01 - Dados de Entrada'!$C$57)-SUM(W47:Y47)</f>
        <v>0</v>
      </c>
      <c r="AA47" s="525">
        <f>'04 - Veículos e Equipamentos'!X53*('01 - Dados de Entrada'!$C$57)-SUM(X47:Z47)</f>
        <v>0</v>
      </c>
      <c r="AB47" s="525">
        <f>'04 - Veículos e Equipamentos'!Y53*('01 - Dados de Entrada'!$C$57)-SUM(Y47:AA47)</f>
        <v>0</v>
      </c>
      <c r="AC47" s="525">
        <f>'04 - Veículos e Equipamentos'!Z53*('01 - Dados de Entrada'!$C$57)-SUM(Z47:AB47)</f>
        <v>17119</v>
      </c>
      <c r="AD47" s="525">
        <f>'04 - Veículos e Equipamentos'!AA53*('01 - Dados de Entrada'!$C$57)-SUM(AA47:AC47)</f>
        <v>0</v>
      </c>
      <c r="AE47" s="525">
        <f>'04 - Veículos e Equipamentos'!AB53*('01 - Dados de Entrada'!$C$57)-SUM(AB47:AD47)</f>
        <v>0</v>
      </c>
      <c r="AF47" s="525">
        <f>'04 - Veículos e Equipamentos'!AC53*('01 - Dados de Entrada'!$C$57)-SUM(AC47:AE47)</f>
        <v>0</v>
      </c>
      <c r="AG47" s="525">
        <f>'04 - Veículos e Equipamentos'!AD53*('01 - Dados de Entrada'!$C$57)-SUM(AD47:AF47)</f>
        <v>17119</v>
      </c>
      <c r="AH47" s="525">
        <f>'04 - Veículos e Equipamentos'!AE53*('01 - Dados de Entrada'!$C$57)-SUM(AE47:AG47)</f>
        <v>0</v>
      </c>
      <c r="AI47" s="525">
        <f>'04 - Veículos e Equipamentos'!AF53*('01 - Dados de Entrada'!$C$57)-SUM(AF47:AH47)</f>
        <v>0</v>
      </c>
      <c r="AJ47" s="525">
        <f>'04 - Veículos e Equipamentos'!AG53*('01 - Dados de Entrada'!$C$57)-SUM(AG47:AI47)</f>
        <v>0</v>
      </c>
      <c r="AK47" s="525">
        <f>'04 - Veículos e Equipamentos'!AH53*('01 - Dados de Entrada'!$C$57)-SUM(AH47:AJ47)</f>
        <v>17119</v>
      </c>
      <c r="AL47" s="525">
        <f>'04 - Veículos e Equipamentos'!AI53*('01 - Dados de Entrada'!$C$57)-SUM(AI47:AK47)</f>
        <v>0</v>
      </c>
      <c r="AM47" s="525">
        <f>'04 - Veículos e Equipamentos'!AJ53*('01 - Dados de Entrada'!$C$57)-SUM(AJ47:AL47)</f>
        <v>0</v>
      </c>
    </row>
    <row r="48" spans="1:39" ht="13.15" customHeight="1" x14ac:dyDescent="0.2">
      <c r="A48" s="198" t="s">
        <v>578</v>
      </c>
      <c r="B48" s="198"/>
      <c r="C48" s="512" t="s">
        <v>1096</v>
      </c>
      <c r="D48" s="524">
        <f xml:space="preserve"> SUM( $E48:$AM48 )</f>
        <v>5126784.3000000007</v>
      </c>
      <c r="E48" s="524">
        <f t="shared" ref="E48:AM48" si="32">SUM(E49:E57)</f>
        <v>990120.88000000012</v>
      </c>
      <c r="F48" s="524">
        <f t="shared" si="32"/>
        <v>0</v>
      </c>
      <c r="G48" s="524">
        <f t="shared" si="32"/>
        <v>0</v>
      </c>
      <c r="H48" s="524">
        <f t="shared" si="32"/>
        <v>0</v>
      </c>
      <c r="I48" s="524">
        <f t="shared" si="32"/>
        <v>17119</v>
      </c>
      <c r="J48" s="524">
        <f t="shared" si="32"/>
        <v>53851.950000000004</v>
      </c>
      <c r="K48" s="524">
        <f t="shared" si="32"/>
        <v>0</v>
      </c>
      <c r="L48" s="524">
        <f t="shared" si="32"/>
        <v>919149.93</v>
      </c>
      <c r="M48" s="524">
        <f t="shared" si="32"/>
        <v>17119</v>
      </c>
      <c r="N48" s="524">
        <f t="shared" si="32"/>
        <v>0</v>
      </c>
      <c r="O48" s="524">
        <f t="shared" si="32"/>
        <v>53851.950000000004</v>
      </c>
      <c r="P48" s="524">
        <f t="shared" si="32"/>
        <v>0</v>
      </c>
      <c r="Q48" s="524">
        <f t="shared" si="32"/>
        <v>17119</v>
      </c>
      <c r="R48" s="524">
        <f t="shared" si="32"/>
        <v>0</v>
      </c>
      <c r="S48" s="524">
        <f t="shared" si="32"/>
        <v>919149.93</v>
      </c>
      <c r="T48" s="524">
        <f t="shared" si="32"/>
        <v>53851.950000000004</v>
      </c>
      <c r="U48" s="524">
        <f t="shared" si="32"/>
        <v>17119</v>
      </c>
      <c r="V48" s="524">
        <f t="shared" si="32"/>
        <v>0</v>
      </c>
      <c r="W48" s="524">
        <f t="shared" si="32"/>
        <v>0</v>
      </c>
      <c r="X48" s="524">
        <f t="shared" si="32"/>
        <v>0</v>
      </c>
      <c r="Y48" s="524">
        <f t="shared" si="32"/>
        <v>70970.95</v>
      </c>
      <c r="Z48" s="524">
        <f t="shared" si="32"/>
        <v>919149.93</v>
      </c>
      <c r="AA48" s="524">
        <f t="shared" si="32"/>
        <v>0</v>
      </c>
      <c r="AB48" s="524">
        <f t="shared" si="32"/>
        <v>0</v>
      </c>
      <c r="AC48" s="524">
        <f t="shared" si="32"/>
        <v>17119</v>
      </c>
      <c r="AD48" s="524">
        <f t="shared" si="32"/>
        <v>53851.950000000004</v>
      </c>
      <c r="AE48" s="524">
        <f t="shared" si="32"/>
        <v>0</v>
      </c>
      <c r="AF48" s="524">
        <f t="shared" si="32"/>
        <v>0</v>
      </c>
      <c r="AG48" s="524">
        <f t="shared" si="32"/>
        <v>936268.93</v>
      </c>
      <c r="AH48" s="524">
        <f t="shared" si="32"/>
        <v>0</v>
      </c>
      <c r="AI48" s="524">
        <f t="shared" si="32"/>
        <v>53851.950000000004</v>
      </c>
      <c r="AJ48" s="524">
        <f t="shared" si="32"/>
        <v>0</v>
      </c>
      <c r="AK48" s="524">
        <f t="shared" si="32"/>
        <v>17119</v>
      </c>
      <c r="AL48" s="524">
        <f t="shared" si="32"/>
        <v>0</v>
      </c>
      <c r="AM48" s="524">
        <f t="shared" si="32"/>
        <v>0</v>
      </c>
    </row>
    <row r="49" spans="1:39" s="22" customFormat="1" ht="13.15" customHeight="1" x14ac:dyDescent="0.2">
      <c r="A49" s="34" t="s">
        <v>580</v>
      </c>
      <c r="B49" s="34" t="s">
        <v>1086</v>
      </c>
      <c r="C49" s="401"/>
      <c r="D49" s="525">
        <f xml:space="preserve"> SUM( $E49:$AM49 )</f>
        <v>3094814.6500000004</v>
      </c>
      <c r="E49" s="529">
        <f>'04 - Veículos e Equipamentos'!B55*('01 - Dados de Entrada'!$C$65+'01 - Dados de Entrada'!$C$67)</f>
        <v>618962.93000000005</v>
      </c>
      <c r="F49" s="529">
        <f>'04 - Veículos e Equipamentos'!C55*('01 - Dados de Entrada'!$C$65+'01 - Dados de Entrada'!$C$67)-SUM(E49)</f>
        <v>0</v>
      </c>
      <c r="G49" s="529">
        <f>'04 - Veículos e Equipamentos'!D55*('01 - Dados de Entrada'!$C$65+'01 - Dados de Entrada'!$C$67)-SUM(E49:F49)</f>
        <v>0</v>
      </c>
      <c r="H49" s="529">
        <f>'04 - Veículos e Equipamentos'!E55*('01 - Dados de Entrada'!$C$65+'01 - Dados de Entrada'!$C$67)-SUM(E49:G49)</f>
        <v>0</v>
      </c>
      <c r="I49" s="529">
        <f>'04 - Veículos e Equipamentos'!F55*('01 - Dados de Entrada'!$C$65+'01 - Dados de Entrada'!$C$67)-SUM(E49:H49)</f>
        <v>0</v>
      </c>
      <c r="J49" s="529">
        <f>'04 - Veículos e Equipamentos'!G55*('01 - Dados de Entrada'!$C$65+'01 - Dados de Entrada'!$C$67)-SUM(E49:I49)</f>
        <v>0</v>
      </c>
      <c r="K49" s="529">
        <f>'04 - Veículos e Equipamentos'!H55*('01 - Dados de Entrada'!$C$65+'01 - Dados de Entrada'!$C$67)-SUM(E49:J49)</f>
        <v>0</v>
      </c>
      <c r="L49" s="529">
        <f>'04 - Veículos e Equipamentos'!I55*('01 - Dados de Entrada'!$C$65+'01 - Dados de Entrada'!$C$67)-SUM(F49:K49)</f>
        <v>618962.93000000005</v>
      </c>
      <c r="M49" s="529">
        <f>'04 - Veículos e Equipamentos'!J55*('01 - Dados de Entrada'!$C$65+'01 - Dados de Entrada'!$C$67)-SUM(G49:L49)</f>
        <v>0</v>
      </c>
      <c r="N49" s="529">
        <f>'04 - Veículos e Equipamentos'!K55*('01 - Dados de Entrada'!$C$65+'01 - Dados de Entrada'!$C$67)-SUM(H49:M49)</f>
        <v>0</v>
      </c>
      <c r="O49" s="529">
        <f>'04 - Veículos e Equipamentos'!L55*('01 - Dados de Entrada'!$C$65+'01 - Dados de Entrada'!$C$67)-SUM(I49:N49)</f>
        <v>0</v>
      </c>
      <c r="P49" s="529">
        <f>'04 - Veículos e Equipamentos'!M55*('01 - Dados de Entrada'!$C$65+'01 - Dados de Entrada'!$C$67)-SUM(J49:O49)</f>
        <v>0</v>
      </c>
      <c r="Q49" s="529">
        <f>'04 - Veículos e Equipamentos'!N55*('01 - Dados de Entrada'!$C$65+'01 - Dados de Entrada'!$C$67)-SUM(K49:P49)</f>
        <v>0</v>
      </c>
      <c r="R49" s="529">
        <f>'04 - Veículos e Equipamentos'!O55*('01 - Dados de Entrada'!$C$65+'01 - Dados de Entrada'!$C$67)-SUM(L49:Q49)</f>
        <v>0</v>
      </c>
      <c r="S49" s="529">
        <f>'04 - Veículos e Equipamentos'!P55*('01 - Dados de Entrada'!$C$65+'01 - Dados de Entrada'!$C$67)-SUM(M49:R49)</f>
        <v>618962.93000000005</v>
      </c>
      <c r="T49" s="529">
        <f>'04 - Veículos e Equipamentos'!Q55*('01 - Dados de Entrada'!$C$65+'01 - Dados de Entrada'!$C$67)-SUM(N49:S49)</f>
        <v>0</v>
      </c>
      <c r="U49" s="529">
        <f>'04 - Veículos e Equipamentos'!R55*('01 - Dados de Entrada'!$C$65+'01 - Dados de Entrada'!$C$67)-SUM(O49:T49)</f>
        <v>0</v>
      </c>
      <c r="V49" s="529">
        <f>'04 - Veículos e Equipamentos'!S55*('01 - Dados de Entrada'!$C$65+'01 - Dados de Entrada'!$C$67)-SUM(P49:U49)</f>
        <v>0</v>
      </c>
      <c r="W49" s="529">
        <f>'04 - Veículos e Equipamentos'!T55*('01 - Dados de Entrada'!$C$65+'01 - Dados de Entrada'!$C$67)-SUM(Q49:V49)</f>
        <v>0</v>
      </c>
      <c r="X49" s="529">
        <f>'04 - Veículos e Equipamentos'!U55*('01 - Dados de Entrada'!$C$65+'01 - Dados de Entrada'!$C$67)-SUM(R49:W49)</f>
        <v>0</v>
      </c>
      <c r="Y49" s="529">
        <f>'04 - Veículos e Equipamentos'!V55*('01 - Dados de Entrada'!$C$65+'01 - Dados de Entrada'!$C$67)-SUM(S49:X49)</f>
        <v>0</v>
      </c>
      <c r="Z49" s="529">
        <f>'04 - Veículos e Equipamentos'!W55*('01 - Dados de Entrada'!$C$65+'01 - Dados de Entrada'!$C$67)-SUM(T49:Y49)</f>
        <v>618962.93000000005</v>
      </c>
      <c r="AA49" s="529">
        <f>'04 - Veículos e Equipamentos'!X55*('01 - Dados de Entrada'!$C$65+'01 - Dados de Entrada'!$C$67)-SUM(U49:Z49)</f>
        <v>0</v>
      </c>
      <c r="AB49" s="529">
        <f>'04 - Veículos e Equipamentos'!Y55*('01 - Dados de Entrada'!$C$65+'01 - Dados de Entrada'!$C$67)-SUM(V49:AA49)</f>
        <v>0</v>
      </c>
      <c r="AC49" s="529">
        <f>'04 - Veículos e Equipamentos'!Z55*('01 - Dados de Entrada'!$C$65+'01 - Dados de Entrada'!$C$67)-SUM(W49:AB49)</f>
        <v>0</v>
      </c>
      <c r="AD49" s="529">
        <f>'04 - Veículos e Equipamentos'!AA55*('01 - Dados de Entrada'!$C$65+'01 - Dados de Entrada'!$C$67)-SUM(X49:AC49)</f>
        <v>0</v>
      </c>
      <c r="AE49" s="529">
        <f>'04 - Veículos e Equipamentos'!AB55*('01 - Dados de Entrada'!$C$65+'01 - Dados de Entrada'!$C$67)-SUM(Y49:AD49)</f>
        <v>0</v>
      </c>
      <c r="AF49" s="529">
        <f>'04 - Veículos e Equipamentos'!AC55*('01 - Dados de Entrada'!$C$65+'01 - Dados de Entrada'!$C$67)-SUM(Z49:AE49)</f>
        <v>0</v>
      </c>
      <c r="AG49" s="529">
        <f>'04 - Veículos e Equipamentos'!AD55*('01 - Dados de Entrada'!$C$65+'01 - Dados de Entrada'!$C$67)-SUM(AA49:AF49)</f>
        <v>618962.93000000005</v>
      </c>
      <c r="AH49" s="529">
        <f>'04 - Veículos e Equipamentos'!AE55*('01 - Dados de Entrada'!$C$65+'01 - Dados de Entrada'!$C$67)-SUM(AB49:AG49)</f>
        <v>0</v>
      </c>
      <c r="AI49" s="529">
        <f>'04 - Veículos e Equipamentos'!AF55*('01 - Dados de Entrada'!$C$65+'01 - Dados de Entrada'!$C$67)-SUM(AC49:AH49)</f>
        <v>0</v>
      </c>
      <c r="AJ49" s="529">
        <f>'04 - Veículos e Equipamentos'!AG55*('01 - Dados de Entrada'!$C$65+'01 - Dados de Entrada'!$C$67)-SUM(AD49:AI49)</f>
        <v>0</v>
      </c>
      <c r="AK49" s="529">
        <f>'04 - Veículos e Equipamentos'!AH55*('01 - Dados de Entrada'!$C$65+'01 - Dados de Entrada'!$C$67)-SUM(AE49:AJ49)</f>
        <v>0</v>
      </c>
      <c r="AL49" s="529">
        <f>'04 - Veículos e Equipamentos'!AI55*('01 - Dados de Entrada'!$C$65+'01 - Dados de Entrada'!$C$67)-SUM(AF49:AK49)</f>
        <v>0</v>
      </c>
      <c r="AM49" s="529">
        <f>'04 - Veículos e Equipamentos'!AJ55*('01 - Dados de Entrada'!$C$65+'01 - Dados de Entrada'!$C$67)-SUM(AG49:AL49)</f>
        <v>0</v>
      </c>
    </row>
    <row r="50" spans="1:39" s="22" customFormat="1" ht="13.15" customHeight="1" x14ac:dyDescent="0.2">
      <c r="A50" s="34" t="s">
        <v>582</v>
      </c>
      <c r="B50" s="34" t="s">
        <v>1086</v>
      </c>
      <c r="C50" s="401"/>
      <c r="D50" s="525">
        <f xml:space="preserve"> SUM( $E50:$AM50 )</f>
        <v>910935</v>
      </c>
      <c r="E50" s="529">
        <f>'04 - Veículos e Equipamentos'!B56*('01 - Dados de Entrada'!$C$75)</f>
        <v>182187</v>
      </c>
      <c r="F50" s="529">
        <f>'04 - Veículos e Equipamentos'!C56*('01 - Dados de Entrada'!$C$75)-SUM(E50)</f>
        <v>0</v>
      </c>
      <c r="G50" s="529">
        <f>'04 - Veículos e Equipamentos'!D56*('01 - Dados de Entrada'!$C$75)-SUM(E50:F50)</f>
        <v>0</v>
      </c>
      <c r="H50" s="529">
        <f>'04 - Veículos e Equipamentos'!E56*('01 - Dados de Entrada'!$C$75)-SUM(E50:G50)</f>
        <v>0</v>
      </c>
      <c r="I50" s="529">
        <f>'04 - Veículos e Equipamentos'!F56*('01 - Dados de Entrada'!$C$75)-SUM(E50:H50)</f>
        <v>0</v>
      </c>
      <c r="J50" s="529">
        <f>'04 - Veículos e Equipamentos'!G56*('01 - Dados de Entrada'!$C$75)-SUM(E50:I50)</f>
        <v>0</v>
      </c>
      <c r="K50" s="529">
        <f>'04 - Veículos e Equipamentos'!H56*('01 - Dados de Entrada'!$C$75)-SUM(E50:J50)</f>
        <v>0</v>
      </c>
      <c r="L50" s="529">
        <f>'04 - Veículos e Equipamentos'!I56*('01 - Dados de Entrada'!$C$75)-SUM(F50:K50)</f>
        <v>182187</v>
      </c>
      <c r="M50" s="529">
        <f>'04 - Veículos e Equipamentos'!J56*('01 - Dados de Entrada'!$C$75)-SUM(G50:L50)</f>
        <v>0</v>
      </c>
      <c r="N50" s="529">
        <f>'04 - Veículos e Equipamentos'!K56*('01 - Dados de Entrada'!$C$75)-SUM(H50:M50)</f>
        <v>0</v>
      </c>
      <c r="O50" s="529">
        <f>'04 - Veículos e Equipamentos'!L56*('01 - Dados de Entrada'!$C$75)-SUM(I50:N50)</f>
        <v>0</v>
      </c>
      <c r="P50" s="529">
        <f>'04 - Veículos e Equipamentos'!M56*('01 - Dados de Entrada'!$C$75)-SUM(J50:O50)</f>
        <v>0</v>
      </c>
      <c r="Q50" s="529">
        <f>'04 - Veículos e Equipamentos'!N56*('01 - Dados de Entrada'!$C$75)-SUM(K50:P50)</f>
        <v>0</v>
      </c>
      <c r="R50" s="529">
        <f>'04 - Veículos e Equipamentos'!O56*('01 - Dados de Entrada'!$C$75)-SUM(L50:Q50)</f>
        <v>0</v>
      </c>
      <c r="S50" s="529">
        <f>'04 - Veículos e Equipamentos'!P56*('01 - Dados de Entrada'!$C$75)-SUM(M50:R50)</f>
        <v>182187</v>
      </c>
      <c r="T50" s="529">
        <f>'04 - Veículos e Equipamentos'!Q56*('01 - Dados de Entrada'!$C$75)-SUM(N50:S50)</f>
        <v>0</v>
      </c>
      <c r="U50" s="529">
        <f>'04 - Veículos e Equipamentos'!R56*('01 - Dados de Entrada'!$C$75)-SUM(O50:T50)</f>
        <v>0</v>
      </c>
      <c r="V50" s="529">
        <f>'04 - Veículos e Equipamentos'!S56*('01 - Dados de Entrada'!$C$75)-SUM(P50:U50)</f>
        <v>0</v>
      </c>
      <c r="W50" s="529">
        <f>'04 - Veículos e Equipamentos'!T56*('01 - Dados de Entrada'!$C$75)-SUM(Q50:V50)</f>
        <v>0</v>
      </c>
      <c r="X50" s="529">
        <f>'04 - Veículos e Equipamentos'!U56*('01 - Dados de Entrada'!$C$75)-SUM(R50:W50)</f>
        <v>0</v>
      </c>
      <c r="Y50" s="529">
        <f>'04 - Veículos e Equipamentos'!V56*('01 - Dados de Entrada'!$C$75)-SUM(S50:X50)</f>
        <v>0</v>
      </c>
      <c r="Z50" s="529">
        <f>'04 - Veículos e Equipamentos'!W56*('01 - Dados de Entrada'!$C$75)-SUM(T50:Y50)</f>
        <v>182187</v>
      </c>
      <c r="AA50" s="529">
        <f>'04 - Veículos e Equipamentos'!X56*('01 - Dados de Entrada'!$C$75)-SUM(U50:Z50)</f>
        <v>0</v>
      </c>
      <c r="AB50" s="529">
        <f>'04 - Veículos e Equipamentos'!Y56*('01 - Dados de Entrada'!$C$75)-SUM(V50:AA50)</f>
        <v>0</v>
      </c>
      <c r="AC50" s="529">
        <f>'04 - Veículos e Equipamentos'!Z56*('01 - Dados de Entrada'!$C$75)-SUM(W50:AB50)</f>
        <v>0</v>
      </c>
      <c r="AD50" s="529">
        <f>'04 - Veículos e Equipamentos'!AA56*('01 - Dados de Entrada'!$C$75)-SUM(X50:AC50)</f>
        <v>0</v>
      </c>
      <c r="AE50" s="529">
        <f>'04 - Veículos e Equipamentos'!AB56*('01 - Dados de Entrada'!$C$75)-SUM(Y50:AD50)</f>
        <v>0</v>
      </c>
      <c r="AF50" s="529">
        <f>'04 - Veículos e Equipamentos'!AC56*('01 - Dados de Entrada'!$C$75)-SUM(Z50:AE50)</f>
        <v>0</v>
      </c>
      <c r="AG50" s="529">
        <f>'04 - Veículos e Equipamentos'!AD56*('01 - Dados de Entrada'!$C$75)-SUM(AA50:AF50)</f>
        <v>182187</v>
      </c>
      <c r="AH50" s="529">
        <f>'04 - Veículos e Equipamentos'!AE56*('01 - Dados de Entrada'!$C$75)-SUM(AB50:AG50)</f>
        <v>0</v>
      </c>
      <c r="AI50" s="529">
        <f>'04 - Veículos e Equipamentos'!AF56*('01 - Dados de Entrada'!$C$75)-SUM(AC50:AH50)</f>
        <v>0</v>
      </c>
      <c r="AJ50" s="529">
        <f>'04 - Veículos e Equipamentos'!AG56*('01 - Dados de Entrada'!$C$75)-SUM(AD50:AI50)</f>
        <v>0</v>
      </c>
      <c r="AK50" s="529">
        <f>'04 - Veículos e Equipamentos'!AH56*('01 - Dados de Entrada'!$C$75)-SUM(AE50:AJ50)</f>
        <v>0</v>
      </c>
      <c r="AL50" s="529">
        <f>'04 - Veículos e Equipamentos'!AI56*('01 - Dados de Entrada'!$C$75)-SUM(AF50:AK50)</f>
        <v>0</v>
      </c>
      <c r="AM50" s="529">
        <f>'04 - Veículos e Equipamentos'!AJ56*('01 - Dados de Entrada'!$C$75)-SUM(AG50:AL50)</f>
        <v>0</v>
      </c>
    </row>
    <row r="51" spans="1:39" s="22" customFormat="1" ht="13.15" customHeight="1" x14ac:dyDescent="0.2">
      <c r="A51" s="36" t="s">
        <v>819</v>
      </c>
      <c r="B51" s="36" t="s">
        <v>1086</v>
      </c>
      <c r="C51" s="401"/>
      <c r="D51" s="525">
        <f xml:space="preserve"> SUM( $E51:$AM51 )</f>
        <v>154071</v>
      </c>
      <c r="E51" s="529">
        <f>'04 - Veículos e Equipamentos'!B57*('01 - Dados de Entrada'!$C$57)</f>
        <v>17119</v>
      </c>
      <c r="F51" s="529">
        <f>'04 - Veículos e Equipamentos'!C57*('01 - Dados de Entrada'!$C$57)-SUM(E51)</f>
        <v>0</v>
      </c>
      <c r="G51" s="529">
        <f>'04 - Veículos e Equipamentos'!D57*('01 - Dados de Entrada'!$C$57)-SUM(E51:F51)</f>
        <v>0</v>
      </c>
      <c r="H51" s="529">
        <f>'04 - Veículos e Equipamentos'!E57*('01 - Dados de Entrada'!$C$57)-SUM(E51:G51)</f>
        <v>0</v>
      </c>
      <c r="I51" s="529">
        <f>'04 - Veículos e Equipamentos'!F57*('01 - Dados de Entrada'!$C$57)-SUM(F51:H51)</f>
        <v>17119</v>
      </c>
      <c r="J51" s="529">
        <f>'04 - Veículos e Equipamentos'!G57*('01 - Dados de Entrada'!$C$57)-SUM(G51:I51)</f>
        <v>0</v>
      </c>
      <c r="K51" s="529">
        <f>'04 - Veículos e Equipamentos'!H57*('01 - Dados de Entrada'!$C$57)-SUM(H51:J51)</f>
        <v>0</v>
      </c>
      <c r="L51" s="529">
        <f>'04 - Veículos e Equipamentos'!I57*('01 - Dados de Entrada'!$C$57)-SUM(I51:K51)</f>
        <v>0</v>
      </c>
      <c r="M51" s="529">
        <f>'04 - Veículos e Equipamentos'!J57*('01 - Dados de Entrada'!$C$57)-SUM(J51:L51)</f>
        <v>17119</v>
      </c>
      <c r="N51" s="529">
        <f>'04 - Veículos e Equipamentos'!K57*('01 - Dados de Entrada'!$C$57)-SUM(K51:M51)</f>
        <v>0</v>
      </c>
      <c r="O51" s="529">
        <f>'04 - Veículos e Equipamentos'!L57*('01 - Dados de Entrada'!$C$57)-SUM(L51:N51)</f>
        <v>0</v>
      </c>
      <c r="P51" s="529">
        <f>'04 - Veículos e Equipamentos'!M57*('01 - Dados de Entrada'!$C$57)-SUM(M51:O51)</f>
        <v>0</v>
      </c>
      <c r="Q51" s="529">
        <f>'04 - Veículos e Equipamentos'!N57*('01 - Dados de Entrada'!$C$57)-SUM(N51:P51)</f>
        <v>17119</v>
      </c>
      <c r="R51" s="529">
        <f>'04 - Veículos e Equipamentos'!O57*('01 - Dados de Entrada'!$C$57)-SUM(O51:Q51)</f>
        <v>0</v>
      </c>
      <c r="S51" s="529">
        <f>'04 - Veículos e Equipamentos'!P57*('01 - Dados de Entrada'!$C$57)-SUM(P51:R51)</f>
        <v>0</v>
      </c>
      <c r="T51" s="529">
        <f>'04 - Veículos e Equipamentos'!Q57*('01 - Dados de Entrada'!$C$57)-SUM(Q51:S51)</f>
        <v>0</v>
      </c>
      <c r="U51" s="529">
        <f>'04 - Veículos e Equipamentos'!R57*('01 - Dados de Entrada'!$C$57)-SUM(R51:T51)</f>
        <v>17119</v>
      </c>
      <c r="V51" s="529">
        <f>'04 - Veículos e Equipamentos'!S57*('01 - Dados de Entrada'!$C$57)-SUM(S51:U51)</f>
        <v>0</v>
      </c>
      <c r="W51" s="529">
        <f>'04 - Veículos e Equipamentos'!T57*('01 - Dados de Entrada'!$C$57)-SUM(T51:V51)</f>
        <v>0</v>
      </c>
      <c r="X51" s="529">
        <f>'04 - Veículos e Equipamentos'!U57*('01 - Dados de Entrada'!$C$57)-SUM(U51:W51)</f>
        <v>0</v>
      </c>
      <c r="Y51" s="529">
        <f>'04 - Veículos e Equipamentos'!V57*('01 - Dados de Entrada'!$C$57)-SUM(V51:X51)</f>
        <v>17119</v>
      </c>
      <c r="Z51" s="529">
        <f>'04 - Veículos e Equipamentos'!W57*('01 - Dados de Entrada'!$C$57)-SUM(W51:Y51)</f>
        <v>0</v>
      </c>
      <c r="AA51" s="529">
        <f>'04 - Veículos e Equipamentos'!X57*('01 - Dados de Entrada'!$C$57)-SUM(X51:Z51)</f>
        <v>0</v>
      </c>
      <c r="AB51" s="529">
        <f>'04 - Veículos e Equipamentos'!Y57*('01 - Dados de Entrada'!$C$57)-SUM(Y51:AA51)</f>
        <v>0</v>
      </c>
      <c r="AC51" s="529">
        <f>'04 - Veículos e Equipamentos'!Z57*('01 - Dados de Entrada'!$C$57)-SUM(Z51:AB51)</f>
        <v>17119</v>
      </c>
      <c r="AD51" s="529">
        <f>'04 - Veículos e Equipamentos'!AA57*('01 - Dados de Entrada'!$C$57)-SUM(AA51:AC51)</f>
        <v>0</v>
      </c>
      <c r="AE51" s="529">
        <f>'04 - Veículos e Equipamentos'!AB57*('01 - Dados de Entrada'!$C$57)-SUM(AB51:AD51)</f>
        <v>0</v>
      </c>
      <c r="AF51" s="529">
        <f>'04 - Veículos e Equipamentos'!AC57*('01 - Dados de Entrada'!$C$57)-SUM(AC51:AE51)</f>
        <v>0</v>
      </c>
      <c r="AG51" s="529">
        <f>'04 - Veículos e Equipamentos'!AD57*('01 - Dados de Entrada'!$C$57)-SUM(AD51:AF51)</f>
        <v>17119</v>
      </c>
      <c r="AH51" s="529">
        <f>'04 - Veículos e Equipamentos'!AE57*('01 - Dados de Entrada'!$C$57)-SUM(AE51:AG51)</f>
        <v>0</v>
      </c>
      <c r="AI51" s="529">
        <f>'04 - Veículos e Equipamentos'!AF57*('01 - Dados de Entrada'!$C$57)-SUM(AF51:AH51)</f>
        <v>0</v>
      </c>
      <c r="AJ51" s="529">
        <f>'04 - Veículos e Equipamentos'!AG57*('01 - Dados de Entrada'!$C$57)-SUM(AG51:AI51)</f>
        <v>0</v>
      </c>
      <c r="AK51" s="529">
        <f>'04 - Veículos e Equipamentos'!AH57*('01 - Dados de Entrada'!$C$57)-SUM(AH51:AJ51)</f>
        <v>17119</v>
      </c>
      <c r="AL51" s="529">
        <f>'04 - Veículos e Equipamentos'!AI57*('01 - Dados de Entrada'!$C$57)-SUM(AI51:AK51)</f>
        <v>0</v>
      </c>
      <c r="AM51" s="529">
        <f>'04 - Veículos e Equipamentos'!AJ57*('01 - Dados de Entrada'!$C$57)-SUM(AJ51:AL51)</f>
        <v>0</v>
      </c>
    </row>
    <row r="52" spans="1:39" s="22" customFormat="1" ht="13.15" customHeight="1" x14ac:dyDescent="0.2">
      <c r="A52" s="34" t="s">
        <v>141</v>
      </c>
      <c r="B52" s="24" t="s">
        <v>1086</v>
      </c>
      <c r="C52" s="401"/>
      <c r="D52" s="525">
        <f t="shared" ref="D52:D57" si="33" xml:space="preserve"> SUM( $E52:$AM52 )</f>
        <v>295000</v>
      </c>
      <c r="E52" s="278">
        <f>('04 - Veículos e Equipamentos'!B58)*'01 - Dados de Entrada'!$C$68</f>
        <v>59000</v>
      </c>
      <c r="F52" s="278">
        <f>('04 - Veículos e Equipamentos'!C58)*'01 - Dados de Entrada'!$C$68-SUM(E52)</f>
        <v>0</v>
      </c>
      <c r="G52" s="278">
        <f>('04 - Veículos e Equipamentos'!D58)*'01 - Dados de Entrada'!$C$68-SUM(E52:F52)</f>
        <v>0</v>
      </c>
      <c r="H52" s="278">
        <f>('04 - Veículos e Equipamentos'!E58)*'01 - Dados de Entrada'!$C$68-SUM(E52:G52)</f>
        <v>0</v>
      </c>
      <c r="I52" s="278">
        <f>('04 - Veículos e Equipamentos'!F58)*'01 - Dados de Entrada'!$C$68-SUM(E52:H52)</f>
        <v>0</v>
      </c>
      <c r="J52" s="278">
        <f>('04 - Veículos e Equipamentos'!G58)*'01 - Dados de Entrada'!$C$68-SUM(E52:I52)</f>
        <v>0</v>
      </c>
      <c r="K52" s="278">
        <f>('04 - Veículos e Equipamentos'!H58)*'01 - Dados de Entrada'!$C$68-SUM(E52:J52)</f>
        <v>0</v>
      </c>
      <c r="L52" s="278">
        <f>('04 - Veículos e Equipamentos'!I58)*'01 - Dados de Entrada'!$C$68-SUM(F52:K52)</f>
        <v>59000</v>
      </c>
      <c r="M52" s="278">
        <f>('04 - Veículos e Equipamentos'!J58)*'01 - Dados de Entrada'!$C$68-SUM(G52:L52)</f>
        <v>0</v>
      </c>
      <c r="N52" s="278">
        <f>('04 - Veículos e Equipamentos'!K58)*'01 - Dados de Entrada'!$C$68-SUM(H52:M52)</f>
        <v>0</v>
      </c>
      <c r="O52" s="278">
        <f>('04 - Veículos e Equipamentos'!L58)*'01 - Dados de Entrada'!$C$68-SUM(I52:N52)</f>
        <v>0</v>
      </c>
      <c r="P52" s="278">
        <f>('04 - Veículos e Equipamentos'!M58)*'01 - Dados de Entrada'!$C$68-SUM(J52:O52)</f>
        <v>0</v>
      </c>
      <c r="Q52" s="278">
        <f>('04 - Veículos e Equipamentos'!N58)*'01 - Dados de Entrada'!$C$68-SUM(K52:P52)</f>
        <v>0</v>
      </c>
      <c r="R52" s="278">
        <f>('04 - Veículos e Equipamentos'!O58)*'01 - Dados de Entrada'!$C$68-SUM(L52:Q52)</f>
        <v>0</v>
      </c>
      <c r="S52" s="278">
        <f>('04 - Veículos e Equipamentos'!P58)*'01 - Dados de Entrada'!$C$68-SUM(M52:R52)</f>
        <v>59000</v>
      </c>
      <c r="T52" s="278">
        <f>('04 - Veículos e Equipamentos'!Q58)*'01 - Dados de Entrada'!$C$68-SUM(N52:S52)</f>
        <v>0</v>
      </c>
      <c r="U52" s="278">
        <f>('04 - Veículos e Equipamentos'!R58)*'01 - Dados de Entrada'!$C$68-SUM(O52:T52)</f>
        <v>0</v>
      </c>
      <c r="V52" s="278">
        <f>('04 - Veículos e Equipamentos'!S58)*'01 - Dados de Entrada'!$C$68-SUM(P52:U52)</f>
        <v>0</v>
      </c>
      <c r="W52" s="278">
        <f>('04 - Veículos e Equipamentos'!T58)*'01 - Dados de Entrada'!$C$68-SUM(Q52:V52)</f>
        <v>0</v>
      </c>
      <c r="X52" s="278">
        <f>('04 - Veículos e Equipamentos'!U58)*'01 - Dados de Entrada'!$C$68-SUM(R52:W52)</f>
        <v>0</v>
      </c>
      <c r="Y52" s="278">
        <f>('04 - Veículos e Equipamentos'!V58)*'01 - Dados de Entrada'!$C$68-SUM(S52:X52)</f>
        <v>0</v>
      </c>
      <c r="Z52" s="278">
        <f>('04 - Veículos e Equipamentos'!W58)*'01 - Dados de Entrada'!$C$68-SUM(T52:Y52)</f>
        <v>59000</v>
      </c>
      <c r="AA52" s="278">
        <f>('04 - Veículos e Equipamentos'!X58)*'01 - Dados de Entrada'!$C$68-SUM(U52:Z52)</f>
        <v>0</v>
      </c>
      <c r="AB52" s="278">
        <f>('04 - Veículos e Equipamentos'!Y58)*'01 - Dados de Entrada'!$C$68-SUM(V52:AA52)</f>
        <v>0</v>
      </c>
      <c r="AC52" s="278">
        <f>('04 - Veículos e Equipamentos'!Z58)*'01 - Dados de Entrada'!$C$68-SUM(W52:AB52)</f>
        <v>0</v>
      </c>
      <c r="AD52" s="278">
        <f>('04 - Veículos e Equipamentos'!AA58)*'01 - Dados de Entrada'!$C$68-SUM(X52:AC52)</f>
        <v>0</v>
      </c>
      <c r="AE52" s="278">
        <f>('04 - Veículos e Equipamentos'!AB58)*'01 - Dados de Entrada'!$C$68-SUM(Y52:AD52)</f>
        <v>0</v>
      </c>
      <c r="AF52" s="278">
        <f>('04 - Veículos e Equipamentos'!AC58)*'01 - Dados de Entrada'!$C$68-SUM(Z52:AE52)</f>
        <v>0</v>
      </c>
      <c r="AG52" s="278">
        <f>('04 - Veículos e Equipamentos'!AD58)*'01 - Dados de Entrada'!$C$68-SUM(AA52:AF52)</f>
        <v>59000</v>
      </c>
      <c r="AH52" s="278">
        <f>('04 - Veículos e Equipamentos'!AE58)*'01 - Dados de Entrada'!$C$68-SUM(AB52:AG52)</f>
        <v>0</v>
      </c>
      <c r="AI52" s="278">
        <f>('04 - Veículos e Equipamentos'!AF58)*'01 - Dados de Entrada'!$C$68-SUM(AC52:AH52)</f>
        <v>0</v>
      </c>
      <c r="AJ52" s="278">
        <f>('04 - Veículos e Equipamentos'!AG58)*'01 - Dados de Entrada'!$C$68-SUM(AD52:AI52)</f>
        <v>0</v>
      </c>
      <c r="AK52" s="278">
        <f>('04 - Veículos e Equipamentos'!AH58)*'01 - Dados de Entrada'!$C$68-SUM(AE52:AJ52)</f>
        <v>0</v>
      </c>
      <c r="AL52" s="278">
        <f>('04 - Veículos e Equipamentos'!AI58)*'01 - Dados de Entrada'!$C$68-SUM(AF52:AK52)</f>
        <v>0</v>
      </c>
      <c r="AM52" s="278">
        <f>('04 - Veículos e Equipamentos'!AJ58)*'01 - Dados de Entrada'!$C$68-SUM(AG52:AL52)</f>
        <v>0</v>
      </c>
    </row>
    <row r="53" spans="1:39" s="22" customFormat="1" ht="13.15" customHeight="1" x14ac:dyDescent="0.2">
      <c r="A53" s="34" t="s">
        <v>821</v>
      </c>
      <c r="B53" s="24" t="s">
        <v>1086</v>
      </c>
      <c r="C53" s="401"/>
      <c r="D53" s="525">
        <f t="shared" si="33"/>
        <v>295000</v>
      </c>
      <c r="E53" s="525">
        <f>('04 - Veículos e Equipamentos'!B59)*'01 - Dados de Entrada'!$C$68</f>
        <v>59000</v>
      </c>
      <c r="F53" s="278">
        <f>('04 - Veículos e Equipamentos'!C59)*'01 - Dados de Entrada'!$C$68-SUM(E53)</f>
        <v>0</v>
      </c>
      <c r="G53" s="278">
        <f>('04 - Veículos e Equipamentos'!D59)*'01 - Dados de Entrada'!$C$68-SUM(E53:F53)</f>
        <v>0</v>
      </c>
      <c r="H53" s="278">
        <f>('04 - Veículos e Equipamentos'!E59)*'01 - Dados de Entrada'!$C$68-SUM(E53:G53)</f>
        <v>0</v>
      </c>
      <c r="I53" s="278">
        <f>('04 - Veículos e Equipamentos'!F59)*'01 - Dados de Entrada'!$C$68-SUM(E53:H53)</f>
        <v>0</v>
      </c>
      <c r="J53" s="278">
        <f>('04 - Veículos e Equipamentos'!G59)*'01 - Dados de Entrada'!$C$68-SUM(E53:I53)</f>
        <v>0</v>
      </c>
      <c r="K53" s="278">
        <f>('04 - Veículos e Equipamentos'!H59)*'01 - Dados de Entrada'!$C$68-SUM(E53:J53)</f>
        <v>0</v>
      </c>
      <c r="L53" s="278">
        <f>('04 - Veículos e Equipamentos'!I59)*'01 - Dados de Entrada'!$C$68-SUM(F53:K53)</f>
        <v>59000</v>
      </c>
      <c r="M53" s="278">
        <f>('04 - Veículos e Equipamentos'!J59)*'01 - Dados de Entrada'!$C$68-SUM(G53:L53)</f>
        <v>0</v>
      </c>
      <c r="N53" s="278">
        <f>('04 - Veículos e Equipamentos'!K59)*'01 - Dados de Entrada'!$C$68-SUM(H53:M53)</f>
        <v>0</v>
      </c>
      <c r="O53" s="278">
        <f>('04 - Veículos e Equipamentos'!L59)*'01 - Dados de Entrada'!$C$68-SUM(I53:N53)</f>
        <v>0</v>
      </c>
      <c r="P53" s="278">
        <f>('04 - Veículos e Equipamentos'!M59)*'01 - Dados de Entrada'!$C$68-SUM(J53:O53)</f>
        <v>0</v>
      </c>
      <c r="Q53" s="278">
        <f>('04 - Veículos e Equipamentos'!N59)*'01 - Dados de Entrada'!$C$68-SUM(K53:P53)</f>
        <v>0</v>
      </c>
      <c r="R53" s="278">
        <f>('04 - Veículos e Equipamentos'!O59)*'01 - Dados de Entrada'!$C$68-SUM(L53:Q53)</f>
        <v>0</v>
      </c>
      <c r="S53" s="278">
        <f>('04 - Veículos e Equipamentos'!P59)*'01 - Dados de Entrada'!$C$68-SUM(M53:R53)</f>
        <v>59000</v>
      </c>
      <c r="T53" s="278">
        <f>('04 - Veículos e Equipamentos'!Q59)*'01 - Dados de Entrada'!$C$68-SUM(N53:S53)</f>
        <v>0</v>
      </c>
      <c r="U53" s="278">
        <f>('04 - Veículos e Equipamentos'!R59)*'01 - Dados de Entrada'!$C$68-SUM(O53:T53)</f>
        <v>0</v>
      </c>
      <c r="V53" s="278">
        <f>('04 - Veículos e Equipamentos'!S59)*'01 - Dados de Entrada'!$C$68-SUM(P53:U53)</f>
        <v>0</v>
      </c>
      <c r="W53" s="278">
        <f>('04 - Veículos e Equipamentos'!T59)*'01 - Dados de Entrada'!$C$68-SUM(Q53:V53)</f>
        <v>0</v>
      </c>
      <c r="X53" s="278">
        <f>('04 - Veículos e Equipamentos'!U59)*'01 - Dados de Entrada'!$C$68-SUM(R53:W53)</f>
        <v>0</v>
      </c>
      <c r="Y53" s="278">
        <f>('04 - Veículos e Equipamentos'!V59)*'01 - Dados de Entrada'!$C$68-SUM(S53:X53)</f>
        <v>0</v>
      </c>
      <c r="Z53" s="278">
        <f>('04 - Veículos e Equipamentos'!W59)*'01 - Dados de Entrada'!$C$68-SUM(T53:Y53)</f>
        <v>59000</v>
      </c>
      <c r="AA53" s="278">
        <f>('04 - Veículos e Equipamentos'!X59)*'01 - Dados de Entrada'!$C$68-SUM(U53:Z53)</f>
        <v>0</v>
      </c>
      <c r="AB53" s="278">
        <f>('04 - Veículos e Equipamentos'!Y59)*'01 - Dados de Entrada'!$C$68-SUM(V53:AA53)</f>
        <v>0</v>
      </c>
      <c r="AC53" s="278">
        <f>('04 - Veículos e Equipamentos'!Z59)*'01 - Dados de Entrada'!$C$68-SUM(W53:AB53)</f>
        <v>0</v>
      </c>
      <c r="AD53" s="278">
        <f>('04 - Veículos e Equipamentos'!AA59)*'01 - Dados de Entrada'!$C$68-SUM(X53:AC53)</f>
        <v>0</v>
      </c>
      <c r="AE53" s="278">
        <f>('04 - Veículos e Equipamentos'!AB59)*'01 - Dados de Entrada'!$C$68-SUM(Y53:AD53)</f>
        <v>0</v>
      </c>
      <c r="AF53" s="278">
        <f>('04 - Veículos e Equipamentos'!AC59)*'01 - Dados de Entrada'!$C$68-SUM(Z53:AE53)</f>
        <v>0</v>
      </c>
      <c r="AG53" s="278">
        <f>('04 - Veículos e Equipamentos'!AD59)*'01 - Dados de Entrada'!$C$68-SUM(AA53:AF53)</f>
        <v>59000</v>
      </c>
      <c r="AH53" s="278">
        <f>('04 - Veículos e Equipamentos'!AE59)*'01 - Dados de Entrada'!$C$68-SUM(AB53:AG53)</f>
        <v>0</v>
      </c>
      <c r="AI53" s="278">
        <f>('04 - Veículos e Equipamentos'!AF59)*'01 - Dados de Entrada'!$C$68-SUM(AC53:AH53)</f>
        <v>0</v>
      </c>
      <c r="AJ53" s="278">
        <f>('04 - Veículos e Equipamentos'!AG59)*'01 - Dados de Entrada'!$C$68-SUM(AD53:AI53)</f>
        <v>0</v>
      </c>
      <c r="AK53" s="278">
        <f>('04 - Veículos e Equipamentos'!AH59)*'01 - Dados de Entrada'!$C$68-SUM(AE53:AJ53)</f>
        <v>0</v>
      </c>
      <c r="AL53" s="278">
        <f>('04 - Veículos e Equipamentos'!AI59)*'01 - Dados de Entrada'!$C$68-SUM(AF53:AK53)</f>
        <v>0</v>
      </c>
      <c r="AM53" s="278">
        <f>('04 - Veículos e Equipamentos'!AJ59)*'01 - Dados de Entrada'!$C$68-SUM(AG53:AL53)</f>
        <v>0</v>
      </c>
    </row>
    <row r="54" spans="1:39" s="22" customFormat="1" ht="13.15" customHeight="1" x14ac:dyDescent="0.2">
      <c r="A54" s="34" t="s">
        <v>149</v>
      </c>
      <c r="B54" s="24" t="s">
        <v>1091</v>
      </c>
      <c r="C54" s="401"/>
      <c r="D54" s="525">
        <f t="shared" si="33"/>
        <v>262202.5</v>
      </c>
      <c r="E54" s="525">
        <f>('04 - Veículos e Equipamentos'!B60)*'01 - Dados de Entrada'!$C$72</f>
        <v>37457.5</v>
      </c>
      <c r="F54" s="278">
        <f>('04 - Veículos e Equipamentos'!C60)*'01 - Dados de Entrada'!$C$72-SUM(E54)</f>
        <v>0</v>
      </c>
      <c r="G54" s="278">
        <f>('04 - Veículos e Equipamentos'!D60)*'01 - Dados de Entrada'!$C$72-SUM(E54:F54)</f>
        <v>0</v>
      </c>
      <c r="H54" s="278">
        <f>('04 - Veículos e Equipamentos'!E60)*'01 - Dados de Entrada'!$C$72-SUM(E54:G54)</f>
        <v>0</v>
      </c>
      <c r="I54" s="278">
        <f>('04 - Veículos e Equipamentos'!F60)*'01 - Dados de Entrada'!$C$72-SUM(E54:H54)</f>
        <v>0</v>
      </c>
      <c r="J54" s="278">
        <f>('04 - Veículos e Equipamentos'!G60)*'01 - Dados de Entrada'!$C$72-SUM(F54:I54)</f>
        <v>37457.5</v>
      </c>
      <c r="K54" s="278">
        <f>('04 - Veículos e Equipamentos'!H60)*'01 - Dados de Entrada'!$C$72-SUM(G54:J54)</f>
        <v>0</v>
      </c>
      <c r="L54" s="278">
        <f>('04 - Veículos e Equipamentos'!I60)*'01 - Dados de Entrada'!$C$72-SUM(H54:K54)</f>
        <v>0</v>
      </c>
      <c r="M54" s="278">
        <f>('04 - Veículos e Equipamentos'!J60)*'01 - Dados de Entrada'!$C$72-SUM(I54:L54)</f>
        <v>0</v>
      </c>
      <c r="N54" s="278">
        <f>('04 - Veículos e Equipamentos'!K60)*'01 - Dados de Entrada'!$C$72-SUM(J54:M54)</f>
        <v>0</v>
      </c>
      <c r="O54" s="278">
        <f>('04 - Veículos e Equipamentos'!L60)*'01 - Dados de Entrada'!$C$72-SUM(K54:N54)</f>
        <v>37457.5</v>
      </c>
      <c r="P54" s="278">
        <f>('04 - Veículos e Equipamentos'!M60)*'01 - Dados de Entrada'!$C$72-SUM(L54:O54)</f>
        <v>0</v>
      </c>
      <c r="Q54" s="278">
        <f>('04 - Veículos e Equipamentos'!N60)*'01 - Dados de Entrada'!$C$72-SUM(M54:P54)</f>
        <v>0</v>
      </c>
      <c r="R54" s="278">
        <f>('04 - Veículos e Equipamentos'!O60)*'01 - Dados de Entrada'!$C$72-SUM(N54:Q54)</f>
        <v>0</v>
      </c>
      <c r="S54" s="278">
        <f>('04 - Veículos e Equipamentos'!P60)*'01 - Dados de Entrada'!$C$72-SUM(O54:R54)</f>
        <v>0</v>
      </c>
      <c r="T54" s="278">
        <f>('04 - Veículos e Equipamentos'!Q60)*'01 - Dados de Entrada'!$C$72-SUM(P54:S54)</f>
        <v>37457.5</v>
      </c>
      <c r="U54" s="278">
        <f>('04 - Veículos e Equipamentos'!R60)*'01 - Dados de Entrada'!$C$72-SUM(Q54:T54)</f>
        <v>0</v>
      </c>
      <c r="V54" s="278">
        <f>('04 - Veículos e Equipamentos'!S60)*'01 - Dados de Entrada'!$C$72-SUM(R54:U54)</f>
        <v>0</v>
      </c>
      <c r="W54" s="278">
        <f>('04 - Veículos e Equipamentos'!T60)*'01 - Dados de Entrada'!$C$72-SUM(S54:V54)</f>
        <v>0</v>
      </c>
      <c r="X54" s="278">
        <f>('04 - Veículos e Equipamentos'!U60)*'01 - Dados de Entrada'!$C$72-SUM(T54:W54)</f>
        <v>0</v>
      </c>
      <c r="Y54" s="278">
        <f>('04 - Veículos e Equipamentos'!V60)*'01 - Dados de Entrada'!$C$72-SUM(U54:X54)</f>
        <v>37457.5</v>
      </c>
      <c r="Z54" s="278">
        <f>('04 - Veículos e Equipamentos'!W60)*'01 - Dados de Entrada'!$C$72-SUM(V54:Y54)</f>
        <v>0</v>
      </c>
      <c r="AA54" s="278">
        <f>('04 - Veículos e Equipamentos'!X60)*'01 - Dados de Entrada'!$C$72-SUM(W54:Z54)</f>
        <v>0</v>
      </c>
      <c r="AB54" s="278">
        <f>('04 - Veículos e Equipamentos'!Y60)*'01 - Dados de Entrada'!$C$72-SUM(X54:AA54)</f>
        <v>0</v>
      </c>
      <c r="AC54" s="278">
        <f>('04 - Veículos e Equipamentos'!Z60)*'01 - Dados de Entrada'!$C$72-SUM(Y54:AB54)</f>
        <v>0</v>
      </c>
      <c r="AD54" s="278">
        <f>('04 - Veículos e Equipamentos'!AA60)*'01 - Dados de Entrada'!$C$72-SUM(Z54:AC54)</f>
        <v>37457.5</v>
      </c>
      <c r="AE54" s="278">
        <f>('04 - Veículos e Equipamentos'!AB60)*'01 - Dados de Entrada'!$C$72-SUM(AA54:AD54)</f>
        <v>0</v>
      </c>
      <c r="AF54" s="278">
        <f>('04 - Veículos e Equipamentos'!AC60)*'01 - Dados de Entrada'!$C$72-SUM(AB54:AE54)</f>
        <v>0</v>
      </c>
      <c r="AG54" s="278">
        <f>('04 - Veículos e Equipamentos'!AD60)*'01 - Dados de Entrada'!$C$72-SUM(AC54:AF54)</f>
        <v>0</v>
      </c>
      <c r="AH54" s="278">
        <f>('04 - Veículos e Equipamentos'!AE60)*'01 - Dados de Entrada'!$C$72-SUM(AD54:AG54)</f>
        <v>0</v>
      </c>
      <c r="AI54" s="278">
        <f>('04 - Veículos e Equipamentos'!AF60)*'01 - Dados de Entrada'!$C$72-SUM(AE54:AH54)</f>
        <v>37457.5</v>
      </c>
      <c r="AJ54" s="278">
        <f>('04 - Veículos e Equipamentos'!AG60)*'01 - Dados de Entrada'!$C$72-SUM(AF54:AI54)</f>
        <v>0</v>
      </c>
      <c r="AK54" s="278">
        <f>('04 - Veículos e Equipamentos'!AH60)*'01 - Dados de Entrada'!$C$72-SUM(AG54:AJ54)</f>
        <v>0</v>
      </c>
      <c r="AL54" s="278">
        <f>('04 - Veículos e Equipamentos'!AI60)*'01 - Dados de Entrada'!$C$72-SUM(AH54:AK54)</f>
        <v>0</v>
      </c>
      <c r="AM54" s="278">
        <f>('04 - Veículos e Equipamentos'!AJ60)*'01 - Dados de Entrada'!$C$72-SUM(AI54:AL54)</f>
        <v>0</v>
      </c>
    </row>
    <row r="55" spans="1:39" s="22" customFormat="1" ht="13.15" customHeight="1" x14ac:dyDescent="0.2">
      <c r="A55" s="34" t="s">
        <v>822</v>
      </c>
      <c r="B55" s="24" t="s">
        <v>1091</v>
      </c>
      <c r="C55" s="401"/>
      <c r="D55" s="525">
        <f t="shared" si="33"/>
        <v>52440.5</v>
      </c>
      <c r="E55" s="525">
        <f>('04 - Veículos e Equipamentos'!B61)*'01 - Dados de Entrada'!$C$72</f>
        <v>7491.5</v>
      </c>
      <c r="F55" s="278">
        <f>('04 - Veículos e Equipamentos'!C61)*'01 - Dados de Entrada'!$C$72-SUM(E55)</f>
        <v>0</v>
      </c>
      <c r="G55" s="278">
        <f>('04 - Veículos e Equipamentos'!D61)*'01 - Dados de Entrada'!$C$72-SUM(E55:F55)</f>
        <v>0</v>
      </c>
      <c r="H55" s="278">
        <f>('04 - Veículos e Equipamentos'!E61)*'01 - Dados de Entrada'!$C$72-SUM(E55:G55)</f>
        <v>0</v>
      </c>
      <c r="I55" s="278">
        <f>('04 - Veículos e Equipamentos'!F61)*'01 - Dados de Entrada'!$C$72-SUM(E55:H55)</f>
        <v>0</v>
      </c>
      <c r="J55" s="278">
        <f>('04 - Veículos e Equipamentos'!G61)*'01 - Dados de Entrada'!$C$72-SUM(F55:I55)</f>
        <v>7491.5</v>
      </c>
      <c r="K55" s="278">
        <f>('04 - Veículos e Equipamentos'!H61)*'01 - Dados de Entrada'!$C$72-SUM(G55:J55)</f>
        <v>0</v>
      </c>
      <c r="L55" s="278">
        <f>('04 - Veículos e Equipamentos'!I61)*'01 - Dados de Entrada'!$C$72-SUM(H55:K55)</f>
        <v>0</v>
      </c>
      <c r="M55" s="278">
        <f>('04 - Veículos e Equipamentos'!J61)*'01 - Dados de Entrada'!$C$72-SUM(I55:L55)</f>
        <v>0</v>
      </c>
      <c r="N55" s="278">
        <f>('04 - Veículos e Equipamentos'!K61)*'01 - Dados de Entrada'!$C$72-SUM(J55:M55)</f>
        <v>0</v>
      </c>
      <c r="O55" s="278">
        <f>('04 - Veículos e Equipamentos'!L61)*'01 - Dados de Entrada'!$C$72-SUM(K55:N55)</f>
        <v>7491.5</v>
      </c>
      <c r="P55" s="278">
        <f>('04 - Veículos e Equipamentos'!M61)*'01 - Dados de Entrada'!$C$72-SUM(L55:O55)</f>
        <v>0</v>
      </c>
      <c r="Q55" s="278">
        <f>('04 - Veículos e Equipamentos'!N61)*'01 - Dados de Entrada'!$C$72-SUM(M55:P55)</f>
        <v>0</v>
      </c>
      <c r="R55" s="278">
        <f>('04 - Veículos e Equipamentos'!O61)*'01 - Dados de Entrada'!$C$72-SUM(N55:Q55)</f>
        <v>0</v>
      </c>
      <c r="S55" s="278">
        <f>('04 - Veículos e Equipamentos'!P61)*'01 - Dados de Entrada'!$C$72-SUM(O55:R55)</f>
        <v>0</v>
      </c>
      <c r="T55" s="278">
        <f>('04 - Veículos e Equipamentos'!Q61)*'01 - Dados de Entrada'!$C$72-SUM(P55:S55)</f>
        <v>7491.5</v>
      </c>
      <c r="U55" s="278">
        <f>('04 - Veículos e Equipamentos'!R61)*'01 - Dados de Entrada'!$C$72-SUM(Q55:T55)</f>
        <v>0</v>
      </c>
      <c r="V55" s="278">
        <f>('04 - Veículos e Equipamentos'!S61)*'01 - Dados de Entrada'!$C$72-SUM(R55:U55)</f>
        <v>0</v>
      </c>
      <c r="W55" s="278">
        <f>('04 - Veículos e Equipamentos'!T61)*'01 - Dados de Entrada'!$C$72-SUM(S55:V55)</f>
        <v>0</v>
      </c>
      <c r="X55" s="278">
        <f>('04 - Veículos e Equipamentos'!U61)*'01 - Dados de Entrada'!$C$72-SUM(T55:W55)</f>
        <v>0</v>
      </c>
      <c r="Y55" s="278">
        <f>('04 - Veículos e Equipamentos'!V61)*'01 - Dados de Entrada'!$C$72-SUM(U55:X55)</f>
        <v>7491.5</v>
      </c>
      <c r="Z55" s="278">
        <f>('04 - Veículos e Equipamentos'!W61)*'01 - Dados de Entrada'!$C$72-SUM(V55:Y55)</f>
        <v>0</v>
      </c>
      <c r="AA55" s="278">
        <f>('04 - Veículos e Equipamentos'!X61)*'01 - Dados de Entrada'!$C$72-SUM(W55:Z55)</f>
        <v>0</v>
      </c>
      <c r="AB55" s="278">
        <f>('04 - Veículos e Equipamentos'!Y61)*'01 - Dados de Entrada'!$C$72-SUM(X55:AA55)</f>
        <v>0</v>
      </c>
      <c r="AC55" s="278">
        <f>('04 - Veículos e Equipamentos'!Z61)*'01 - Dados de Entrada'!$C$72-SUM(Y55:AB55)</f>
        <v>0</v>
      </c>
      <c r="AD55" s="278">
        <f>('04 - Veículos e Equipamentos'!AA61)*'01 - Dados de Entrada'!$C$72-SUM(Z55:AC55)</f>
        <v>7491.5</v>
      </c>
      <c r="AE55" s="278">
        <f>('04 - Veículos e Equipamentos'!AB61)*'01 - Dados de Entrada'!$C$72-SUM(AA55:AD55)</f>
        <v>0</v>
      </c>
      <c r="AF55" s="278">
        <f>('04 - Veículos e Equipamentos'!AC61)*'01 - Dados de Entrada'!$C$72-SUM(AB55:AE55)</f>
        <v>0</v>
      </c>
      <c r="AG55" s="278">
        <f>('04 - Veículos e Equipamentos'!AD61)*'01 - Dados de Entrada'!$C$72-SUM(AC55:AF55)</f>
        <v>0</v>
      </c>
      <c r="AH55" s="278">
        <f>('04 - Veículos e Equipamentos'!AE61)*'01 - Dados de Entrada'!$C$72-SUM(AD55:AG55)</f>
        <v>0</v>
      </c>
      <c r="AI55" s="278">
        <f>('04 - Veículos e Equipamentos'!AF61)*'01 - Dados de Entrada'!$C$72-SUM(AE55:AH55)</f>
        <v>7491.5</v>
      </c>
      <c r="AJ55" s="278">
        <f>('04 - Veículos e Equipamentos'!AG61)*'01 - Dados de Entrada'!$C$72-SUM(AF55:AI55)</f>
        <v>0</v>
      </c>
      <c r="AK55" s="278">
        <f>('04 - Veículos e Equipamentos'!AH61)*'01 - Dados de Entrada'!$C$72-SUM(AG55:AJ55)</f>
        <v>0</v>
      </c>
      <c r="AL55" s="278">
        <f>('04 - Veículos e Equipamentos'!AI61)*'01 - Dados de Entrada'!$C$72-SUM(AH55:AK55)</f>
        <v>0</v>
      </c>
      <c r="AM55" s="278">
        <f>('04 - Veículos e Equipamentos'!AJ61)*'01 - Dados de Entrada'!$C$72-SUM(AI55:AL55)</f>
        <v>0</v>
      </c>
    </row>
    <row r="56" spans="1:39" s="22" customFormat="1" ht="13.15" customHeight="1" x14ac:dyDescent="0.2">
      <c r="A56" s="34" t="s">
        <v>151</v>
      </c>
      <c r="B56" s="24" t="s">
        <v>1091</v>
      </c>
      <c r="C56" s="401"/>
      <c r="D56" s="525">
        <f t="shared" si="33"/>
        <v>41547.100000000006</v>
      </c>
      <c r="E56" s="525">
        <f>('04 - Veículos e Equipamentos'!B62)*'01 - Dados de Entrada'!$C$73</f>
        <v>5935.3</v>
      </c>
      <c r="F56" s="278">
        <f>('04 - Veículos e Equipamentos'!C62)*'01 - Dados de Entrada'!$C$73-SUM(E56)</f>
        <v>0</v>
      </c>
      <c r="G56" s="278">
        <f>('04 - Veículos e Equipamentos'!D62)*'01 - Dados de Entrada'!$C$73-SUM(E56:F56)</f>
        <v>0</v>
      </c>
      <c r="H56" s="278">
        <f>('04 - Veículos e Equipamentos'!E62)*'01 - Dados de Entrada'!$C$73-SUM(E56:G56)</f>
        <v>0</v>
      </c>
      <c r="I56" s="278">
        <f>('04 - Veículos e Equipamentos'!F62)*'01 - Dados de Entrada'!$C$73-SUM(E56:H56)</f>
        <v>0</v>
      </c>
      <c r="J56" s="278">
        <f>('04 - Veículos e Equipamentos'!G62)*'01 - Dados de Entrada'!$C$73-SUM(F56:I56)</f>
        <v>5935.3</v>
      </c>
      <c r="K56" s="278">
        <f>('04 - Veículos e Equipamentos'!H62)*'01 - Dados de Entrada'!$C$73-SUM(G56:J56)</f>
        <v>0</v>
      </c>
      <c r="L56" s="278">
        <f>('04 - Veículos e Equipamentos'!I62)*'01 - Dados de Entrada'!$C$73-SUM(H56:K56)</f>
        <v>0</v>
      </c>
      <c r="M56" s="278">
        <f>('04 - Veículos e Equipamentos'!J62)*'01 - Dados de Entrada'!$C$73-SUM(I56:L56)</f>
        <v>0</v>
      </c>
      <c r="N56" s="278">
        <f>('04 - Veículos e Equipamentos'!K62)*'01 - Dados de Entrada'!$C$73-SUM(J56:M56)</f>
        <v>0</v>
      </c>
      <c r="O56" s="278">
        <f>('04 - Veículos e Equipamentos'!L62)*'01 - Dados de Entrada'!$C$73-SUM(K56:N56)</f>
        <v>5935.3</v>
      </c>
      <c r="P56" s="278">
        <f>('04 - Veículos e Equipamentos'!M62)*'01 - Dados de Entrada'!$C$73-SUM(L56:O56)</f>
        <v>0</v>
      </c>
      <c r="Q56" s="278">
        <f>('04 - Veículos e Equipamentos'!N62)*'01 - Dados de Entrada'!$C$73-SUM(M56:P56)</f>
        <v>0</v>
      </c>
      <c r="R56" s="278">
        <f>('04 - Veículos e Equipamentos'!O62)*'01 - Dados de Entrada'!$C$73-SUM(N56:Q56)</f>
        <v>0</v>
      </c>
      <c r="S56" s="278">
        <f>('04 - Veículos e Equipamentos'!P62)*'01 - Dados de Entrada'!$C$73-SUM(O56:R56)</f>
        <v>0</v>
      </c>
      <c r="T56" s="278">
        <f>('04 - Veículos e Equipamentos'!Q62)*'01 - Dados de Entrada'!$C$73-SUM(P56:S56)</f>
        <v>5935.3</v>
      </c>
      <c r="U56" s="278">
        <f>('04 - Veículos e Equipamentos'!R62)*'01 - Dados de Entrada'!$C$73-SUM(Q56:T56)</f>
        <v>0</v>
      </c>
      <c r="V56" s="278">
        <f>('04 - Veículos e Equipamentos'!S62)*'01 - Dados de Entrada'!$C$73-SUM(R56:U56)</f>
        <v>0</v>
      </c>
      <c r="W56" s="278">
        <f>('04 - Veículos e Equipamentos'!T62)*'01 - Dados de Entrada'!$C$73-SUM(S56:V56)</f>
        <v>0</v>
      </c>
      <c r="X56" s="278">
        <f>('04 - Veículos e Equipamentos'!U62)*'01 - Dados de Entrada'!$C$73-SUM(T56:W56)</f>
        <v>0</v>
      </c>
      <c r="Y56" s="278">
        <f>('04 - Veículos e Equipamentos'!V62)*'01 - Dados de Entrada'!$C$73-SUM(U56:X56)</f>
        <v>5935.3</v>
      </c>
      <c r="Z56" s="278">
        <f>('04 - Veículos e Equipamentos'!W62)*'01 - Dados de Entrada'!$C$73-SUM(V56:Y56)</f>
        <v>0</v>
      </c>
      <c r="AA56" s="278">
        <f>('04 - Veículos e Equipamentos'!X62)*'01 - Dados de Entrada'!$C$73-SUM(W56:Z56)</f>
        <v>0</v>
      </c>
      <c r="AB56" s="278">
        <f>('04 - Veículos e Equipamentos'!Y62)*'01 - Dados de Entrada'!$C$73-SUM(X56:AA56)</f>
        <v>0</v>
      </c>
      <c r="AC56" s="278">
        <f>('04 - Veículos e Equipamentos'!Z62)*'01 - Dados de Entrada'!$C$73-SUM(Y56:AB56)</f>
        <v>0</v>
      </c>
      <c r="AD56" s="278">
        <f>('04 - Veículos e Equipamentos'!AA62)*'01 - Dados de Entrada'!$C$73-SUM(Z56:AC56)</f>
        <v>5935.3</v>
      </c>
      <c r="AE56" s="278">
        <f>('04 - Veículos e Equipamentos'!AB62)*'01 - Dados de Entrada'!$C$73-SUM(AA56:AD56)</f>
        <v>0</v>
      </c>
      <c r="AF56" s="278">
        <f>('04 - Veículos e Equipamentos'!AC62)*'01 - Dados de Entrada'!$C$73-SUM(AB56:AE56)</f>
        <v>0</v>
      </c>
      <c r="AG56" s="278">
        <f>('04 - Veículos e Equipamentos'!AD62)*'01 - Dados de Entrada'!$C$73-SUM(AC56:AF56)</f>
        <v>0</v>
      </c>
      <c r="AH56" s="278">
        <f>('04 - Veículos e Equipamentos'!AE62)*'01 - Dados de Entrada'!$C$73-SUM(AD56:AG56)</f>
        <v>0</v>
      </c>
      <c r="AI56" s="278">
        <f>('04 - Veículos e Equipamentos'!AF62)*'01 - Dados de Entrada'!$C$73-SUM(AE56:AH56)</f>
        <v>5935.3</v>
      </c>
      <c r="AJ56" s="278">
        <f>('04 - Veículos e Equipamentos'!AG62)*'01 - Dados de Entrada'!$C$73-SUM(AF56:AI56)</f>
        <v>0</v>
      </c>
      <c r="AK56" s="278">
        <f>('04 - Veículos e Equipamentos'!AH62)*'01 - Dados de Entrada'!$C$73-SUM(AG56:AJ56)</f>
        <v>0</v>
      </c>
      <c r="AL56" s="278">
        <f>('04 - Veículos e Equipamentos'!AI62)*'01 - Dados de Entrada'!$C$73-SUM(AH56:AK56)</f>
        <v>0</v>
      </c>
      <c r="AM56" s="278">
        <f>('04 - Veículos e Equipamentos'!AJ62)*'01 - Dados de Entrada'!$C$73-SUM(AI56:AL56)</f>
        <v>0</v>
      </c>
    </row>
    <row r="57" spans="1:39" s="22" customFormat="1" ht="13.15" customHeight="1" x14ac:dyDescent="0.2">
      <c r="A57" s="34" t="s">
        <v>823</v>
      </c>
      <c r="B57" s="24" t="s">
        <v>1091</v>
      </c>
      <c r="C57" s="401"/>
      <c r="D57" s="525">
        <f t="shared" si="33"/>
        <v>20773.550000000003</v>
      </c>
      <c r="E57" s="525">
        <f>('04 - Veículos e Equipamentos'!B63)*'01 - Dados de Entrada'!$C$73</f>
        <v>2967.65</v>
      </c>
      <c r="F57" s="278">
        <f>('04 - Veículos e Equipamentos'!C63)*'01 - Dados de Entrada'!$C$73-SUM(E57)</f>
        <v>0</v>
      </c>
      <c r="G57" s="278">
        <f>('04 - Veículos e Equipamentos'!D63)*'01 - Dados de Entrada'!$C$73-SUM(E57:F57)</f>
        <v>0</v>
      </c>
      <c r="H57" s="278">
        <f>('04 - Veículos e Equipamentos'!E63)*'01 - Dados de Entrada'!$C$73-SUM(E57:G57)</f>
        <v>0</v>
      </c>
      <c r="I57" s="278">
        <f>('04 - Veículos e Equipamentos'!F63)*'01 - Dados de Entrada'!$C$73-SUM(E57:H57)</f>
        <v>0</v>
      </c>
      <c r="J57" s="278">
        <f>('04 - Veículos e Equipamentos'!G63)*'01 - Dados de Entrada'!$C$73-SUM(F57:I57)</f>
        <v>2967.65</v>
      </c>
      <c r="K57" s="278">
        <f>('04 - Veículos e Equipamentos'!H63)*'01 - Dados de Entrada'!$C$73-SUM(G57:J57)</f>
        <v>0</v>
      </c>
      <c r="L57" s="278">
        <f>('04 - Veículos e Equipamentos'!I63)*'01 - Dados de Entrada'!$C$73-SUM(H57:K57)</f>
        <v>0</v>
      </c>
      <c r="M57" s="278">
        <f>('04 - Veículos e Equipamentos'!J63)*'01 - Dados de Entrada'!$C$73-SUM(I57:L57)</f>
        <v>0</v>
      </c>
      <c r="N57" s="278">
        <f>('04 - Veículos e Equipamentos'!K63)*'01 - Dados de Entrada'!$C$73-SUM(J57:M57)</f>
        <v>0</v>
      </c>
      <c r="O57" s="278">
        <f>('04 - Veículos e Equipamentos'!L63)*'01 - Dados de Entrada'!$C$73-SUM(K57:N57)</f>
        <v>2967.65</v>
      </c>
      <c r="P57" s="278">
        <f>('04 - Veículos e Equipamentos'!M63)*'01 - Dados de Entrada'!$C$73-SUM(L57:O57)</f>
        <v>0</v>
      </c>
      <c r="Q57" s="278">
        <f>('04 - Veículos e Equipamentos'!N63)*'01 - Dados de Entrada'!$C$73-SUM(M57:P57)</f>
        <v>0</v>
      </c>
      <c r="R57" s="278">
        <f>('04 - Veículos e Equipamentos'!O63)*'01 - Dados de Entrada'!$C$73-SUM(N57:Q57)</f>
        <v>0</v>
      </c>
      <c r="S57" s="278">
        <f>('04 - Veículos e Equipamentos'!P63)*'01 - Dados de Entrada'!$C$73-SUM(O57:R57)</f>
        <v>0</v>
      </c>
      <c r="T57" s="278">
        <f>('04 - Veículos e Equipamentos'!Q63)*'01 - Dados de Entrada'!$C$73-SUM(P57:S57)</f>
        <v>2967.65</v>
      </c>
      <c r="U57" s="278">
        <f>('04 - Veículos e Equipamentos'!R63)*'01 - Dados de Entrada'!$C$73-SUM(Q57:T57)</f>
        <v>0</v>
      </c>
      <c r="V57" s="278">
        <f>('04 - Veículos e Equipamentos'!S63)*'01 - Dados de Entrada'!$C$73-SUM(R57:U57)</f>
        <v>0</v>
      </c>
      <c r="W57" s="278">
        <f>('04 - Veículos e Equipamentos'!T63)*'01 - Dados de Entrada'!$C$73-SUM(S57:V57)</f>
        <v>0</v>
      </c>
      <c r="X57" s="278">
        <f>('04 - Veículos e Equipamentos'!U63)*'01 - Dados de Entrada'!$C$73-SUM(T57:W57)</f>
        <v>0</v>
      </c>
      <c r="Y57" s="278">
        <f>('04 - Veículos e Equipamentos'!V63)*'01 - Dados de Entrada'!$C$73-SUM(U57:X57)</f>
        <v>2967.65</v>
      </c>
      <c r="Z57" s="278">
        <f>('04 - Veículos e Equipamentos'!W63)*'01 - Dados de Entrada'!$C$73-SUM(V57:Y57)</f>
        <v>0</v>
      </c>
      <c r="AA57" s="278">
        <f>('04 - Veículos e Equipamentos'!X63)*'01 - Dados de Entrada'!$C$73-SUM(W57:Z57)</f>
        <v>0</v>
      </c>
      <c r="AB57" s="278">
        <f>('04 - Veículos e Equipamentos'!Y63)*'01 - Dados de Entrada'!$C$73-SUM(X57:AA57)</f>
        <v>0</v>
      </c>
      <c r="AC57" s="278">
        <f>('04 - Veículos e Equipamentos'!Z63)*'01 - Dados de Entrada'!$C$73-SUM(Y57:AB57)</f>
        <v>0</v>
      </c>
      <c r="AD57" s="278">
        <f>('04 - Veículos e Equipamentos'!AA63)*'01 - Dados de Entrada'!$C$73-SUM(Z57:AC57)</f>
        <v>2967.65</v>
      </c>
      <c r="AE57" s="278">
        <f>('04 - Veículos e Equipamentos'!AB63)*'01 - Dados de Entrada'!$C$73-SUM(AA57:AD57)</f>
        <v>0</v>
      </c>
      <c r="AF57" s="278">
        <f>('04 - Veículos e Equipamentos'!AC63)*'01 - Dados de Entrada'!$C$73-SUM(AB57:AE57)</f>
        <v>0</v>
      </c>
      <c r="AG57" s="278">
        <f>('04 - Veículos e Equipamentos'!AD63)*'01 - Dados de Entrada'!$C$73-SUM(AC57:AF57)</f>
        <v>0</v>
      </c>
      <c r="AH57" s="278">
        <f>('04 - Veículos e Equipamentos'!AE63)*'01 - Dados de Entrada'!$C$73-SUM(AD57:AG57)</f>
        <v>0</v>
      </c>
      <c r="AI57" s="278">
        <f>('04 - Veículos e Equipamentos'!AF63)*'01 - Dados de Entrada'!$C$73-SUM(AE57:AH57)</f>
        <v>2967.65</v>
      </c>
      <c r="AJ57" s="278">
        <f>('04 - Veículos e Equipamentos'!AG63)*'01 - Dados de Entrada'!$C$73-SUM(AF57:AI57)</f>
        <v>0</v>
      </c>
      <c r="AK57" s="278">
        <f>('04 - Veículos e Equipamentos'!AH63)*'01 - Dados de Entrada'!$C$73-SUM(AG57:AJ57)</f>
        <v>0</v>
      </c>
      <c r="AL57" s="278">
        <f>('04 - Veículos e Equipamentos'!AI63)*'01 - Dados de Entrada'!$C$73-SUM(AH57:AK57)</f>
        <v>0</v>
      </c>
      <c r="AM57" s="278">
        <f>('04 - Veículos e Equipamentos'!AJ63)*'01 - Dados de Entrada'!$C$73-SUM(AI57:AL57)</f>
        <v>0</v>
      </c>
    </row>
    <row r="58" spans="1:39" ht="13.15" customHeight="1" x14ac:dyDescent="0.2">
      <c r="A58" s="198" t="s">
        <v>884</v>
      </c>
      <c r="B58" s="198"/>
      <c r="C58" s="512" t="s">
        <v>1096</v>
      </c>
      <c r="D58" s="524">
        <f t="shared" si="2"/>
        <v>5779331.7000000002</v>
      </c>
      <c r="E58" s="524">
        <f>SUM(E59:E66)</f>
        <v>1005771.2600000001</v>
      </c>
      <c r="F58" s="524">
        <f t="shared" ref="F58:AM58" si="34">SUM(F59:F66)</f>
        <v>0</v>
      </c>
      <c r="G58" s="524">
        <f t="shared" si="34"/>
        <v>0</v>
      </c>
      <c r="H58" s="524">
        <f t="shared" si="34"/>
        <v>0</v>
      </c>
      <c r="I58" s="524">
        <f t="shared" si="34"/>
        <v>17119</v>
      </c>
      <c r="J58" s="524">
        <f t="shared" si="34"/>
        <v>340999.7</v>
      </c>
      <c r="K58" s="524">
        <f t="shared" si="34"/>
        <v>0</v>
      </c>
      <c r="L58" s="524">
        <f t="shared" si="34"/>
        <v>647652.56000000006</v>
      </c>
      <c r="M58" s="524">
        <f t="shared" si="34"/>
        <v>17119</v>
      </c>
      <c r="N58" s="524">
        <f t="shared" si="34"/>
        <v>0</v>
      </c>
      <c r="O58" s="524">
        <f t="shared" si="34"/>
        <v>340999.7</v>
      </c>
      <c r="P58" s="524">
        <f t="shared" si="34"/>
        <v>0</v>
      </c>
      <c r="Q58" s="524">
        <f t="shared" si="34"/>
        <v>17119</v>
      </c>
      <c r="R58" s="524">
        <f t="shared" si="34"/>
        <v>0</v>
      </c>
      <c r="S58" s="524">
        <f t="shared" si="34"/>
        <v>647652.56000000006</v>
      </c>
      <c r="T58" s="524">
        <f t="shared" si="34"/>
        <v>340999.7</v>
      </c>
      <c r="U58" s="524">
        <f t="shared" si="34"/>
        <v>17119</v>
      </c>
      <c r="V58" s="524">
        <f t="shared" si="34"/>
        <v>0</v>
      </c>
      <c r="W58" s="524">
        <f t="shared" si="34"/>
        <v>0</v>
      </c>
      <c r="X58" s="524">
        <f t="shared" si="34"/>
        <v>0</v>
      </c>
      <c r="Y58" s="524">
        <f t="shared" si="34"/>
        <v>358118.7</v>
      </c>
      <c r="Z58" s="524">
        <f t="shared" si="34"/>
        <v>647652.56000000006</v>
      </c>
      <c r="AA58" s="524">
        <f t="shared" si="34"/>
        <v>0</v>
      </c>
      <c r="AB58" s="524">
        <f t="shared" si="34"/>
        <v>0</v>
      </c>
      <c r="AC58" s="524">
        <f t="shared" si="34"/>
        <v>17119</v>
      </c>
      <c r="AD58" s="524">
        <f t="shared" si="34"/>
        <v>340999.7</v>
      </c>
      <c r="AE58" s="524">
        <f t="shared" si="34"/>
        <v>0</v>
      </c>
      <c r="AF58" s="524">
        <f t="shared" si="34"/>
        <v>0</v>
      </c>
      <c r="AG58" s="524">
        <f t="shared" si="34"/>
        <v>664771.56000000006</v>
      </c>
      <c r="AH58" s="524">
        <f t="shared" si="34"/>
        <v>0</v>
      </c>
      <c r="AI58" s="524">
        <f t="shared" si="34"/>
        <v>340999.7</v>
      </c>
      <c r="AJ58" s="524">
        <f t="shared" si="34"/>
        <v>0</v>
      </c>
      <c r="AK58" s="524">
        <f t="shared" si="34"/>
        <v>17119</v>
      </c>
      <c r="AL58" s="524">
        <f t="shared" si="34"/>
        <v>0</v>
      </c>
      <c r="AM58" s="524">
        <f t="shared" si="34"/>
        <v>0</v>
      </c>
    </row>
    <row r="59" spans="1:39" s="22" customFormat="1" ht="13.15" customHeight="1" x14ac:dyDescent="0.2">
      <c r="A59" s="34" t="s">
        <v>816</v>
      </c>
      <c r="B59" s="34" t="s">
        <v>1086</v>
      </c>
      <c r="C59" s="401"/>
      <c r="D59" s="525">
        <f t="shared" ref="D59:D66" si="35" xml:space="preserve"> SUM( $E59:$AM59 )</f>
        <v>3238262.8000000003</v>
      </c>
      <c r="E59" s="529">
        <f>'04 - Veículos e Equipamentos'!B65*('01 - Dados de Entrada'!$C$65+'01 - Dados de Entrada'!$C$66)</f>
        <v>647652.56000000006</v>
      </c>
      <c r="F59" s="529">
        <f>'04 - Veículos e Equipamentos'!C65*('01 - Dados de Entrada'!$C$65+'01 - Dados de Entrada'!$C$66)-SUM(E59)</f>
        <v>0</v>
      </c>
      <c r="G59" s="529">
        <f>'04 - Veículos e Equipamentos'!D65*('01 - Dados de Entrada'!$C$65+'01 - Dados de Entrada'!$C$66)-SUM(E59:F59)</f>
        <v>0</v>
      </c>
      <c r="H59" s="529">
        <f>'04 - Veículos e Equipamentos'!E65*('01 - Dados de Entrada'!$C$65+'01 - Dados de Entrada'!$C$66)-SUM(E59:G59)</f>
        <v>0</v>
      </c>
      <c r="I59" s="529">
        <f>'04 - Veículos e Equipamentos'!F65*('01 - Dados de Entrada'!$C$65+'01 - Dados de Entrada'!$C$66)-SUM(E59:H59)</f>
        <v>0</v>
      </c>
      <c r="J59" s="529">
        <f>'04 - Veículos e Equipamentos'!G65*('01 - Dados de Entrada'!$C$65+'01 - Dados de Entrada'!$C$66)-SUM(E59:I59)</f>
        <v>0</v>
      </c>
      <c r="K59" s="529">
        <f>'04 - Veículos e Equipamentos'!H65*('01 - Dados de Entrada'!$C$65+'01 - Dados de Entrada'!$C$66)-SUM(E59:J59)</f>
        <v>0</v>
      </c>
      <c r="L59" s="529">
        <f>'04 - Veículos e Equipamentos'!I65*('01 - Dados de Entrada'!$C$65+'01 - Dados de Entrada'!$C$66)-SUM(F59:K59)</f>
        <v>647652.56000000006</v>
      </c>
      <c r="M59" s="529">
        <f>'04 - Veículos e Equipamentos'!J65*('01 - Dados de Entrada'!$C$65+'01 - Dados de Entrada'!$C$66)-SUM(G59:L59)</f>
        <v>0</v>
      </c>
      <c r="N59" s="529">
        <f>'04 - Veículos e Equipamentos'!K65*('01 - Dados de Entrada'!$C$65+'01 - Dados de Entrada'!$C$66)-SUM(H59:M59)</f>
        <v>0</v>
      </c>
      <c r="O59" s="529">
        <f>'04 - Veículos e Equipamentos'!L65*('01 - Dados de Entrada'!$C$65+'01 - Dados de Entrada'!$C$66)-SUM(I59:N59)</f>
        <v>0</v>
      </c>
      <c r="P59" s="529">
        <f>'04 - Veículos e Equipamentos'!M65*('01 - Dados de Entrada'!$C$65+'01 - Dados de Entrada'!$C$66)-SUM(J59:O59)</f>
        <v>0</v>
      </c>
      <c r="Q59" s="529">
        <f>'04 - Veículos e Equipamentos'!N65*('01 - Dados de Entrada'!$C$65+'01 - Dados de Entrada'!$C$66)-SUM(K59:P59)</f>
        <v>0</v>
      </c>
      <c r="R59" s="529">
        <f>'04 - Veículos e Equipamentos'!O65*('01 - Dados de Entrada'!$C$65+'01 - Dados de Entrada'!$C$66)-SUM(L59:Q59)</f>
        <v>0</v>
      </c>
      <c r="S59" s="529">
        <f>'04 - Veículos e Equipamentos'!P65*('01 - Dados de Entrada'!$C$65+'01 - Dados de Entrada'!$C$66)-SUM(M59:R59)</f>
        <v>647652.56000000006</v>
      </c>
      <c r="T59" s="529">
        <f>'04 - Veículos e Equipamentos'!Q65*('01 - Dados de Entrada'!$C$65+'01 - Dados de Entrada'!$C$66)-SUM(N59:S59)</f>
        <v>0</v>
      </c>
      <c r="U59" s="529">
        <f>'04 - Veículos e Equipamentos'!R65*('01 - Dados de Entrada'!$C$65+'01 - Dados de Entrada'!$C$66)-SUM(O59:T59)</f>
        <v>0</v>
      </c>
      <c r="V59" s="529">
        <f>'04 - Veículos e Equipamentos'!S65*('01 - Dados de Entrada'!$C$65+'01 - Dados de Entrada'!$C$66)-SUM(P59:U59)</f>
        <v>0</v>
      </c>
      <c r="W59" s="529">
        <f>'04 - Veículos e Equipamentos'!T65*('01 - Dados de Entrada'!$C$65+'01 - Dados de Entrada'!$C$66)-SUM(Q59:V59)</f>
        <v>0</v>
      </c>
      <c r="X59" s="529">
        <f>'04 - Veículos e Equipamentos'!U65*('01 - Dados de Entrada'!$C$65+'01 - Dados de Entrada'!$C$66)-SUM(R59:W59)</f>
        <v>0</v>
      </c>
      <c r="Y59" s="529">
        <f>'04 - Veículos e Equipamentos'!V65*('01 - Dados de Entrada'!$C$65+'01 - Dados de Entrada'!$C$66)-SUM(S59:X59)</f>
        <v>0</v>
      </c>
      <c r="Z59" s="529">
        <f>'04 - Veículos e Equipamentos'!W65*('01 - Dados de Entrada'!$C$65+'01 - Dados de Entrada'!$C$66)-SUM(T59:Y59)</f>
        <v>647652.56000000006</v>
      </c>
      <c r="AA59" s="529">
        <f>'04 - Veículos e Equipamentos'!X65*('01 - Dados de Entrada'!$C$65+'01 - Dados de Entrada'!$C$66)-SUM(U59:Z59)</f>
        <v>0</v>
      </c>
      <c r="AB59" s="529">
        <f>'04 - Veículos e Equipamentos'!Y65*('01 - Dados de Entrada'!$C$65+'01 - Dados de Entrada'!$C$66)-SUM(V59:AA59)</f>
        <v>0</v>
      </c>
      <c r="AC59" s="529">
        <f>'04 - Veículos e Equipamentos'!Z65*('01 - Dados de Entrada'!$C$65+'01 - Dados de Entrada'!$C$66)-SUM(W59:AB59)</f>
        <v>0</v>
      </c>
      <c r="AD59" s="529">
        <f>'04 - Veículos e Equipamentos'!AA65*('01 - Dados de Entrada'!$C$65+'01 - Dados de Entrada'!$C$66)-SUM(X59:AC59)</f>
        <v>0</v>
      </c>
      <c r="AE59" s="529">
        <f>'04 - Veículos e Equipamentos'!AB65*('01 - Dados de Entrada'!$C$65+'01 - Dados de Entrada'!$C$66)-SUM(Y59:AD59)</f>
        <v>0</v>
      </c>
      <c r="AF59" s="529">
        <f>'04 - Veículos e Equipamentos'!AC65*('01 - Dados de Entrada'!$C$65+'01 - Dados de Entrada'!$C$66)-SUM(Z59:AE59)</f>
        <v>0</v>
      </c>
      <c r="AG59" s="529">
        <f>'04 - Veículos e Equipamentos'!AD65*('01 - Dados de Entrada'!$C$65+'01 - Dados de Entrada'!$C$66)-SUM(AA59:AF59)</f>
        <v>647652.56000000006</v>
      </c>
      <c r="AH59" s="529">
        <f>'04 - Veículos e Equipamentos'!AE65*('01 - Dados de Entrada'!$C$65+'01 - Dados de Entrada'!$C$66)-SUM(AB59:AG59)</f>
        <v>0</v>
      </c>
      <c r="AI59" s="529">
        <f>'04 - Veículos e Equipamentos'!AF65*('01 - Dados de Entrada'!$C$65+'01 - Dados de Entrada'!$C$66)-SUM(AC59:AH59)</f>
        <v>0</v>
      </c>
      <c r="AJ59" s="529">
        <f>'04 - Veículos e Equipamentos'!AG65*('01 - Dados de Entrada'!$C$65+'01 - Dados de Entrada'!$C$66)-SUM(AD59:AI59)</f>
        <v>0</v>
      </c>
      <c r="AK59" s="529">
        <f>'04 - Veículos e Equipamentos'!AH65*('01 - Dados de Entrada'!$C$65+'01 - Dados de Entrada'!$C$66)-SUM(AE59:AJ59)</f>
        <v>0</v>
      </c>
      <c r="AL59" s="529">
        <f>'04 - Veículos e Equipamentos'!AI65*('01 - Dados de Entrada'!$C$65+'01 - Dados de Entrada'!$C$66)-SUM(AF59:AK59)</f>
        <v>0</v>
      </c>
      <c r="AM59" s="529">
        <f>'04 - Veículos e Equipamentos'!AJ65*('01 - Dados de Entrada'!$C$65+'01 - Dados de Entrada'!$C$66)-SUM(AG59:AL59)</f>
        <v>0</v>
      </c>
    </row>
    <row r="60" spans="1:39" s="22" customFormat="1" ht="13.15" customHeight="1" x14ac:dyDescent="0.2">
      <c r="A60" s="36" t="s">
        <v>819</v>
      </c>
      <c r="B60" s="36" t="s">
        <v>1086</v>
      </c>
      <c r="C60" s="401"/>
      <c r="D60" s="525">
        <f t="shared" si="35"/>
        <v>154071</v>
      </c>
      <c r="E60" s="529">
        <f>'04 - Veículos e Equipamentos'!B66*('01 - Dados de Entrada'!$C$57)</f>
        <v>17119</v>
      </c>
      <c r="F60" s="529">
        <f>'04 - Veículos e Equipamentos'!C66*('01 - Dados de Entrada'!$C$57)-SUM(E60)</f>
        <v>0</v>
      </c>
      <c r="G60" s="529">
        <f>'04 - Veículos e Equipamentos'!D66*('01 - Dados de Entrada'!$C$57)-SUM(E60:F60)</f>
        <v>0</v>
      </c>
      <c r="H60" s="529">
        <f>'04 - Veículos e Equipamentos'!E66*('01 - Dados de Entrada'!$C$57)-SUM(E60:G60)</f>
        <v>0</v>
      </c>
      <c r="I60" s="529">
        <f>'04 - Veículos e Equipamentos'!F66*('01 - Dados de Entrada'!$C$57)-SUM(F60:H60)</f>
        <v>17119</v>
      </c>
      <c r="J60" s="529">
        <f>'04 - Veículos e Equipamentos'!G66*('01 - Dados de Entrada'!$C$57)-SUM(G60:I60)</f>
        <v>0</v>
      </c>
      <c r="K60" s="529">
        <f>'04 - Veículos e Equipamentos'!H66*('01 - Dados de Entrada'!$C$57)-SUM(H60:J60)</f>
        <v>0</v>
      </c>
      <c r="L60" s="529">
        <f>'04 - Veículos e Equipamentos'!I66*('01 - Dados de Entrada'!$C$57)-SUM(I60:K60)</f>
        <v>0</v>
      </c>
      <c r="M60" s="529">
        <f>'04 - Veículos e Equipamentos'!J66*('01 - Dados de Entrada'!$C$57)-SUM(J60:L60)</f>
        <v>17119</v>
      </c>
      <c r="N60" s="529">
        <f>'04 - Veículos e Equipamentos'!K66*('01 - Dados de Entrada'!$C$57)-SUM(K60:M60)</f>
        <v>0</v>
      </c>
      <c r="O60" s="529">
        <f>'04 - Veículos e Equipamentos'!L66*('01 - Dados de Entrada'!$C$57)-SUM(L60:N60)</f>
        <v>0</v>
      </c>
      <c r="P60" s="529">
        <f>'04 - Veículos e Equipamentos'!M66*('01 - Dados de Entrada'!$C$57)-SUM(M60:O60)</f>
        <v>0</v>
      </c>
      <c r="Q60" s="529">
        <f>'04 - Veículos e Equipamentos'!N66*('01 - Dados de Entrada'!$C$57)-SUM(N60:P60)</f>
        <v>17119</v>
      </c>
      <c r="R60" s="529">
        <f>'04 - Veículos e Equipamentos'!O66*('01 - Dados de Entrada'!$C$57)-SUM(O60:Q60)</f>
        <v>0</v>
      </c>
      <c r="S60" s="529">
        <f>'04 - Veículos e Equipamentos'!P66*('01 - Dados de Entrada'!$C$57)-SUM(P60:R60)</f>
        <v>0</v>
      </c>
      <c r="T60" s="529">
        <f>'04 - Veículos e Equipamentos'!Q66*('01 - Dados de Entrada'!$C$57)-SUM(Q60:S60)</f>
        <v>0</v>
      </c>
      <c r="U60" s="529">
        <f>'04 - Veículos e Equipamentos'!R66*('01 - Dados de Entrada'!$C$57)-SUM(R60:T60)</f>
        <v>17119</v>
      </c>
      <c r="V60" s="529">
        <f>'04 - Veículos e Equipamentos'!S66*('01 - Dados de Entrada'!$C$57)-SUM(S60:U60)</f>
        <v>0</v>
      </c>
      <c r="W60" s="529">
        <f>'04 - Veículos e Equipamentos'!T66*('01 - Dados de Entrada'!$C$57)-SUM(T60:V60)</f>
        <v>0</v>
      </c>
      <c r="X60" s="529">
        <f>'04 - Veículos e Equipamentos'!U66*('01 - Dados de Entrada'!$C$57)-SUM(U60:W60)</f>
        <v>0</v>
      </c>
      <c r="Y60" s="529">
        <f>'04 - Veículos e Equipamentos'!V66*('01 - Dados de Entrada'!$C$57)-SUM(V60:X60)</f>
        <v>17119</v>
      </c>
      <c r="Z60" s="529">
        <f>'04 - Veículos e Equipamentos'!W66*('01 - Dados de Entrada'!$C$57)-SUM(W60:Y60)</f>
        <v>0</v>
      </c>
      <c r="AA60" s="529">
        <f>'04 - Veículos e Equipamentos'!X66*('01 - Dados de Entrada'!$C$57)-SUM(X60:Z60)</f>
        <v>0</v>
      </c>
      <c r="AB60" s="529">
        <f>'04 - Veículos e Equipamentos'!Y66*('01 - Dados de Entrada'!$C$57)-SUM(Y60:AA60)</f>
        <v>0</v>
      </c>
      <c r="AC60" s="529">
        <f>'04 - Veículos e Equipamentos'!Z66*('01 - Dados de Entrada'!$C$57)-SUM(Z60:AB60)</f>
        <v>17119</v>
      </c>
      <c r="AD60" s="529">
        <f>'04 - Veículos e Equipamentos'!AA66*('01 - Dados de Entrada'!$C$57)-SUM(AA60:AC60)</f>
        <v>0</v>
      </c>
      <c r="AE60" s="529">
        <f>'04 - Veículos e Equipamentos'!AB66*('01 - Dados de Entrada'!$C$57)-SUM(AB60:AD60)</f>
        <v>0</v>
      </c>
      <c r="AF60" s="529">
        <f>'04 - Veículos e Equipamentos'!AC66*('01 - Dados de Entrada'!$C$57)-SUM(AC60:AE60)</f>
        <v>0</v>
      </c>
      <c r="AG60" s="529">
        <f>'04 - Veículos e Equipamentos'!AD66*('01 - Dados de Entrada'!$C$57)-SUM(AD60:AF60)</f>
        <v>17119</v>
      </c>
      <c r="AH60" s="529">
        <f>'04 - Veículos e Equipamentos'!AE66*('01 - Dados de Entrada'!$C$57)-SUM(AE60:AG60)</f>
        <v>0</v>
      </c>
      <c r="AI60" s="529">
        <f>'04 - Veículos e Equipamentos'!AF66*('01 - Dados de Entrada'!$C$57)-SUM(AF60:AH60)</f>
        <v>0</v>
      </c>
      <c r="AJ60" s="529">
        <f>'04 - Veículos e Equipamentos'!AG66*('01 - Dados de Entrada'!$C$57)-SUM(AG60:AI60)</f>
        <v>0</v>
      </c>
      <c r="AK60" s="529">
        <f>'04 - Veículos e Equipamentos'!AH66*('01 - Dados de Entrada'!$C$57)-SUM(AH60:AJ60)</f>
        <v>17119</v>
      </c>
      <c r="AL60" s="529">
        <f>'04 - Veículos e Equipamentos'!AI66*('01 - Dados de Entrada'!$C$57)-SUM(AI60:AK60)</f>
        <v>0</v>
      </c>
      <c r="AM60" s="529">
        <f>'04 - Veículos e Equipamentos'!AJ66*('01 - Dados de Entrada'!$C$57)-SUM(AJ60:AL60)</f>
        <v>0</v>
      </c>
    </row>
    <row r="61" spans="1:39" s="22" customFormat="1" ht="13.15" customHeight="1" x14ac:dyDescent="0.2">
      <c r="A61" s="36" t="s">
        <v>439</v>
      </c>
      <c r="B61" s="36" t="s">
        <v>1091</v>
      </c>
      <c r="C61" s="401"/>
      <c r="D61" s="525">
        <f t="shared" si="35"/>
        <v>1120000</v>
      </c>
      <c r="E61" s="529">
        <f>('04 - Veículos e Equipamentos'!B67)*('01 - Dados de Entrada'!$C$78)</f>
        <v>160000</v>
      </c>
      <c r="F61" s="529">
        <f>('04 - Veículos e Equipamentos'!C67)*('01 - Dados de Entrada'!$C$78)-SUM(E61)</f>
        <v>0</v>
      </c>
      <c r="G61" s="529">
        <f>('04 - Veículos e Equipamentos'!D67)*('01 - Dados de Entrada'!$C$78)-SUM(E61:F61)</f>
        <v>0</v>
      </c>
      <c r="H61" s="529">
        <f>('04 - Veículos e Equipamentos'!E67)*('01 - Dados de Entrada'!$C$78)-SUM(E61:G61)</f>
        <v>0</v>
      </c>
      <c r="I61" s="529">
        <f>('04 - Veículos e Equipamentos'!F67)*('01 - Dados de Entrada'!$C$78)-SUM(E61:H61)</f>
        <v>0</v>
      </c>
      <c r="J61" s="529">
        <f>('04 - Veículos e Equipamentos'!G67)*('01 - Dados de Entrada'!$C$78)-SUM(F61:I61)</f>
        <v>160000</v>
      </c>
      <c r="K61" s="529">
        <f>('04 - Veículos e Equipamentos'!H67)*('01 - Dados de Entrada'!$C$78)-SUM(G61:J61)</f>
        <v>0</v>
      </c>
      <c r="L61" s="529">
        <f>('04 - Veículos e Equipamentos'!I67)*('01 - Dados de Entrada'!$C$78)-SUM(H61:K61)</f>
        <v>0</v>
      </c>
      <c r="M61" s="529">
        <f>('04 - Veículos e Equipamentos'!J67)*('01 - Dados de Entrada'!$C$78)-SUM(I61:L61)</f>
        <v>0</v>
      </c>
      <c r="N61" s="529">
        <f>('04 - Veículos e Equipamentos'!K67)*('01 - Dados de Entrada'!$C$78)-SUM(J61:M61)</f>
        <v>0</v>
      </c>
      <c r="O61" s="529">
        <f>('04 - Veículos e Equipamentos'!L67)*('01 - Dados de Entrada'!$C$78)-SUM(K61:N61)</f>
        <v>160000</v>
      </c>
      <c r="P61" s="529">
        <f>('04 - Veículos e Equipamentos'!M67)*('01 - Dados de Entrada'!$C$78)-SUM(L61:O61)</f>
        <v>0</v>
      </c>
      <c r="Q61" s="529">
        <f>('04 - Veículos e Equipamentos'!N67)*('01 - Dados de Entrada'!$C$78)-SUM(M61:P61)</f>
        <v>0</v>
      </c>
      <c r="R61" s="529">
        <f>('04 - Veículos e Equipamentos'!O67)*('01 - Dados de Entrada'!$C$78)-SUM(N61:Q61)</f>
        <v>0</v>
      </c>
      <c r="S61" s="529">
        <f>('04 - Veículos e Equipamentos'!P67)*('01 - Dados de Entrada'!$C$78)-SUM(O61:R61)</f>
        <v>0</v>
      </c>
      <c r="T61" s="529">
        <f>('04 - Veículos e Equipamentos'!Q67)*('01 - Dados de Entrada'!$C$78)-SUM(P61:S61)</f>
        <v>160000</v>
      </c>
      <c r="U61" s="529">
        <f>('04 - Veículos e Equipamentos'!R67)*('01 - Dados de Entrada'!$C$78)-SUM(Q61:T61)</f>
        <v>0</v>
      </c>
      <c r="V61" s="529">
        <f>('04 - Veículos e Equipamentos'!S67)*('01 - Dados de Entrada'!$C$78)-SUM(R61:U61)</f>
        <v>0</v>
      </c>
      <c r="W61" s="529">
        <f>('04 - Veículos e Equipamentos'!T67)*('01 - Dados de Entrada'!$C$78)-SUM(S61:V61)</f>
        <v>0</v>
      </c>
      <c r="X61" s="529">
        <f>('04 - Veículos e Equipamentos'!U67)*('01 - Dados de Entrada'!$C$78)-SUM(T61:W61)</f>
        <v>0</v>
      </c>
      <c r="Y61" s="529">
        <f>('04 - Veículos e Equipamentos'!V67)*('01 - Dados de Entrada'!$C$78)-SUM(U61:X61)</f>
        <v>160000</v>
      </c>
      <c r="Z61" s="529">
        <f>('04 - Veículos e Equipamentos'!W67)*('01 - Dados de Entrada'!$C$78)-SUM(V61:Y61)</f>
        <v>0</v>
      </c>
      <c r="AA61" s="529">
        <f>('04 - Veículos e Equipamentos'!X67)*('01 - Dados de Entrada'!$C$78)-SUM(W61:Z61)</f>
        <v>0</v>
      </c>
      <c r="AB61" s="529">
        <f>('04 - Veículos e Equipamentos'!Y67)*('01 - Dados de Entrada'!$C$78)-SUM(X61:AA61)</f>
        <v>0</v>
      </c>
      <c r="AC61" s="529">
        <f>('04 - Veículos e Equipamentos'!Z67)*('01 - Dados de Entrada'!$C$78)-SUM(Y61:AB61)</f>
        <v>0</v>
      </c>
      <c r="AD61" s="529">
        <f>('04 - Veículos e Equipamentos'!AA67)*('01 - Dados de Entrada'!$C$78)-SUM(Z61:AC61)</f>
        <v>160000</v>
      </c>
      <c r="AE61" s="529">
        <f>('04 - Veículos e Equipamentos'!AB67)*('01 - Dados de Entrada'!$C$78)-SUM(AA61:AD61)</f>
        <v>0</v>
      </c>
      <c r="AF61" s="529">
        <f>('04 - Veículos e Equipamentos'!AC67)*('01 - Dados de Entrada'!$C$78)-SUM(AB61:AE61)</f>
        <v>0</v>
      </c>
      <c r="AG61" s="529">
        <f>('04 - Veículos e Equipamentos'!AD67)*('01 - Dados de Entrada'!$C$78)-SUM(AC61:AF61)</f>
        <v>0</v>
      </c>
      <c r="AH61" s="529">
        <f>('04 - Veículos e Equipamentos'!AE67)*('01 - Dados de Entrada'!$C$78)-SUM(AD61:AG61)</f>
        <v>0</v>
      </c>
      <c r="AI61" s="529">
        <f>('04 - Veículos e Equipamentos'!AF67)*('01 - Dados de Entrada'!$C$78)-SUM(AE61:AH61)</f>
        <v>160000</v>
      </c>
      <c r="AJ61" s="529">
        <f>('04 - Veículos e Equipamentos'!AG67)*('01 - Dados de Entrada'!$C$78)-SUM(AF61:AI61)</f>
        <v>0</v>
      </c>
      <c r="AK61" s="529">
        <f>('04 - Veículos e Equipamentos'!AH67)*('01 - Dados de Entrada'!$C$78)-SUM(AG61:AJ61)</f>
        <v>0</v>
      </c>
      <c r="AL61" s="529">
        <f>('04 - Veículos e Equipamentos'!AI67)*('01 - Dados de Entrada'!$C$78)-SUM(AH61:AK61)</f>
        <v>0</v>
      </c>
      <c r="AM61" s="529">
        <f>('04 - Veículos e Equipamentos'!AJ67)*('01 - Dados de Entrada'!$C$78)-SUM(AI61:AL61)</f>
        <v>0</v>
      </c>
    </row>
    <row r="62" spans="1:39" s="22" customFormat="1" ht="13.15" customHeight="1" x14ac:dyDescent="0.2">
      <c r="A62" s="36" t="s">
        <v>825</v>
      </c>
      <c r="B62" s="36" t="s">
        <v>1091</v>
      </c>
      <c r="C62" s="401"/>
      <c r="D62" s="525">
        <f t="shared" si="35"/>
        <v>1120000</v>
      </c>
      <c r="E62" s="529">
        <f>('04 - Veículos e Equipamentos'!B68)*('01 - Dados de Entrada'!$C$78)</f>
        <v>160000</v>
      </c>
      <c r="F62" s="529">
        <f>('04 - Veículos e Equipamentos'!C68)*('01 - Dados de Entrada'!$C$78)-SUM(E62)</f>
        <v>0</v>
      </c>
      <c r="G62" s="529">
        <f>('04 - Veículos e Equipamentos'!D68)*('01 - Dados de Entrada'!$C$78)-SUM(E62:F62)</f>
        <v>0</v>
      </c>
      <c r="H62" s="529">
        <f>('04 - Veículos e Equipamentos'!E68)*('01 - Dados de Entrada'!$C$78)-SUM(E62:G62)</f>
        <v>0</v>
      </c>
      <c r="I62" s="529">
        <f>('04 - Veículos e Equipamentos'!F68)*('01 - Dados de Entrada'!$C$78)-SUM(E62:H62)</f>
        <v>0</v>
      </c>
      <c r="J62" s="529">
        <f>('04 - Veículos e Equipamentos'!G68)*('01 - Dados de Entrada'!$C$78)-SUM(F62:I62)</f>
        <v>160000</v>
      </c>
      <c r="K62" s="529">
        <f>('04 - Veículos e Equipamentos'!H68)*('01 - Dados de Entrada'!$C$78)-SUM(G62:J62)</f>
        <v>0</v>
      </c>
      <c r="L62" s="529">
        <f>('04 - Veículos e Equipamentos'!I68)*('01 - Dados de Entrada'!$C$78)-SUM(H62:K62)</f>
        <v>0</v>
      </c>
      <c r="M62" s="529">
        <f>('04 - Veículos e Equipamentos'!J68)*('01 - Dados de Entrada'!$C$78)-SUM(I62:L62)</f>
        <v>0</v>
      </c>
      <c r="N62" s="529">
        <f>('04 - Veículos e Equipamentos'!K68)*('01 - Dados de Entrada'!$C$78)-SUM(J62:M62)</f>
        <v>0</v>
      </c>
      <c r="O62" s="529">
        <f>('04 - Veículos e Equipamentos'!L68)*('01 - Dados de Entrada'!$C$78)-SUM(K62:N62)</f>
        <v>160000</v>
      </c>
      <c r="P62" s="529">
        <f>('04 - Veículos e Equipamentos'!M68)*('01 - Dados de Entrada'!$C$78)-SUM(L62:O62)</f>
        <v>0</v>
      </c>
      <c r="Q62" s="529">
        <f>('04 - Veículos e Equipamentos'!N68)*('01 - Dados de Entrada'!$C$78)-SUM(M62:P62)</f>
        <v>0</v>
      </c>
      <c r="R62" s="529">
        <f>('04 - Veículos e Equipamentos'!O68)*('01 - Dados de Entrada'!$C$78)-SUM(N62:Q62)</f>
        <v>0</v>
      </c>
      <c r="S62" s="529">
        <f>('04 - Veículos e Equipamentos'!P68)*('01 - Dados de Entrada'!$C$78)-SUM(O62:R62)</f>
        <v>0</v>
      </c>
      <c r="T62" s="529">
        <f>('04 - Veículos e Equipamentos'!Q68)*('01 - Dados de Entrada'!$C$78)-SUM(P62:S62)</f>
        <v>160000</v>
      </c>
      <c r="U62" s="529">
        <f>('04 - Veículos e Equipamentos'!R68)*('01 - Dados de Entrada'!$C$78)-SUM(Q62:T62)</f>
        <v>0</v>
      </c>
      <c r="V62" s="529">
        <f>('04 - Veículos e Equipamentos'!S68)*('01 - Dados de Entrada'!$C$78)-SUM(R62:U62)</f>
        <v>0</v>
      </c>
      <c r="W62" s="529">
        <f>('04 - Veículos e Equipamentos'!T68)*('01 - Dados de Entrada'!$C$78)-SUM(S62:V62)</f>
        <v>0</v>
      </c>
      <c r="X62" s="529">
        <f>('04 - Veículos e Equipamentos'!U68)*('01 - Dados de Entrada'!$C$78)-SUM(T62:W62)</f>
        <v>0</v>
      </c>
      <c r="Y62" s="529">
        <f>('04 - Veículos e Equipamentos'!V68)*('01 - Dados de Entrada'!$C$78)-SUM(U62:X62)</f>
        <v>160000</v>
      </c>
      <c r="Z62" s="529">
        <f>('04 - Veículos e Equipamentos'!W68)*('01 - Dados de Entrada'!$C$78)-SUM(V62:Y62)</f>
        <v>0</v>
      </c>
      <c r="AA62" s="529">
        <f>('04 - Veículos e Equipamentos'!X68)*('01 - Dados de Entrada'!$C$78)-SUM(W62:Z62)</f>
        <v>0</v>
      </c>
      <c r="AB62" s="529">
        <f>('04 - Veículos e Equipamentos'!Y68)*('01 - Dados de Entrada'!$C$78)-SUM(X62:AA62)</f>
        <v>0</v>
      </c>
      <c r="AC62" s="529">
        <f>('04 - Veículos e Equipamentos'!Z68)*('01 - Dados de Entrada'!$C$78)-SUM(Y62:AB62)</f>
        <v>0</v>
      </c>
      <c r="AD62" s="529">
        <f>('04 - Veículos e Equipamentos'!AA68)*('01 - Dados de Entrada'!$C$78)-SUM(Z62:AC62)</f>
        <v>160000</v>
      </c>
      <c r="AE62" s="529">
        <f>('04 - Veículos e Equipamentos'!AB68)*('01 - Dados de Entrada'!$C$78)-SUM(AA62:AD62)</f>
        <v>0</v>
      </c>
      <c r="AF62" s="529">
        <f>('04 - Veículos e Equipamentos'!AC68)*('01 - Dados de Entrada'!$C$78)-SUM(AB62:AE62)</f>
        <v>0</v>
      </c>
      <c r="AG62" s="529">
        <f>('04 - Veículos e Equipamentos'!AD68)*('01 - Dados de Entrada'!$C$78)-SUM(AC62:AF62)</f>
        <v>0</v>
      </c>
      <c r="AH62" s="529">
        <f>('04 - Veículos e Equipamentos'!AE68)*('01 - Dados de Entrada'!$C$78)-SUM(AD62:AG62)</f>
        <v>0</v>
      </c>
      <c r="AI62" s="529">
        <f>('04 - Veículos e Equipamentos'!AF68)*('01 - Dados de Entrada'!$C$78)-SUM(AE62:AH62)</f>
        <v>160000</v>
      </c>
      <c r="AJ62" s="529">
        <f>('04 - Veículos e Equipamentos'!AG68)*('01 - Dados de Entrada'!$C$78)-SUM(AF62:AI62)</f>
        <v>0</v>
      </c>
      <c r="AK62" s="529">
        <f>('04 - Veículos e Equipamentos'!AH68)*('01 - Dados de Entrada'!$C$78)-SUM(AG62:AJ62)</f>
        <v>0</v>
      </c>
      <c r="AL62" s="529">
        <f>('04 - Veículos e Equipamentos'!AI68)*('01 - Dados de Entrada'!$C$78)-SUM(AH62:AK62)</f>
        <v>0</v>
      </c>
      <c r="AM62" s="529">
        <f>('04 - Veículos e Equipamentos'!AJ68)*('01 - Dados de Entrada'!$C$78)-SUM(AI62:AL62)</f>
        <v>0</v>
      </c>
    </row>
    <row r="63" spans="1:39" s="8" customFormat="1" ht="13.15" customHeight="1" x14ac:dyDescent="0.2">
      <c r="A63" s="24" t="s">
        <v>826</v>
      </c>
      <c r="B63" s="24" t="s">
        <v>1091</v>
      </c>
      <c r="C63" s="166"/>
      <c r="D63" s="525">
        <f t="shared" si="35"/>
        <v>51800</v>
      </c>
      <c r="E63" s="525">
        <f>'04 - Veículos e Equipamentos'!B69*('01 - Dados de Entrada'!$C$79)</f>
        <v>7400</v>
      </c>
      <c r="F63" s="525">
        <f>'04 - Veículos e Equipamentos'!C69*('01 - Dados de Entrada'!$C$79)-SUM(E63)</f>
        <v>0</v>
      </c>
      <c r="G63" s="525">
        <f>'04 - Veículos e Equipamentos'!D69*('01 - Dados de Entrada'!$C$79)-SUM(E63:F63)</f>
        <v>0</v>
      </c>
      <c r="H63" s="525">
        <f>'04 - Veículos e Equipamentos'!E69*('01 - Dados de Entrada'!$C$79)-SUM(E63:G63)</f>
        <v>0</v>
      </c>
      <c r="I63" s="525">
        <f>'04 - Veículos e Equipamentos'!F69*('01 - Dados de Entrada'!$C$79)-SUM(E63:H63)</f>
        <v>0</v>
      </c>
      <c r="J63" s="525">
        <f>'04 - Veículos e Equipamentos'!G69*('01 - Dados de Entrada'!$C$79)-SUM(F63:I63)</f>
        <v>7400</v>
      </c>
      <c r="K63" s="525">
        <f>'04 - Veículos e Equipamentos'!H69*('01 - Dados de Entrada'!$C$79)-SUM(G63:J63)</f>
        <v>0</v>
      </c>
      <c r="L63" s="525">
        <f>'04 - Veículos e Equipamentos'!I69*('01 - Dados de Entrada'!$C$79)-SUM(H63:K63)</f>
        <v>0</v>
      </c>
      <c r="M63" s="525">
        <f>'04 - Veículos e Equipamentos'!J69*('01 - Dados de Entrada'!$C$79)-SUM(I63:L63)</f>
        <v>0</v>
      </c>
      <c r="N63" s="525">
        <f>'04 - Veículos e Equipamentos'!K69*('01 - Dados de Entrada'!$C$79)-SUM(J63:M63)</f>
        <v>0</v>
      </c>
      <c r="O63" s="525">
        <f>'04 - Veículos e Equipamentos'!L69*('01 - Dados de Entrada'!$C$79)-SUM(K63:N63)</f>
        <v>7400</v>
      </c>
      <c r="P63" s="525">
        <f>'04 - Veículos e Equipamentos'!M69*('01 - Dados de Entrada'!$C$79)-SUM(L63:O63)</f>
        <v>0</v>
      </c>
      <c r="Q63" s="525">
        <f>'04 - Veículos e Equipamentos'!N69*('01 - Dados de Entrada'!$C$79)-SUM(M63:P63)</f>
        <v>0</v>
      </c>
      <c r="R63" s="525">
        <f>'04 - Veículos e Equipamentos'!O69*('01 - Dados de Entrada'!$C$79)-SUM(N63:Q63)</f>
        <v>0</v>
      </c>
      <c r="S63" s="525">
        <f>'04 - Veículos e Equipamentos'!P69*('01 - Dados de Entrada'!$C$79)-SUM(O63:R63)</f>
        <v>0</v>
      </c>
      <c r="T63" s="525">
        <f>'04 - Veículos e Equipamentos'!Q69*('01 - Dados de Entrada'!$C$79)-SUM(P63:S63)</f>
        <v>7400</v>
      </c>
      <c r="U63" s="525">
        <f>'04 - Veículos e Equipamentos'!R69*('01 - Dados de Entrada'!$C$79)-SUM(Q63:T63)</f>
        <v>0</v>
      </c>
      <c r="V63" s="525">
        <f>'04 - Veículos e Equipamentos'!S69*('01 - Dados de Entrada'!$C$79)-SUM(R63:U63)</f>
        <v>0</v>
      </c>
      <c r="W63" s="525">
        <f>'04 - Veículos e Equipamentos'!T69*('01 - Dados de Entrada'!$C$79)-SUM(S63:V63)</f>
        <v>0</v>
      </c>
      <c r="X63" s="525">
        <f>'04 - Veículos e Equipamentos'!U69*('01 - Dados de Entrada'!$C$79)-SUM(T63:W63)</f>
        <v>0</v>
      </c>
      <c r="Y63" s="525">
        <f>'04 - Veículos e Equipamentos'!V69*('01 - Dados de Entrada'!$C$79)-SUM(U63:X63)</f>
        <v>7400</v>
      </c>
      <c r="Z63" s="525">
        <f>'04 - Veículos e Equipamentos'!W69*('01 - Dados de Entrada'!$C$79)-SUM(V63:Y63)</f>
        <v>0</v>
      </c>
      <c r="AA63" s="525">
        <f>'04 - Veículos e Equipamentos'!X69*('01 - Dados de Entrada'!$C$79)-SUM(W63:Z63)</f>
        <v>0</v>
      </c>
      <c r="AB63" s="525">
        <f>'04 - Veículos e Equipamentos'!Y69*('01 - Dados de Entrada'!$C$79)-SUM(X63:AA63)</f>
        <v>0</v>
      </c>
      <c r="AC63" s="525">
        <f>'04 - Veículos e Equipamentos'!Z69*('01 - Dados de Entrada'!$C$79)-SUM(Y63:AB63)</f>
        <v>0</v>
      </c>
      <c r="AD63" s="525">
        <f>'04 - Veículos e Equipamentos'!AA69*('01 - Dados de Entrada'!$C$79)-SUM(Z63:AC63)</f>
        <v>7400</v>
      </c>
      <c r="AE63" s="525">
        <f>'04 - Veículos e Equipamentos'!AB69*('01 - Dados de Entrada'!$C$79)-SUM(AA63:AD63)</f>
        <v>0</v>
      </c>
      <c r="AF63" s="525">
        <f>'04 - Veículos e Equipamentos'!AC69*('01 - Dados de Entrada'!$C$79)-SUM(AB63:AE63)</f>
        <v>0</v>
      </c>
      <c r="AG63" s="525">
        <f>'04 - Veículos e Equipamentos'!AD69*('01 - Dados de Entrada'!$C$79)-SUM(AC63:AF63)</f>
        <v>0</v>
      </c>
      <c r="AH63" s="525">
        <f>'04 - Veículos e Equipamentos'!AE69*('01 - Dados de Entrada'!$C$79)-SUM(AD63:AG63)</f>
        <v>0</v>
      </c>
      <c r="AI63" s="525">
        <f>'04 - Veículos e Equipamentos'!AF69*('01 - Dados de Entrada'!$C$79)-SUM(AE63:AH63)</f>
        <v>7400</v>
      </c>
      <c r="AJ63" s="525">
        <f>'04 - Veículos e Equipamentos'!AG69*('01 - Dados de Entrada'!$C$79)-SUM(AF63:AI63)</f>
        <v>0</v>
      </c>
      <c r="AK63" s="525">
        <f>'04 - Veículos e Equipamentos'!AH69*('01 - Dados de Entrada'!$C$79)-SUM(AG63:AJ63)</f>
        <v>0</v>
      </c>
      <c r="AL63" s="525">
        <f>'04 - Veículos e Equipamentos'!AI69*('01 - Dados de Entrada'!$C$79)-SUM(AH63:AK63)</f>
        <v>0</v>
      </c>
      <c r="AM63" s="525">
        <f>'04 - Veículos e Equipamentos'!AJ69*('01 - Dados de Entrada'!$C$79)-SUM(AI63:AL63)</f>
        <v>0</v>
      </c>
    </row>
    <row r="64" spans="1:39" s="8" customFormat="1" ht="13.15" customHeight="1" x14ac:dyDescent="0.2">
      <c r="A64" s="24" t="s">
        <v>1098</v>
      </c>
      <c r="B64" s="24" t="s">
        <v>1091</v>
      </c>
      <c r="C64" s="166"/>
      <c r="D64" s="525">
        <f t="shared" si="35"/>
        <v>25900</v>
      </c>
      <c r="E64" s="525">
        <f>'04 - Veículos e Equipamentos'!B70*('01 - Dados de Entrada'!$C$79)</f>
        <v>3700</v>
      </c>
      <c r="F64" s="525">
        <f>'04 - Veículos e Equipamentos'!C70*('01 - Dados de Entrada'!$C$79)-SUM(E64)</f>
        <v>0</v>
      </c>
      <c r="G64" s="525">
        <f>'04 - Veículos e Equipamentos'!D70*('01 - Dados de Entrada'!$C$79)-SUM(E64:F64)</f>
        <v>0</v>
      </c>
      <c r="H64" s="525">
        <f>'04 - Veículos e Equipamentos'!E70*('01 - Dados de Entrada'!$C$79)-SUM(E64:G64)</f>
        <v>0</v>
      </c>
      <c r="I64" s="525">
        <f>'04 - Veículos e Equipamentos'!F70*('01 - Dados de Entrada'!$C$79)-SUM(E64:H64)</f>
        <v>0</v>
      </c>
      <c r="J64" s="525">
        <f>'04 - Veículos e Equipamentos'!G70*('01 - Dados de Entrada'!$C$79)-SUM(F64:I64)</f>
        <v>3700</v>
      </c>
      <c r="K64" s="525">
        <f>'04 - Veículos e Equipamentos'!H70*('01 - Dados de Entrada'!$C$79)-SUM(G64:J64)</f>
        <v>0</v>
      </c>
      <c r="L64" s="525">
        <f>'04 - Veículos e Equipamentos'!I70*('01 - Dados de Entrada'!$C$79)-SUM(H64:K64)</f>
        <v>0</v>
      </c>
      <c r="M64" s="525">
        <f>'04 - Veículos e Equipamentos'!J70*('01 - Dados de Entrada'!$C$79)-SUM(I64:L64)</f>
        <v>0</v>
      </c>
      <c r="N64" s="525">
        <f>'04 - Veículos e Equipamentos'!K70*('01 - Dados de Entrada'!$C$79)-SUM(J64:M64)</f>
        <v>0</v>
      </c>
      <c r="O64" s="525">
        <f>'04 - Veículos e Equipamentos'!L70*('01 - Dados de Entrada'!$C$79)-SUM(K64:N64)</f>
        <v>3700</v>
      </c>
      <c r="P64" s="525">
        <f>'04 - Veículos e Equipamentos'!M70*('01 - Dados de Entrada'!$C$79)-SUM(L64:O64)</f>
        <v>0</v>
      </c>
      <c r="Q64" s="525">
        <f>'04 - Veículos e Equipamentos'!N70*('01 - Dados de Entrada'!$C$79)-SUM(M64:P64)</f>
        <v>0</v>
      </c>
      <c r="R64" s="525">
        <f>'04 - Veículos e Equipamentos'!O70*('01 - Dados de Entrada'!$C$79)-SUM(N64:Q64)</f>
        <v>0</v>
      </c>
      <c r="S64" s="525">
        <f>'04 - Veículos e Equipamentos'!P70*('01 - Dados de Entrada'!$C$79)-SUM(O64:R64)</f>
        <v>0</v>
      </c>
      <c r="T64" s="525">
        <f>'04 - Veículos e Equipamentos'!Q70*('01 - Dados de Entrada'!$C$79)-SUM(P64:S64)</f>
        <v>3700</v>
      </c>
      <c r="U64" s="525">
        <f>'04 - Veículos e Equipamentos'!R70*('01 - Dados de Entrada'!$C$79)-SUM(Q64:T64)</f>
        <v>0</v>
      </c>
      <c r="V64" s="525">
        <f>'04 - Veículos e Equipamentos'!S70*('01 - Dados de Entrada'!$C$79)-SUM(R64:U64)</f>
        <v>0</v>
      </c>
      <c r="W64" s="525">
        <f>'04 - Veículos e Equipamentos'!T70*('01 - Dados de Entrada'!$C$79)-SUM(S64:V64)</f>
        <v>0</v>
      </c>
      <c r="X64" s="525">
        <f>'04 - Veículos e Equipamentos'!U70*('01 - Dados de Entrada'!$C$79)-SUM(T64:W64)</f>
        <v>0</v>
      </c>
      <c r="Y64" s="525">
        <f>'04 - Veículos e Equipamentos'!V70*('01 - Dados de Entrada'!$C$79)-SUM(U64:X64)</f>
        <v>3700</v>
      </c>
      <c r="Z64" s="525">
        <f>'04 - Veículos e Equipamentos'!W70*('01 - Dados de Entrada'!$C$79)-SUM(V64:Y64)</f>
        <v>0</v>
      </c>
      <c r="AA64" s="525">
        <f>'04 - Veículos e Equipamentos'!X70*('01 - Dados de Entrada'!$C$79)-SUM(W64:Z64)</f>
        <v>0</v>
      </c>
      <c r="AB64" s="525">
        <f>'04 - Veículos e Equipamentos'!Y70*('01 - Dados de Entrada'!$C$79)-SUM(X64:AA64)</f>
        <v>0</v>
      </c>
      <c r="AC64" s="525">
        <f>'04 - Veículos e Equipamentos'!Z70*('01 - Dados de Entrada'!$C$79)-SUM(Y64:AB64)</f>
        <v>0</v>
      </c>
      <c r="AD64" s="525">
        <f>'04 - Veículos e Equipamentos'!AA70*('01 - Dados de Entrada'!$C$79)-SUM(Z64:AC64)</f>
        <v>3700</v>
      </c>
      <c r="AE64" s="525">
        <f>'04 - Veículos e Equipamentos'!AB70*('01 - Dados de Entrada'!$C$79)-SUM(AA64:AD64)</f>
        <v>0</v>
      </c>
      <c r="AF64" s="525">
        <f>'04 - Veículos e Equipamentos'!AC70*('01 - Dados de Entrada'!$C$79)-SUM(AB64:AE64)</f>
        <v>0</v>
      </c>
      <c r="AG64" s="525">
        <f>'04 - Veículos e Equipamentos'!AD70*('01 - Dados de Entrada'!$C$79)-SUM(AC64:AF64)</f>
        <v>0</v>
      </c>
      <c r="AH64" s="525">
        <f>'04 - Veículos e Equipamentos'!AE70*('01 - Dados de Entrada'!$C$79)-SUM(AD64:AG64)</f>
        <v>0</v>
      </c>
      <c r="AI64" s="525">
        <f>'04 - Veículos e Equipamentos'!AF70*('01 - Dados de Entrada'!$C$79)-SUM(AE64:AH64)</f>
        <v>3700</v>
      </c>
      <c r="AJ64" s="525">
        <f>'04 - Veículos e Equipamentos'!AG70*('01 - Dados de Entrada'!$C$79)-SUM(AF64:AI64)</f>
        <v>0</v>
      </c>
      <c r="AK64" s="525">
        <f>'04 - Veículos e Equipamentos'!AH70*('01 - Dados de Entrada'!$C$79)-SUM(AG64:AJ64)</f>
        <v>0</v>
      </c>
      <c r="AL64" s="525">
        <f>'04 - Veículos e Equipamentos'!AI70*('01 - Dados de Entrada'!$C$79)-SUM(AH64:AK64)</f>
        <v>0</v>
      </c>
      <c r="AM64" s="525">
        <f>'04 - Veículos e Equipamentos'!AJ70*('01 - Dados de Entrada'!$C$79)-SUM(AI64:AL64)</f>
        <v>0</v>
      </c>
    </row>
    <row r="65" spans="1:44" s="8" customFormat="1" ht="13.15" customHeight="1" x14ac:dyDescent="0.2">
      <c r="A65" s="24" t="s">
        <v>165</v>
      </c>
      <c r="B65" s="24" t="s">
        <v>1091</v>
      </c>
      <c r="C65" s="166"/>
      <c r="D65" s="525">
        <f t="shared" si="35"/>
        <v>46198.600000000006</v>
      </c>
      <c r="E65" s="525">
        <f>'04 - Veículos e Equipamentos'!B71*('01 - Dados de Entrada'!$C$80)</f>
        <v>6599.8</v>
      </c>
      <c r="F65" s="525">
        <f>'04 - Veículos e Equipamentos'!C71*('01 - Dados de Entrada'!$C$80)-SUM(E65)</f>
        <v>0</v>
      </c>
      <c r="G65" s="525">
        <f>'04 - Veículos e Equipamentos'!D71*('01 - Dados de Entrada'!$C$80)-SUM(E65:F65)</f>
        <v>0</v>
      </c>
      <c r="H65" s="525">
        <f>'04 - Veículos e Equipamentos'!E71*('01 - Dados de Entrada'!$C$80)-SUM(E65:G65)</f>
        <v>0</v>
      </c>
      <c r="I65" s="525">
        <f>'04 - Veículos e Equipamentos'!F71*('01 - Dados de Entrada'!$C$80)-SUM(E65:H65)</f>
        <v>0</v>
      </c>
      <c r="J65" s="525">
        <f>'04 - Veículos e Equipamentos'!G71*('01 - Dados de Entrada'!$C$80)-SUM(F65:I65)</f>
        <v>6599.8</v>
      </c>
      <c r="K65" s="525">
        <f>'04 - Veículos e Equipamentos'!H71*('01 - Dados de Entrada'!$C$80)-SUM(G65:J65)</f>
        <v>0</v>
      </c>
      <c r="L65" s="525">
        <f>'04 - Veículos e Equipamentos'!I71*('01 - Dados de Entrada'!$C$80)-SUM(H65:K65)</f>
        <v>0</v>
      </c>
      <c r="M65" s="525">
        <f>'04 - Veículos e Equipamentos'!J71*('01 - Dados de Entrada'!$C$80)-SUM(I65:L65)</f>
        <v>0</v>
      </c>
      <c r="N65" s="525">
        <f>'04 - Veículos e Equipamentos'!K71*('01 - Dados de Entrada'!$C$80)-SUM(J65:M65)</f>
        <v>0</v>
      </c>
      <c r="O65" s="525">
        <f>'04 - Veículos e Equipamentos'!L71*('01 - Dados de Entrada'!$C$80)-SUM(K65:N65)</f>
        <v>6599.8</v>
      </c>
      <c r="P65" s="525">
        <f>'04 - Veículos e Equipamentos'!M71*('01 - Dados de Entrada'!$C$80)-SUM(L65:O65)</f>
        <v>0</v>
      </c>
      <c r="Q65" s="525">
        <f>'04 - Veículos e Equipamentos'!N71*('01 - Dados de Entrada'!$C$80)-SUM(M65:P65)</f>
        <v>0</v>
      </c>
      <c r="R65" s="525">
        <f>'04 - Veículos e Equipamentos'!O71*('01 - Dados de Entrada'!$C$80)-SUM(N65:Q65)</f>
        <v>0</v>
      </c>
      <c r="S65" s="525">
        <f>'04 - Veículos e Equipamentos'!P71*('01 - Dados de Entrada'!$C$80)-SUM(O65:R65)</f>
        <v>0</v>
      </c>
      <c r="T65" s="525">
        <f>'04 - Veículos e Equipamentos'!Q71*('01 - Dados de Entrada'!$C$80)-SUM(P65:S65)</f>
        <v>6599.8</v>
      </c>
      <c r="U65" s="525">
        <f>'04 - Veículos e Equipamentos'!R71*('01 - Dados de Entrada'!$C$80)-SUM(Q65:T65)</f>
        <v>0</v>
      </c>
      <c r="V65" s="525">
        <f>'04 - Veículos e Equipamentos'!S71*('01 - Dados de Entrada'!$C$80)-SUM(R65:U65)</f>
        <v>0</v>
      </c>
      <c r="W65" s="525">
        <f>'04 - Veículos e Equipamentos'!T71*('01 - Dados de Entrada'!$C$80)-SUM(S65:V65)</f>
        <v>0</v>
      </c>
      <c r="X65" s="525">
        <f>'04 - Veículos e Equipamentos'!U71*('01 - Dados de Entrada'!$C$80)-SUM(T65:W65)</f>
        <v>0</v>
      </c>
      <c r="Y65" s="525">
        <f>'04 - Veículos e Equipamentos'!V71*('01 - Dados de Entrada'!$C$80)-SUM(U65:X65)</f>
        <v>6599.8</v>
      </c>
      <c r="Z65" s="525">
        <f>'04 - Veículos e Equipamentos'!W71*('01 - Dados de Entrada'!$C$80)-SUM(V65:Y65)</f>
        <v>0</v>
      </c>
      <c r="AA65" s="525">
        <f>'04 - Veículos e Equipamentos'!X71*('01 - Dados de Entrada'!$C$80)-SUM(W65:Z65)</f>
        <v>0</v>
      </c>
      <c r="AB65" s="525">
        <f>'04 - Veículos e Equipamentos'!Y71*('01 - Dados de Entrada'!$C$80)-SUM(X65:AA65)</f>
        <v>0</v>
      </c>
      <c r="AC65" s="525">
        <f>'04 - Veículos e Equipamentos'!Z71*('01 - Dados de Entrada'!$C$80)-SUM(Y65:AB65)</f>
        <v>0</v>
      </c>
      <c r="AD65" s="525">
        <f>'04 - Veículos e Equipamentos'!AA71*('01 - Dados de Entrada'!$C$80)-SUM(Z65:AC65)</f>
        <v>6599.8</v>
      </c>
      <c r="AE65" s="525">
        <f>'04 - Veículos e Equipamentos'!AB71*('01 - Dados de Entrada'!$C$80)-SUM(AA65:AD65)</f>
        <v>0</v>
      </c>
      <c r="AF65" s="525">
        <f>'04 - Veículos e Equipamentos'!AC71*('01 - Dados de Entrada'!$C$80)-SUM(AB65:AE65)</f>
        <v>0</v>
      </c>
      <c r="AG65" s="525">
        <f>'04 - Veículos e Equipamentos'!AD71*('01 - Dados de Entrada'!$C$80)-SUM(AC65:AF65)</f>
        <v>0</v>
      </c>
      <c r="AH65" s="525">
        <f>'04 - Veículos e Equipamentos'!AE71*('01 - Dados de Entrada'!$C$80)-SUM(AD65:AG65)</f>
        <v>0</v>
      </c>
      <c r="AI65" s="525">
        <f>'04 - Veículos e Equipamentos'!AF71*('01 - Dados de Entrada'!$C$80)-SUM(AE65:AH65)</f>
        <v>6599.8</v>
      </c>
      <c r="AJ65" s="525">
        <f>'04 - Veículos e Equipamentos'!AG71*('01 - Dados de Entrada'!$C$80)-SUM(AF65:AI65)</f>
        <v>0</v>
      </c>
      <c r="AK65" s="525">
        <f>'04 - Veículos e Equipamentos'!AH71*('01 - Dados de Entrada'!$C$80)-SUM(AG65:AJ65)</f>
        <v>0</v>
      </c>
      <c r="AL65" s="525">
        <f>'04 - Veículos e Equipamentos'!AI71*('01 - Dados de Entrada'!$C$80)-SUM(AH65:AK65)</f>
        <v>0</v>
      </c>
      <c r="AM65" s="525">
        <f>'04 - Veículos e Equipamentos'!AJ71*('01 - Dados de Entrada'!$C$80)-SUM(AI65:AL65)</f>
        <v>0</v>
      </c>
    </row>
    <row r="66" spans="1:44" s="22" customFormat="1" ht="13.15" customHeight="1" x14ac:dyDescent="0.2">
      <c r="A66" s="24" t="s">
        <v>828</v>
      </c>
      <c r="B66" s="24" t="s">
        <v>1091</v>
      </c>
      <c r="C66" s="401"/>
      <c r="D66" s="525">
        <f t="shared" si="35"/>
        <v>23099.300000000003</v>
      </c>
      <c r="E66" s="525">
        <f>'04 - Veículos e Equipamentos'!B72*('01 - Dados de Entrada'!$C$80)</f>
        <v>3299.9</v>
      </c>
      <c r="F66" s="525">
        <f>'04 - Veículos e Equipamentos'!C72*('01 - Dados de Entrada'!$C$80)-SUM(E66)</f>
        <v>0</v>
      </c>
      <c r="G66" s="525">
        <f>'04 - Veículos e Equipamentos'!D72*('01 - Dados de Entrada'!$C$80)-SUM(E66:F66)</f>
        <v>0</v>
      </c>
      <c r="H66" s="525">
        <f>'04 - Veículos e Equipamentos'!E72*('01 - Dados de Entrada'!$C$80)-SUM(E66:G66)</f>
        <v>0</v>
      </c>
      <c r="I66" s="525">
        <f>'04 - Veículos e Equipamentos'!F72*('01 - Dados de Entrada'!$C$80)-SUM(E66:H66)</f>
        <v>0</v>
      </c>
      <c r="J66" s="525">
        <f>'04 - Veículos e Equipamentos'!G72*('01 - Dados de Entrada'!$C$80)-SUM(F66:I66)</f>
        <v>3299.9</v>
      </c>
      <c r="K66" s="525">
        <f>'04 - Veículos e Equipamentos'!H72*('01 - Dados de Entrada'!$C$80)-SUM(G66:J66)</f>
        <v>0</v>
      </c>
      <c r="L66" s="525">
        <f>'04 - Veículos e Equipamentos'!I72*('01 - Dados de Entrada'!$C$80)-SUM(H66:K66)</f>
        <v>0</v>
      </c>
      <c r="M66" s="525">
        <f>'04 - Veículos e Equipamentos'!J72*('01 - Dados de Entrada'!$C$80)-SUM(I66:L66)</f>
        <v>0</v>
      </c>
      <c r="N66" s="525">
        <f>'04 - Veículos e Equipamentos'!K72*('01 - Dados de Entrada'!$C$80)-SUM(J66:M66)</f>
        <v>0</v>
      </c>
      <c r="O66" s="525">
        <f>'04 - Veículos e Equipamentos'!L72*('01 - Dados de Entrada'!$C$80)-SUM(K66:N66)</f>
        <v>3299.9</v>
      </c>
      <c r="P66" s="525">
        <f>'04 - Veículos e Equipamentos'!M72*('01 - Dados de Entrada'!$C$80)-SUM(L66:O66)</f>
        <v>0</v>
      </c>
      <c r="Q66" s="525">
        <f>'04 - Veículos e Equipamentos'!N72*('01 - Dados de Entrada'!$C$80)-SUM(M66:P66)</f>
        <v>0</v>
      </c>
      <c r="R66" s="525">
        <f>'04 - Veículos e Equipamentos'!O72*('01 - Dados de Entrada'!$C$80)-SUM(N66:Q66)</f>
        <v>0</v>
      </c>
      <c r="S66" s="525">
        <f>'04 - Veículos e Equipamentos'!P72*('01 - Dados de Entrada'!$C$80)-SUM(O66:R66)</f>
        <v>0</v>
      </c>
      <c r="T66" s="525">
        <f>'04 - Veículos e Equipamentos'!Q72*('01 - Dados de Entrada'!$C$80)-SUM(P66:S66)</f>
        <v>3299.9</v>
      </c>
      <c r="U66" s="525">
        <f>'04 - Veículos e Equipamentos'!R72*('01 - Dados de Entrada'!$C$80)-SUM(Q66:T66)</f>
        <v>0</v>
      </c>
      <c r="V66" s="525">
        <f>'04 - Veículos e Equipamentos'!S72*('01 - Dados de Entrada'!$C$80)-SUM(R66:U66)</f>
        <v>0</v>
      </c>
      <c r="W66" s="525">
        <f>'04 - Veículos e Equipamentos'!T72*('01 - Dados de Entrada'!$C$80)-SUM(S66:V66)</f>
        <v>0</v>
      </c>
      <c r="X66" s="525">
        <f>'04 - Veículos e Equipamentos'!U72*('01 - Dados de Entrada'!$C$80)-SUM(T66:W66)</f>
        <v>0</v>
      </c>
      <c r="Y66" s="525">
        <f>'04 - Veículos e Equipamentos'!V72*('01 - Dados de Entrada'!$C$80)-SUM(U66:X66)</f>
        <v>3299.9</v>
      </c>
      <c r="Z66" s="525">
        <f>'04 - Veículos e Equipamentos'!W72*('01 - Dados de Entrada'!$C$80)-SUM(V66:Y66)</f>
        <v>0</v>
      </c>
      <c r="AA66" s="525">
        <f>'04 - Veículos e Equipamentos'!X72*('01 - Dados de Entrada'!$C$80)-SUM(W66:Z66)</f>
        <v>0</v>
      </c>
      <c r="AB66" s="525">
        <f>'04 - Veículos e Equipamentos'!Y72*('01 - Dados de Entrada'!$C$80)-SUM(X66:AA66)</f>
        <v>0</v>
      </c>
      <c r="AC66" s="525">
        <f>'04 - Veículos e Equipamentos'!Z72*('01 - Dados de Entrada'!$C$80)-SUM(Y66:AB66)</f>
        <v>0</v>
      </c>
      <c r="AD66" s="525">
        <f>'04 - Veículos e Equipamentos'!AA72*('01 - Dados de Entrada'!$C$80)-SUM(Z66:AC66)</f>
        <v>3299.9</v>
      </c>
      <c r="AE66" s="525">
        <f>'04 - Veículos e Equipamentos'!AB72*('01 - Dados de Entrada'!$C$80)-SUM(AA66:AD66)</f>
        <v>0</v>
      </c>
      <c r="AF66" s="525">
        <f>'04 - Veículos e Equipamentos'!AC72*('01 - Dados de Entrada'!$C$80)-SUM(AB66:AE66)</f>
        <v>0</v>
      </c>
      <c r="AG66" s="525">
        <f>'04 - Veículos e Equipamentos'!AD72*('01 - Dados de Entrada'!$C$80)-SUM(AC66:AF66)</f>
        <v>0</v>
      </c>
      <c r="AH66" s="525">
        <f>'04 - Veículos e Equipamentos'!AE72*('01 - Dados de Entrada'!$C$80)-SUM(AD66:AG66)</f>
        <v>0</v>
      </c>
      <c r="AI66" s="525">
        <f>'04 - Veículos e Equipamentos'!AF72*('01 - Dados de Entrada'!$C$80)-SUM(AE66:AH66)</f>
        <v>3299.9</v>
      </c>
      <c r="AJ66" s="525">
        <f>'04 - Veículos e Equipamentos'!AG72*('01 - Dados de Entrada'!$C$80)-SUM(AF66:AI66)</f>
        <v>0</v>
      </c>
      <c r="AK66" s="525">
        <f>'04 - Veículos e Equipamentos'!AH72*('01 - Dados de Entrada'!$C$80)-SUM(AG66:AJ66)</f>
        <v>0</v>
      </c>
      <c r="AL66" s="525">
        <f>'04 - Veículos e Equipamentos'!AI72*('01 - Dados de Entrada'!$C$80)-SUM(AH66:AK66)</f>
        <v>0</v>
      </c>
      <c r="AM66" s="525">
        <f>'04 - Veículos e Equipamentos'!AJ72*('01 - Dados de Entrada'!$C$80)-SUM(AI66:AL66)</f>
        <v>0</v>
      </c>
      <c r="AN66" s="527"/>
      <c r="AO66" s="527"/>
      <c r="AP66" s="527"/>
      <c r="AQ66" s="527"/>
      <c r="AR66" s="527"/>
    </row>
    <row r="67" spans="1:44" ht="13.15" customHeight="1" x14ac:dyDescent="0.2">
      <c r="A67" s="198" t="s">
        <v>885</v>
      </c>
      <c r="B67" s="198"/>
      <c r="C67" s="512" t="s">
        <v>1096</v>
      </c>
      <c r="D67" s="524">
        <f t="shared" si="2"/>
        <v>439992</v>
      </c>
      <c r="E67" s="524">
        <f>SUM(E68:E69)</f>
        <v>48302</v>
      </c>
      <c r="F67" s="524">
        <f t="shared" ref="F67:AM67" si="36">SUM(F68:F69)</f>
        <v>0</v>
      </c>
      <c r="G67" s="524">
        <f t="shared" si="36"/>
        <v>0</v>
      </c>
      <c r="H67" s="524">
        <f t="shared" si="36"/>
        <v>293</v>
      </c>
      <c r="I67" s="524">
        <f t="shared" si="36"/>
        <v>48302</v>
      </c>
      <c r="J67" s="524">
        <f t="shared" si="36"/>
        <v>0</v>
      </c>
      <c r="K67" s="524">
        <f t="shared" si="36"/>
        <v>293</v>
      </c>
      <c r="L67" s="524">
        <f t="shared" si="36"/>
        <v>293</v>
      </c>
      <c r="M67" s="524">
        <f t="shared" si="36"/>
        <v>48302</v>
      </c>
      <c r="N67" s="524">
        <f t="shared" si="36"/>
        <v>0</v>
      </c>
      <c r="O67" s="524">
        <f t="shared" si="36"/>
        <v>293</v>
      </c>
      <c r="P67" s="524">
        <f t="shared" si="36"/>
        <v>586</v>
      </c>
      <c r="Q67" s="524">
        <f t="shared" si="36"/>
        <v>48302</v>
      </c>
      <c r="R67" s="524">
        <f t="shared" si="36"/>
        <v>0</v>
      </c>
      <c r="S67" s="524">
        <f t="shared" si="36"/>
        <v>293</v>
      </c>
      <c r="T67" s="524">
        <f t="shared" si="36"/>
        <v>586</v>
      </c>
      <c r="U67" s="524">
        <f t="shared" si="36"/>
        <v>48302</v>
      </c>
      <c r="V67" s="524">
        <f t="shared" si="36"/>
        <v>0</v>
      </c>
      <c r="W67" s="524">
        <f t="shared" si="36"/>
        <v>293</v>
      </c>
      <c r="X67" s="524">
        <f t="shared" si="36"/>
        <v>586</v>
      </c>
      <c r="Y67" s="524">
        <f t="shared" si="36"/>
        <v>48302</v>
      </c>
      <c r="Z67" s="524">
        <f t="shared" si="36"/>
        <v>0</v>
      </c>
      <c r="AA67" s="524">
        <f t="shared" si="36"/>
        <v>293</v>
      </c>
      <c r="AB67" s="524">
        <f t="shared" si="36"/>
        <v>586</v>
      </c>
      <c r="AC67" s="524">
        <f t="shared" si="36"/>
        <v>48302</v>
      </c>
      <c r="AD67" s="524">
        <f t="shared" si="36"/>
        <v>0</v>
      </c>
      <c r="AE67" s="524">
        <f t="shared" si="36"/>
        <v>0</v>
      </c>
      <c r="AF67" s="524">
        <f t="shared" si="36"/>
        <v>586</v>
      </c>
      <c r="AG67" s="524">
        <f t="shared" si="36"/>
        <v>48302</v>
      </c>
      <c r="AH67" s="524">
        <f t="shared" si="36"/>
        <v>0</v>
      </c>
      <c r="AI67" s="524">
        <f t="shared" si="36"/>
        <v>0</v>
      </c>
      <c r="AJ67" s="524">
        <f t="shared" si="36"/>
        <v>586</v>
      </c>
      <c r="AK67" s="524">
        <f t="shared" si="36"/>
        <v>48009</v>
      </c>
      <c r="AL67" s="524">
        <f t="shared" si="36"/>
        <v>0</v>
      </c>
      <c r="AM67" s="524">
        <f t="shared" si="36"/>
        <v>0</v>
      </c>
      <c r="AN67" s="415"/>
      <c r="AO67" s="415"/>
      <c r="AP67" s="415"/>
      <c r="AQ67" s="415"/>
      <c r="AR67" s="415"/>
    </row>
    <row r="68" spans="1:44" s="8" customFormat="1" ht="13.15" customHeight="1" x14ac:dyDescent="0.2">
      <c r="A68" s="24" t="s">
        <v>819</v>
      </c>
      <c r="B68" s="24" t="s">
        <v>1086</v>
      </c>
      <c r="C68" s="166"/>
      <c r="D68" s="525">
        <f t="shared" si="2"/>
        <v>308142</v>
      </c>
      <c r="E68" s="525">
        <f>'04 - Veículos e Equipamentos'!B74*('01 - Dados de Entrada'!$C$57)</f>
        <v>34238</v>
      </c>
      <c r="F68" s="525">
        <f>'04 - Veículos e Equipamentos'!C74*('01 - Dados de Entrada'!$C$57)-SUM(E68)</f>
        <v>0</v>
      </c>
      <c r="G68" s="525">
        <f>'04 - Veículos e Equipamentos'!D74*('01 - Dados de Entrada'!$C$57)-SUM(E68:F68)</f>
        <v>0</v>
      </c>
      <c r="H68" s="525">
        <f>'04 - Veículos e Equipamentos'!E74*('01 - Dados de Entrada'!$C$57)-SUM(E68:G68)</f>
        <v>0</v>
      </c>
      <c r="I68" s="525">
        <f>'04 - Veículos e Equipamentos'!F74*('01 - Dados de Entrada'!$C$57)-SUM(F68:H68)</f>
        <v>34238</v>
      </c>
      <c r="J68" s="525">
        <f>'04 - Veículos e Equipamentos'!G74*('01 - Dados de Entrada'!$C$57)-SUM(G68:I68)</f>
        <v>0</v>
      </c>
      <c r="K68" s="525">
        <f>'04 - Veículos e Equipamentos'!H74*('01 - Dados de Entrada'!$C$57)-SUM(H68:J68)</f>
        <v>0</v>
      </c>
      <c r="L68" s="525">
        <f>'04 - Veículos e Equipamentos'!I74*('01 - Dados de Entrada'!$C$57)-SUM(I68:K68)</f>
        <v>0</v>
      </c>
      <c r="M68" s="525">
        <f>'04 - Veículos e Equipamentos'!J74*('01 - Dados de Entrada'!$C$57)-SUM(J68:L68)</f>
        <v>34238</v>
      </c>
      <c r="N68" s="525">
        <f>'04 - Veículos e Equipamentos'!K74*('01 - Dados de Entrada'!$C$57)-SUM(K68:M68)</f>
        <v>0</v>
      </c>
      <c r="O68" s="525">
        <f>'04 - Veículos e Equipamentos'!L74*('01 - Dados de Entrada'!$C$57)-SUM(L68:N68)</f>
        <v>0</v>
      </c>
      <c r="P68" s="525">
        <f>'04 - Veículos e Equipamentos'!M74*('01 - Dados de Entrada'!$C$57)-SUM(M68:O68)</f>
        <v>0</v>
      </c>
      <c r="Q68" s="525">
        <f>'04 - Veículos e Equipamentos'!N74*('01 - Dados de Entrada'!$C$57)-SUM(N68:P68)</f>
        <v>34238</v>
      </c>
      <c r="R68" s="525">
        <f>'04 - Veículos e Equipamentos'!O74*('01 - Dados de Entrada'!$C$57)-SUM(O68:Q68)</f>
        <v>0</v>
      </c>
      <c r="S68" s="525">
        <f>'04 - Veículos e Equipamentos'!P74*('01 - Dados de Entrada'!$C$57)-SUM(P68:R68)</f>
        <v>0</v>
      </c>
      <c r="T68" s="525">
        <f>'04 - Veículos e Equipamentos'!Q74*('01 - Dados de Entrada'!$C$57)-SUM(Q68:S68)</f>
        <v>0</v>
      </c>
      <c r="U68" s="525">
        <f>'04 - Veículos e Equipamentos'!R74*('01 - Dados de Entrada'!$C$57)-SUM(R68:T68)</f>
        <v>34238</v>
      </c>
      <c r="V68" s="525">
        <f>'04 - Veículos e Equipamentos'!S74*('01 - Dados de Entrada'!$C$57)-SUM(S68:U68)</f>
        <v>0</v>
      </c>
      <c r="W68" s="525">
        <f>'04 - Veículos e Equipamentos'!T74*('01 - Dados de Entrada'!$C$57)-SUM(T68:V68)</f>
        <v>0</v>
      </c>
      <c r="X68" s="525">
        <f>'04 - Veículos e Equipamentos'!U74*('01 - Dados de Entrada'!$C$57)-SUM(U68:W68)</f>
        <v>0</v>
      </c>
      <c r="Y68" s="525">
        <f>'04 - Veículos e Equipamentos'!V74*('01 - Dados de Entrada'!$C$57)-SUM(V68:X68)</f>
        <v>34238</v>
      </c>
      <c r="Z68" s="525">
        <f>'04 - Veículos e Equipamentos'!W74*('01 - Dados de Entrada'!$C$57)-SUM(W68:Y68)</f>
        <v>0</v>
      </c>
      <c r="AA68" s="525">
        <f>'04 - Veículos e Equipamentos'!X74*('01 - Dados de Entrada'!$C$57)-SUM(X68:Z68)</f>
        <v>0</v>
      </c>
      <c r="AB68" s="525">
        <f>'04 - Veículos e Equipamentos'!Y74*('01 - Dados de Entrada'!$C$57)-SUM(Y68:AA68)</f>
        <v>0</v>
      </c>
      <c r="AC68" s="525">
        <f>'04 - Veículos e Equipamentos'!Z74*('01 - Dados de Entrada'!$C$57)-SUM(Z68:AB68)</f>
        <v>34238</v>
      </c>
      <c r="AD68" s="525">
        <f>'04 - Veículos e Equipamentos'!AA74*('01 - Dados de Entrada'!$C$57)-SUM(AA68:AC68)</f>
        <v>0</v>
      </c>
      <c r="AE68" s="525">
        <f>'04 - Veículos e Equipamentos'!AB74*('01 - Dados de Entrada'!$C$57)-SUM(AB68:AD68)</f>
        <v>0</v>
      </c>
      <c r="AF68" s="525">
        <f>'04 - Veículos e Equipamentos'!AC74*('01 - Dados de Entrada'!$C$57)-SUM(AC68:AE68)</f>
        <v>0</v>
      </c>
      <c r="AG68" s="525">
        <f>'04 - Veículos e Equipamentos'!AD74*('01 - Dados de Entrada'!$C$57)-SUM(AD68:AF68)</f>
        <v>34238</v>
      </c>
      <c r="AH68" s="525">
        <f>'04 - Veículos e Equipamentos'!AE74*('01 - Dados de Entrada'!$C$57)-SUM(AE68:AG68)</f>
        <v>0</v>
      </c>
      <c r="AI68" s="525">
        <f>'04 - Veículos e Equipamentos'!AF74*('01 - Dados de Entrada'!$C$57)-SUM(AF68:AH68)</f>
        <v>0</v>
      </c>
      <c r="AJ68" s="525">
        <f>'04 - Veículos e Equipamentos'!AG74*('01 - Dados de Entrada'!$C$57)-SUM(AG68:AI68)</f>
        <v>0</v>
      </c>
      <c r="AK68" s="525">
        <f>'04 - Veículos e Equipamentos'!AH74*('01 - Dados de Entrada'!$C$57)-SUM(AH68:AJ68)</f>
        <v>34238</v>
      </c>
      <c r="AL68" s="525">
        <f>'04 - Veículos e Equipamentos'!AI74*('01 - Dados de Entrada'!$C$57)-SUM(AI68:AK68)</f>
        <v>0</v>
      </c>
      <c r="AM68" s="525">
        <f>'04 - Veículos e Equipamentos'!AJ74*('01 - Dados de Entrada'!$C$57)-SUM(AJ68:AL68)</f>
        <v>0</v>
      </c>
    </row>
    <row r="69" spans="1:44" s="8" customFormat="1" ht="13.15" customHeight="1" x14ac:dyDescent="0.2">
      <c r="A69" s="400" t="s">
        <v>157</v>
      </c>
      <c r="B69" s="400" t="s">
        <v>1091</v>
      </c>
      <c r="C69" s="166"/>
      <c r="D69" s="525">
        <f t="shared" si="2"/>
        <v>131850</v>
      </c>
      <c r="E69" s="525">
        <f>'04 - Veículos e Equipamentos'!B76*'01 - Dados de Entrada'!$C$76</f>
        <v>14064</v>
      </c>
      <c r="F69" s="525">
        <f>'04 - Veículos e Equipamentos'!C76*'01 - Dados de Entrada'!$C$76-SUM(E69)</f>
        <v>0</v>
      </c>
      <c r="G69" s="525">
        <f>'04 - Veículos e Equipamentos'!D76*'01 - Dados de Entrada'!$C$76-SUM(E69:F69)</f>
        <v>0</v>
      </c>
      <c r="H69" s="525">
        <f>'04 - Veículos e Equipamentos'!E76*'01 - Dados de Entrada'!$C$76-SUM(E69:G69)</f>
        <v>293</v>
      </c>
      <c r="I69" s="525">
        <f>'04 - Veículos e Equipamentos'!F76*'01 - Dados de Entrada'!$C$76-SUM(F69:H69)</f>
        <v>14064</v>
      </c>
      <c r="J69" s="525">
        <f>'04 - Veículos e Equipamentos'!G76*'01 - Dados de Entrada'!$C$76-SUM(G69:I69)</f>
        <v>0</v>
      </c>
      <c r="K69" s="525">
        <f>'04 - Veículos e Equipamentos'!H76*'01 - Dados de Entrada'!$C$76-SUM(H69:J69)</f>
        <v>293</v>
      </c>
      <c r="L69" s="525">
        <f>'04 - Veículos e Equipamentos'!I76*'01 - Dados de Entrada'!$C$76-SUM(I69:K69)</f>
        <v>293</v>
      </c>
      <c r="M69" s="525">
        <f>'04 - Veículos e Equipamentos'!J76*'01 - Dados de Entrada'!$C$76-SUM(J69:L69)</f>
        <v>14064</v>
      </c>
      <c r="N69" s="525">
        <f>'04 - Veículos e Equipamentos'!K76*'01 - Dados de Entrada'!$C$76-SUM(K69:M69)</f>
        <v>0</v>
      </c>
      <c r="O69" s="525">
        <f>'04 - Veículos e Equipamentos'!L76*'01 - Dados de Entrada'!$C$76-SUM(L69:N69)</f>
        <v>293</v>
      </c>
      <c r="P69" s="525">
        <f>'04 - Veículos e Equipamentos'!M76*'01 - Dados de Entrada'!$C$76-SUM(M69:O69)</f>
        <v>586</v>
      </c>
      <c r="Q69" s="525">
        <f>'04 - Veículos e Equipamentos'!N76*'01 - Dados de Entrada'!$C$76-SUM(N69:P69)</f>
        <v>14064</v>
      </c>
      <c r="R69" s="525">
        <f>'04 - Veículos e Equipamentos'!O76*'01 - Dados de Entrada'!$C$76-SUM(O69:Q69)</f>
        <v>0</v>
      </c>
      <c r="S69" s="525">
        <f>'04 - Veículos e Equipamentos'!P76*'01 - Dados de Entrada'!$C$76-SUM(P69:R69)</f>
        <v>293</v>
      </c>
      <c r="T69" s="525">
        <f>'04 - Veículos e Equipamentos'!Q76*'01 - Dados de Entrada'!$C$76-SUM(Q69:S69)</f>
        <v>586</v>
      </c>
      <c r="U69" s="525">
        <f>'04 - Veículos e Equipamentos'!R76*'01 - Dados de Entrada'!$C$76-SUM(R69:T69)</f>
        <v>14064</v>
      </c>
      <c r="V69" s="525">
        <f>'04 - Veículos e Equipamentos'!S76*'01 - Dados de Entrada'!$C$76-SUM(S69:U69)</f>
        <v>0</v>
      </c>
      <c r="W69" s="525">
        <f>'04 - Veículos e Equipamentos'!T76*'01 - Dados de Entrada'!$C$76-SUM(T69:V69)</f>
        <v>293</v>
      </c>
      <c r="X69" s="525">
        <f>'04 - Veículos e Equipamentos'!U76*'01 - Dados de Entrada'!$C$76-SUM(U69:W69)</f>
        <v>586</v>
      </c>
      <c r="Y69" s="525">
        <f>'04 - Veículos e Equipamentos'!V76*'01 - Dados de Entrada'!$C$76-SUM(V69:X69)</f>
        <v>14064</v>
      </c>
      <c r="Z69" s="525">
        <f>'04 - Veículos e Equipamentos'!W76*'01 - Dados de Entrada'!$C$76-SUM(W69:Y69)</f>
        <v>0</v>
      </c>
      <c r="AA69" s="525">
        <f>'04 - Veículos e Equipamentos'!X76*'01 - Dados de Entrada'!$C$76-SUM(X69:Z69)</f>
        <v>293</v>
      </c>
      <c r="AB69" s="525">
        <f>'04 - Veículos e Equipamentos'!Y76*'01 - Dados de Entrada'!$C$76-SUM(Y69:AA69)</f>
        <v>586</v>
      </c>
      <c r="AC69" s="525">
        <f>'04 - Veículos e Equipamentos'!Z76*'01 - Dados de Entrada'!$C$76-SUM(Z69:AB69)</f>
        <v>14064</v>
      </c>
      <c r="AD69" s="525">
        <f>'04 - Veículos e Equipamentos'!AA76*'01 - Dados de Entrada'!$C$76-SUM(AA69:AC69)</f>
        <v>0</v>
      </c>
      <c r="AE69" s="525">
        <f>'04 - Veículos e Equipamentos'!AB76*'01 - Dados de Entrada'!$C$76-SUM(AB69:AD69)</f>
        <v>0</v>
      </c>
      <c r="AF69" s="525">
        <f>'04 - Veículos e Equipamentos'!AC76*'01 - Dados de Entrada'!$C$76-SUM(AC69:AE69)</f>
        <v>586</v>
      </c>
      <c r="AG69" s="525">
        <f>'04 - Veículos e Equipamentos'!AD76*'01 - Dados de Entrada'!$C$76-SUM(AD69:AF69)</f>
        <v>14064</v>
      </c>
      <c r="AH69" s="525">
        <f>'04 - Veículos e Equipamentos'!AE76*'01 - Dados de Entrada'!$C$76-SUM(AE69:AG69)</f>
        <v>0</v>
      </c>
      <c r="AI69" s="525">
        <f>'04 - Veículos e Equipamentos'!AF76*'01 - Dados de Entrada'!$C$76-SUM(AF69:AH69)</f>
        <v>0</v>
      </c>
      <c r="AJ69" s="525">
        <f>'04 - Veículos e Equipamentos'!AG76*'01 - Dados de Entrada'!$C$76-SUM(AG69:AI69)</f>
        <v>586</v>
      </c>
      <c r="AK69" s="525">
        <f>'04 - Veículos e Equipamentos'!AH76*'01 - Dados de Entrada'!$C$76-SUM(AH69:AJ69)</f>
        <v>13771</v>
      </c>
      <c r="AL69" s="525">
        <f>'04 - Veículos e Equipamentos'!AI76*'01 - Dados de Entrada'!$C$76-SUM(AI69:AK69)</f>
        <v>0</v>
      </c>
      <c r="AM69" s="525">
        <f>'04 - Veículos e Equipamentos'!AJ76*'01 - Dados de Entrada'!$C$76-SUM(AJ69:AL69)</f>
        <v>0</v>
      </c>
    </row>
    <row r="70" spans="1:44" ht="13.15" customHeight="1" x14ac:dyDescent="0.2">
      <c r="A70" s="198" t="s">
        <v>1099</v>
      </c>
      <c r="B70" s="198"/>
      <c r="C70" s="512" t="s">
        <v>1096</v>
      </c>
      <c r="D70" s="524">
        <f xml:space="preserve"> SUM( $E70:$AM70 )</f>
        <v>645000</v>
      </c>
      <c r="E70" s="524">
        <f>SUM(E71:E74)</f>
        <v>615000</v>
      </c>
      <c r="F70" s="524">
        <f t="shared" ref="F70:K70" si="37">SUM(F71:F74)</f>
        <v>0</v>
      </c>
      <c r="G70" s="524">
        <f t="shared" si="37"/>
        <v>0</v>
      </c>
      <c r="H70" s="524">
        <f t="shared" si="37"/>
        <v>0</v>
      </c>
      <c r="I70" s="524">
        <f t="shared" si="37"/>
        <v>0</v>
      </c>
      <c r="J70" s="524">
        <f t="shared" si="37"/>
        <v>5000</v>
      </c>
      <c r="K70" s="524">
        <f t="shared" si="37"/>
        <v>0</v>
      </c>
      <c r="L70" s="524">
        <f t="shared" ref="L70" si="38">SUM(L71:L74)</f>
        <v>0</v>
      </c>
      <c r="M70" s="524">
        <f t="shared" ref="M70" si="39">SUM(M71:M74)</f>
        <v>0</v>
      </c>
      <c r="N70" s="524">
        <f t="shared" ref="N70" si="40">SUM(N71:N74)</f>
        <v>0</v>
      </c>
      <c r="O70" s="524">
        <f t="shared" ref="O70" si="41">SUM(O71:O74)</f>
        <v>5000</v>
      </c>
      <c r="P70" s="524">
        <f t="shared" ref="P70:Q70" si="42">SUM(P71:P74)</f>
        <v>0</v>
      </c>
      <c r="Q70" s="524">
        <f t="shared" si="42"/>
        <v>0</v>
      </c>
      <c r="R70" s="524">
        <f t="shared" ref="R70" si="43">SUM(R71:R74)</f>
        <v>0</v>
      </c>
      <c r="S70" s="524">
        <f t="shared" ref="S70" si="44">SUM(S71:S74)</f>
        <v>0</v>
      </c>
      <c r="T70" s="524">
        <f t="shared" ref="T70" si="45">SUM(T71:T74)</f>
        <v>5000</v>
      </c>
      <c r="U70" s="524">
        <f t="shared" ref="U70" si="46">SUM(U71:U74)</f>
        <v>0</v>
      </c>
      <c r="V70" s="524">
        <f t="shared" ref="V70:W70" si="47">SUM(V71:V74)</f>
        <v>0</v>
      </c>
      <c r="W70" s="524">
        <f t="shared" si="47"/>
        <v>0</v>
      </c>
      <c r="X70" s="524">
        <f t="shared" ref="X70" si="48">SUM(X71:X74)</f>
        <v>0</v>
      </c>
      <c r="Y70" s="524">
        <f t="shared" ref="Y70" si="49">SUM(Y71:Y74)</f>
        <v>5000</v>
      </c>
      <c r="Z70" s="524">
        <f t="shared" ref="Z70" si="50">SUM(Z71:Z74)</f>
        <v>0</v>
      </c>
      <c r="AA70" s="524">
        <f t="shared" ref="AA70" si="51">SUM(AA71:AA74)</f>
        <v>0</v>
      </c>
      <c r="AB70" s="524">
        <f t="shared" ref="AB70:AC70" si="52">SUM(AB71:AB74)</f>
        <v>0</v>
      </c>
      <c r="AC70" s="524">
        <f t="shared" si="52"/>
        <v>0</v>
      </c>
      <c r="AD70" s="524">
        <f t="shared" ref="AD70" si="53">SUM(AD71:AD74)</f>
        <v>5000</v>
      </c>
      <c r="AE70" s="524">
        <f t="shared" ref="AE70" si="54">SUM(AE71:AE74)</f>
        <v>0</v>
      </c>
      <c r="AF70" s="524">
        <f t="shared" ref="AF70" si="55">SUM(AF71:AF74)</f>
        <v>0</v>
      </c>
      <c r="AG70" s="524">
        <f t="shared" ref="AG70" si="56">SUM(AG71:AG74)</f>
        <v>0</v>
      </c>
      <c r="AH70" s="524">
        <f t="shared" ref="AH70:AI70" si="57">SUM(AH71:AH74)</f>
        <v>0</v>
      </c>
      <c r="AI70" s="524">
        <f t="shared" si="57"/>
        <v>5000</v>
      </c>
      <c r="AJ70" s="524">
        <f t="shared" ref="AJ70" si="58">SUM(AJ71:AJ74)</f>
        <v>0</v>
      </c>
      <c r="AK70" s="524">
        <f t="shared" ref="AK70" si="59">SUM(AK71:AK74)</f>
        <v>0</v>
      </c>
      <c r="AL70" s="524">
        <f t="shared" ref="AL70" si="60">SUM(AL71:AL74)</f>
        <v>0</v>
      </c>
      <c r="AM70" s="524">
        <f t="shared" ref="AM70" si="61">SUM(AM71:AM74)</f>
        <v>0</v>
      </c>
      <c r="AN70" s="415"/>
      <c r="AO70" s="415"/>
      <c r="AP70" s="415"/>
      <c r="AQ70" s="415"/>
      <c r="AR70" s="415"/>
    </row>
    <row r="71" spans="1:44" s="199" customFormat="1" ht="13.15" customHeight="1" x14ac:dyDescent="0.2">
      <c r="A71" s="24" t="s">
        <v>1100</v>
      </c>
      <c r="B71" s="24" t="s">
        <v>1101</v>
      </c>
      <c r="C71" s="166"/>
      <c r="D71" s="525">
        <f t="shared" si="2"/>
        <v>40000</v>
      </c>
      <c r="E71" s="525">
        <v>40000</v>
      </c>
      <c r="F71" s="525">
        <v>0</v>
      </c>
      <c r="G71" s="525">
        <v>0</v>
      </c>
      <c r="H71" s="525">
        <v>0</v>
      </c>
      <c r="I71" s="525">
        <v>0</v>
      </c>
      <c r="J71" s="525">
        <v>0</v>
      </c>
      <c r="K71" s="525">
        <v>0</v>
      </c>
      <c r="L71" s="525">
        <v>0</v>
      </c>
      <c r="M71" s="525">
        <v>0</v>
      </c>
      <c r="N71" s="525">
        <v>0</v>
      </c>
      <c r="O71" s="525">
        <v>0</v>
      </c>
      <c r="P71" s="525">
        <v>0</v>
      </c>
      <c r="Q71" s="525">
        <v>0</v>
      </c>
      <c r="R71" s="525">
        <v>0</v>
      </c>
      <c r="S71" s="525">
        <v>0</v>
      </c>
      <c r="T71" s="525">
        <v>0</v>
      </c>
      <c r="U71" s="525">
        <v>0</v>
      </c>
      <c r="V71" s="525">
        <v>0</v>
      </c>
      <c r="W71" s="525">
        <v>0</v>
      </c>
      <c r="X71" s="525">
        <v>0</v>
      </c>
      <c r="Y71" s="525">
        <v>0</v>
      </c>
      <c r="Z71" s="525">
        <v>0</v>
      </c>
      <c r="AA71" s="525">
        <v>0</v>
      </c>
      <c r="AB71" s="525">
        <v>0</v>
      </c>
      <c r="AC71" s="525">
        <v>0</v>
      </c>
      <c r="AD71" s="525">
        <v>0</v>
      </c>
      <c r="AE71" s="525">
        <v>0</v>
      </c>
      <c r="AF71" s="525">
        <v>0</v>
      </c>
      <c r="AG71" s="525">
        <v>0</v>
      </c>
      <c r="AH71" s="525">
        <v>0</v>
      </c>
      <c r="AI71" s="525">
        <v>0</v>
      </c>
      <c r="AJ71" s="525">
        <v>0</v>
      </c>
      <c r="AK71" s="525">
        <v>0</v>
      </c>
      <c r="AL71" s="525">
        <v>0</v>
      </c>
      <c r="AM71" s="525">
        <v>0</v>
      </c>
    </row>
    <row r="72" spans="1:44" s="199" customFormat="1" ht="13.15" customHeight="1" x14ac:dyDescent="0.2">
      <c r="A72" s="24" t="s">
        <v>1102</v>
      </c>
      <c r="B72" s="24" t="s">
        <v>1101</v>
      </c>
      <c r="C72" s="166"/>
      <c r="D72" s="525">
        <f t="shared" si="2"/>
        <v>70000</v>
      </c>
      <c r="E72" s="525">
        <v>70000</v>
      </c>
      <c r="F72" s="525">
        <v>0</v>
      </c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  <c r="AG72" s="525"/>
      <c r="AH72" s="525"/>
      <c r="AI72" s="525"/>
      <c r="AJ72" s="525"/>
      <c r="AK72" s="525"/>
      <c r="AL72" s="525"/>
      <c r="AM72" s="525"/>
    </row>
    <row r="73" spans="1:44" s="199" customFormat="1" ht="13.15" customHeight="1" x14ac:dyDescent="0.2">
      <c r="A73" s="611" t="s">
        <v>1103</v>
      </c>
      <c r="B73" s="24" t="s">
        <v>1101</v>
      </c>
      <c r="C73" s="610"/>
      <c r="D73" s="525">
        <f t="shared" si="2"/>
        <v>35000</v>
      </c>
      <c r="E73" s="525">
        <v>5000</v>
      </c>
      <c r="F73" s="525">
        <f>5000-SUM(E73)</f>
        <v>0</v>
      </c>
      <c r="G73" s="525">
        <f>5000-SUM(E73:F73)</f>
        <v>0</v>
      </c>
      <c r="H73" s="525">
        <f>5000-SUM(E73:G73)</f>
        <v>0</v>
      </c>
      <c r="I73" s="525">
        <f>5000-SUM(E73:H73)</f>
        <v>0</v>
      </c>
      <c r="J73" s="525">
        <f>5000-SUM(F73:I73)</f>
        <v>5000</v>
      </c>
      <c r="K73" s="525">
        <f t="shared" ref="K73:R73" si="62">5000-SUM(G73:J73)</f>
        <v>0</v>
      </c>
      <c r="L73" s="525">
        <f t="shared" si="62"/>
        <v>0</v>
      </c>
      <c r="M73" s="525">
        <f t="shared" si="62"/>
        <v>0</v>
      </c>
      <c r="N73" s="525">
        <f t="shared" si="62"/>
        <v>0</v>
      </c>
      <c r="O73" s="525">
        <f t="shared" si="62"/>
        <v>5000</v>
      </c>
      <c r="P73" s="525">
        <f t="shared" si="62"/>
        <v>0</v>
      </c>
      <c r="Q73" s="525">
        <f t="shared" si="62"/>
        <v>0</v>
      </c>
      <c r="R73" s="525">
        <f t="shared" si="62"/>
        <v>0</v>
      </c>
      <c r="S73" s="525">
        <f t="shared" ref="S73" si="63">5000-SUM(O73:R73)</f>
        <v>0</v>
      </c>
      <c r="T73" s="525">
        <f t="shared" ref="T73" si="64">5000-SUM(P73:S73)</f>
        <v>5000</v>
      </c>
      <c r="U73" s="525">
        <f t="shared" ref="U73" si="65">5000-SUM(Q73:T73)</f>
        <v>0</v>
      </c>
      <c r="V73" s="525">
        <f t="shared" ref="V73" si="66">5000-SUM(R73:U73)</f>
        <v>0</v>
      </c>
      <c r="W73" s="525">
        <f t="shared" ref="W73" si="67">5000-SUM(S73:V73)</f>
        <v>0</v>
      </c>
      <c r="X73" s="525">
        <f t="shared" ref="X73" si="68">5000-SUM(T73:W73)</f>
        <v>0</v>
      </c>
      <c r="Y73" s="525">
        <f t="shared" ref="Y73:Z73" si="69">5000-SUM(U73:X73)</f>
        <v>5000</v>
      </c>
      <c r="Z73" s="525">
        <f t="shared" si="69"/>
        <v>0</v>
      </c>
      <c r="AA73" s="525">
        <f t="shared" ref="AA73" si="70">5000-SUM(W73:Z73)</f>
        <v>0</v>
      </c>
      <c r="AB73" s="525">
        <f t="shared" ref="AB73" si="71">5000-SUM(X73:AA73)</f>
        <v>0</v>
      </c>
      <c r="AC73" s="525">
        <f>5000-SUM(Y73:AB73)</f>
        <v>0</v>
      </c>
      <c r="AD73" s="525">
        <f t="shared" ref="AD73" si="72">5000-SUM(Z73:AC73)</f>
        <v>5000</v>
      </c>
      <c r="AE73" s="525">
        <f t="shared" ref="AE73" si="73">5000-SUM(AA73:AD73)</f>
        <v>0</v>
      </c>
      <c r="AF73" s="525">
        <f t="shared" ref="AF73" si="74">5000-SUM(AB73:AE73)</f>
        <v>0</v>
      </c>
      <c r="AG73" s="525">
        <f t="shared" ref="AG73" si="75">5000-SUM(AC73:AF73)</f>
        <v>0</v>
      </c>
      <c r="AH73" s="525">
        <f>5000-SUM(AD73:AG73)</f>
        <v>0</v>
      </c>
      <c r="AI73" s="525">
        <f t="shared" ref="AI73" si="76">5000-SUM(AE73:AH73)</f>
        <v>5000</v>
      </c>
      <c r="AJ73" s="525">
        <f t="shared" ref="AJ73" si="77">5000-SUM(AF73:AI73)</f>
        <v>0</v>
      </c>
      <c r="AK73" s="525">
        <f t="shared" ref="AK73" si="78">5000-SUM(AG73:AJ73)</f>
        <v>0</v>
      </c>
      <c r="AL73" s="525">
        <f t="shared" ref="AL73" si="79">5000-SUM(AH73:AK73)</f>
        <v>0</v>
      </c>
      <c r="AM73" s="525">
        <f t="shared" ref="AM73" si="80">5000-SUM(AI73:AL73)</f>
        <v>0</v>
      </c>
    </row>
    <row r="74" spans="1:44" s="199" customFormat="1" ht="13.15" customHeight="1" x14ac:dyDescent="0.2">
      <c r="A74" s="404" t="s">
        <v>1104</v>
      </c>
      <c r="B74" s="404" t="s">
        <v>1101</v>
      </c>
      <c r="C74" s="166"/>
      <c r="D74" s="525">
        <f t="shared" si="2"/>
        <v>500000</v>
      </c>
      <c r="E74" s="525">
        <v>500000</v>
      </c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  <c r="AG74" s="525"/>
      <c r="AH74" s="525"/>
      <c r="AI74" s="525"/>
      <c r="AJ74" s="525"/>
      <c r="AK74" s="525"/>
      <c r="AL74" s="525"/>
      <c r="AM74" s="525"/>
    </row>
    <row r="75" spans="1:44" ht="13.15" customHeight="1" x14ac:dyDescent="0.2">
      <c r="A75" s="415"/>
      <c r="B75" s="415"/>
      <c r="C75" s="523"/>
      <c r="D75" s="530"/>
      <c r="E75" s="530"/>
      <c r="F75" s="530"/>
      <c r="G75" s="530"/>
      <c r="H75" s="530"/>
      <c r="I75" s="530"/>
      <c r="J75" s="530"/>
      <c r="K75" s="530"/>
      <c r="L75" s="530"/>
      <c r="M75" s="530"/>
      <c r="N75" s="530"/>
      <c r="O75" s="530"/>
      <c r="P75" s="530"/>
      <c r="Q75" s="530"/>
      <c r="R75" s="530"/>
      <c r="S75" s="530"/>
      <c r="T75" s="530"/>
      <c r="U75" s="530"/>
      <c r="V75" s="530"/>
      <c r="W75" s="530"/>
      <c r="X75" s="530"/>
      <c r="Y75" s="530"/>
      <c r="Z75" s="530"/>
      <c r="AA75" s="530"/>
      <c r="AB75" s="530"/>
      <c r="AC75" s="530"/>
      <c r="AD75" s="530"/>
      <c r="AE75" s="530"/>
      <c r="AF75" s="530"/>
      <c r="AG75" s="530"/>
      <c r="AH75" s="530"/>
      <c r="AI75" s="415"/>
      <c r="AJ75" s="415"/>
      <c r="AK75" s="415"/>
      <c r="AL75" s="415"/>
      <c r="AM75" s="415"/>
      <c r="AN75" s="415"/>
      <c r="AO75" s="415"/>
      <c r="AP75" s="415"/>
      <c r="AQ75" s="415"/>
      <c r="AR75" s="415"/>
    </row>
    <row r="76" spans="1:44" s="22" customFormat="1" ht="13.15" customHeight="1" x14ac:dyDescent="0.2">
      <c r="A76" s="323" t="s">
        <v>1105</v>
      </c>
      <c r="B76" s="323"/>
      <c r="C76" s="654"/>
      <c r="D76" s="525">
        <f xml:space="preserve"> SUM( $E76:$AM76 )</f>
        <v>16240567.360000003</v>
      </c>
      <c r="E76" s="525">
        <v>0</v>
      </c>
      <c r="F76" s="525">
        <v>0</v>
      </c>
      <c r="G76" s="525">
        <v>0</v>
      </c>
      <c r="H76" s="525">
        <v>0</v>
      </c>
      <c r="I76" s="525">
        <v>0</v>
      </c>
      <c r="J76" s="525">
        <f>(E6+E8+E10+E11+E12+E13+E16+E19+E20+E29+E30+E31+E32+E37+E45+E47+E68+E60)*20%</f>
        <v>2892269.1120000002</v>
      </c>
      <c r="K76" s="525">
        <f t="shared" ref="K76:AR76" si="81">(F6+F8+F10+F11+F12+F13+F16+F19+F20+F29+F30+F31+F32+F37+F45+F47+F68)*20%</f>
        <v>0</v>
      </c>
      <c r="L76" s="525">
        <f t="shared" si="81"/>
        <v>0</v>
      </c>
      <c r="M76" s="525">
        <f t="shared" si="81"/>
        <v>0</v>
      </c>
      <c r="N76" s="525">
        <f>(I6+I8+I10+I11+I12+I13+I16+I19+I20+I29+I30+I31+I32+I37+I45+I47+I68+I51+I60)*20%</f>
        <v>144669.20000000001</v>
      </c>
      <c r="O76" s="525">
        <f t="shared" si="81"/>
        <v>169523.80000000002</v>
      </c>
      <c r="P76" s="525">
        <f t="shared" si="81"/>
        <v>0</v>
      </c>
      <c r="Q76" s="525">
        <f t="shared" si="81"/>
        <v>2913523.7120000003</v>
      </c>
      <c r="R76" s="525">
        <f>(M6+M8+M10+M11+M12+M13+M16+M19+M20+M29+M30+M31+M32+M37+M45+M47+M68+M60+M51)*20%</f>
        <v>144669.20000000001</v>
      </c>
      <c r="S76" s="525">
        <f t="shared" si="81"/>
        <v>3423.8</v>
      </c>
      <c r="T76" s="525">
        <f t="shared" si="81"/>
        <v>0</v>
      </c>
      <c r="U76" s="525">
        <f t="shared" si="81"/>
        <v>0</v>
      </c>
      <c r="V76" s="525">
        <f>(Q6+Q8+Q10+Q11+Q12+Q13+Q16+Q19+Q20+Q29+Q30+Q31+Q32+Q37+Q45+Q47+Q68+Q51+Q60)*20%</f>
        <v>310769.2</v>
      </c>
      <c r="W76" s="525">
        <f t="shared" si="81"/>
        <v>3423.8</v>
      </c>
      <c r="X76" s="525">
        <f t="shared" si="81"/>
        <v>2913523.7120000003</v>
      </c>
      <c r="Y76" s="525">
        <f t="shared" si="81"/>
        <v>0</v>
      </c>
      <c r="Z76" s="525">
        <f>(U6+U8+U10+U11+U12+U13+U16+U19+U20+U29+U30+U31+U32+U37+U45+U47+U68+U51+U60)*20%</f>
        <v>144669.20000000001</v>
      </c>
      <c r="AA76" s="525">
        <f t="shared" si="81"/>
        <v>3423.8</v>
      </c>
      <c r="AB76" s="525">
        <f t="shared" si="81"/>
        <v>0</v>
      </c>
      <c r="AC76" s="525">
        <f t="shared" si="81"/>
        <v>166100</v>
      </c>
      <c r="AD76" s="525">
        <f>(Y6+Y8+Y10+Y11+Y12+Y13+Y16+Y19+Y20+Y29+Y30+Y31+Y32+Y37+Y45+Y47+Y68+Y51+Y60)*20%</f>
        <v>144669.20000000001</v>
      </c>
      <c r="AE76" s="525">
        <f t="shared" si="81"/>
        <v>2916947.5120000001</v>
      </c>
      <c r="AF76" s="525">
        <f t="shared" si="81"/>
        <v>0</v>
      </c>
      <c r="AG76" s="525">
        <f t="shared" si="81"/>
        <v>0</v>
      </c>
      <c r="AH76" s="525">
        <f>(AC6+AC8+AC10+AC11+AC12+AC13+AC16+AC19+AC20+AC29+AC30+AC31+AC32+AC37+AC45+AC47+AC68+AC51+AC60)*20%</f>
        <v>144669.20000000001</v>
      </c>
      <c r="AI76" s="525">
        <f t="shared" si="81"/>
        <v>3423.8</v>
      </c>
      <c r="AJ76" s="525">
        <f t="shared" si="81"/>
        <v>166100</v>
      </c>
      <c r="AK76" s="525">
        <f t="shared" si="81"/>
        <v>0</v>
      </c>
      <c r="AL76" s="525">
        <f t="shared" si="81"/>
        <v>3051345.3120000004</v>
      </c>
      <c r="AM76" s="525">
        <f t="shared" si="81"/>
        <v>3423.8</v>
      </c>
      <c r="AN76" s="525">
        <f t="shared" si="81"/>
        <v>0</v>
      </c>
      <c r="AO76" s="525">
        <f t="shared" si="81"/>
        <v>0</v>
      </c>
      <c r="AP76" s="525">
        <f t="shared" si="81"/>
        <v>137821.6</v>
      </c>
      <c r="AQ76" s="525">
        <f t="shared" si="81"/>
        <v>169523.80000000002</v>
      </c>
      <c r="AR76" s="525">
        <f t="shared" si="81"/>
        <v>0</v>
      </c>
    </row>
    <row r="77" spans="1:44" ht="13.15" customHeight="1" x14ac:dyDescent="0.2">
      <c r="A77" s="415"/>
      <c r="B77" s="415"/>
      <c r="C77" s="523"/>
      <c r="D77" s="530"/>
      <c r="E77" s="530"/>
      <c r="F77" s="530"/>
      <c r="G77" s="530"/>
      <c r="H77" s="530"/>
      <c r="I77" s="530"/>
      <c r="J77" s="530"/>
      <c r="K77" s="530"/>
      <c r="L77" s="530"/>
      <c r="M77" s="530"/>
      <c r="N77" s="530"/>
      <c r="O77" s="530"/>
      <c r="P77" s="530"/>
      <c r="Q77" s="530"/>
      <c r="R77" s="530"/>
      <c r="S77" s="530"/>
      <c r="T77" s="530"/>
      <c r="U77" s="530"/>
      <c r="V77" s="530"/>
      <c r="W77" s="530"/>
      <c r="X77" s="530"/>
      <c r="Y77" s="530"/>
      <c r="Z77" s="530"/>
      <c r="AA77" s="530"/>
      <c r="AB77" s="530"/>
      <c r="AC77" s="530"/>
      <c r="AD77" s="530"/>
      <c r="AE77" s="530"/>
      <c r="AF77" s="530"/>
      <c r="AG77" s="530"/>
      <c r="AH77" s="530"/>
      <c r="AI77" s="415"/>
      <c r="AJ77" s="415"/>
      <c r="AK77" s="415"/>
      <c r="AL77" s="415"/>
      <c r="AM77" s="415"/>
      <c r="AN77" s="415"/>
      <c r="AO77" s="415"/>
      <c r="AP77" s="415"/>
      <c r="AQ77" s="415"/>
      <c r="AR77" s="415"/>
    </row>
    <row r="78" spans="1:44" ht="13.15" customHeight="1" x14ac:dyDescent="0.2">
      <c r="A78" s="415"/>
      <c r="B78" s="415"/>
      <c r="C78" s="523"/>
      <c r="D78" s="530"/>
      <c r="E78" s="530"/>
      <c r="F78" s="530"/>
      <c r="G78" s="530"/>
      <c r="H78" s="530"/>
      <c r="I78" s="530"/>
      <c r="J78" s="530"/>
      <c r="K78" s="530"/>
      <c r="L78" s="530"/>
      <c r="M78" s="530"/>
      <c r="N78" s="530"/>
      <c r="O78" s="530"/>
      <c r="P78" s="530"/>
      <c r="Q78" s="530"/>
      <c r="R78" s="530"/>
      <c r="S78" s="530"/>
      <c r="T78" s="530"/>
      <c r="U78" s="530"/>
      <c r="V78" s="530"/>
      <c r="W78" s="530"/>
      <c r="X78" s="530"/>
      <c r="Y78" s="530"/>
      <c r="Z78" s="530"/>
      <c r="AA78" s="530"/>
      <c r="AB78" s="530"/>
      <c r="AC78" s="530"/>
      <c r="AD78" s="530"/>
      <c r="AE78" s="530"/>
      <c r="AF78" s="530"/>
      <c r="AG78" s="530"/>
      <c r="AH78" s="530"/>
      <c r="AI78" s="415"/>
      <c r="AJ78" s="415"/>
      <c r="AK78" s="415"/>
      <c r="AL78" s="415"/>
      <c r="AM78" s="415"/>
      <c r="AN78" s="415"/>
      <c r="AO78" s="415"/>
      <c r="AP78" s="415"/>
      <c r="AQ78" s="415"/>
      <c r="AR78" s="415"/>
    </row>
    <row r="79" spans="1:44" ht="13.15" customHeight="1" x14ac:dyDescent="0.2">
      <c r="A79" s="415" t="s">
        <v>1106</v>
      </c>
      <c r="B79" s="415"/>
      <c r="C79" s="523"/>
      <c r="D79" s="415"/>
      <c r="E79" s="414"/>
      <c r="F79" s="414"/>
      <c r="G79" s="414"/>
      <c r="H79" s="414"/>
      <c r="I79" s="414"/>
      <c r="J79" s="414"/>
      <c r="K79" s="414"/>
      <c r="L79" s="414"/>
      <c r="M79" s="414"/>
      <c r="N79" s="414"/>
      <c r="O79" s="414"/>
      <c r="P79" s="414"/>
      <c r="Q79" s="414"/>
      <c r="R79" s="414"/>
      <c r="S79" s="414"/>
      <c r="T79" s="414"/>
      <c r="U79" s="414"/>
      <c r="V79" s="414"/>
      <c r="W79" s="414"/>
      <c r="X79" s="414"/>
      <c r="Y79" s="414"/>
      <c r="Z79" s="414"/>
      <c r="AA79" s="414"/>
      <c r="AB79" s="414"/>
      <c r="AC79" s="414"/>
      <c r="AD79" s="414"/>
      <c r="AE79" s="414"/>
      <c r="AF79" s="414"/>
      <c r="AG79" s="414"/>
      <c r="AH79" s="414"/>
      <c r="AI79" s="415"/>
      <c r="AJ79" s="415"/>
      <c r="AK79" s="415"/>
      <c r="AL79" s="415"/>
      <c r="AM79" s="415"/>
      <c r="AN79" s="415"/>
      <c r="AO79" s="415"/>
      <c r="AP79" s="415"/>
      <c r="AQ79" s="415"/>
      <c r="AR79" s="415"/>
    </row>
    <row r="80" spans="1:44" ht="28.5" customHeight="1" x14ac:dyDescent="0.2">
      <c r="A80" s="531" t="s">
        <v>1107</v>
      </c>
      <c r="B80" s="531"/>
      <c r="C80" s="532"/>
      <c r="D80" s="415"/>
      <c r="E80" s="414"/>
      <c r="F80" s="414"/>
      <c r="G80" s="414"/>
      <c r="H80" s="414"/>
      <c r="I80" s="414"/>
      <c r="J80" s="414"/>
      <c r="K80" s="414"/>
      <c r="L80" s="414"/>
      <c r="M80" s="414"/>
      <c r="N80" s="414"/>
      <c r="O80" s="414"/>
      <c r="P80" s="414"/>
      <c r="Q80" s="414"/>
      <c r="R80" s="414"/>
      <c r="S80" s="414"/>
      <c r="T80" s="414"/>
      <c r="U80" s="414"/>
      <c r="V80" s="414"/>
      <c r="W80" s="414"/>
      <c r="X80" s="414"/>
      <c r="Y80" s="414"/>
      <c r="Z80" s="414"/>
      <c r="AA80" s="414"/>
      <c r="AB80" s="414"/>
      <c r="AC80" s="414"/>
      <c r="AD80" s="414"/>
      <c r="AE80" s="414"/>
      <c r="AF80" s="414"/>
      <c r="AG80" s="414"/>
      <c r="AH80" s="414"/>
      <c r="AI80" s="415"/>
      <c r="AJ80" s="415"/>
      <c r="AK80" s="415"/>
      <c r="AL80" s="415"/>
      <c r="AM80" s="415"/>
      <c r="AN80" s="415"/>
      <c r="AO80" s="415"/>
      <c r="AP80" s="415"/>
      <c r="AQ80" s="415"/>
      <c r="AR80" s="415"/>
    </row>
    <row r="81" spans="1:37" ht="13.15" customHeight="1" x14ac:dyDescent="0.2">
      <c r="A81" s="415"/>
      <c r="B81" s="415"/>
      <c r="C81" s="523"/>
      <c r="D81" s="415"/>
      <c r="E81" s="414"/>
      <c r="F81" s="414"/>
      <c r="G81" s="414"/>
      <c r="H81" s="414"/>
      <c r="I81" s="414"/>
      <c r="J81" s="414"/>
      <c r="K81" s="414"/>
      <c r="L81" s="414"/>
      <c r="M81" s="414"/>
      <c r="N81" s="414"/>
      <c r="O81" s="414"/>
      <c r="P81" s="414"/>
      <c r="Q81" s="414"/>
      <c r="R81" s="414"/>
      <c r="S81" s="414"/>
      <c r="T81" s="414"/>
      <c r="U81" s="414"/>
      <c r="V81" s="414"/>
      <c r="W81" s="414"/>
      <c r="X81" s="414"/>
      <c r="Y81" s="414"/>
      <c r="Z81" s="414"/>
      <c r="AA81" s="414"/>
      <c r="AB81" s="414"/>
      <c r="AC81" s="414"/>
      <c r="AD81" s="414"/>
      <c r="AE81" s="414"/>
      <c r="AF81" s="414"/>
      <c r="AG81" s="414"/>
      <c r="AH81" s="414"/>
      <c r="AI81" s="415"/>
      <c r="AJ81" s="415"/>
      <c r="AK81" s="415"/>
    </row>
    <row r="82" spans="1:37" ht="25.15" customHeight="1" x14ac:dyDescent="0.2">
      <c r="A82" s="531" t="s">
        <v>1108</v>
      </c>
      <c r="B82" s="531"/>
      <c r="C82" s="532"/>
      <c r="D82" s="415"/>
      <c r="E82" s="415"/>
      <c r="F82" s="415"/>
      <c r="G82" s="415"/>
      <c r="H82" s="415"/>
      <c r="I82" s="415"/>
      <c r="J82" s="415"/>
      <c r="K82" s="415"/>
      <c r="L82" s="415"/>
      <c r="M82" s="415"/>
      <c r="N82" s="415"/>
      <c r="O82" s="415"/>
      <c r="P82" s="415"/>
      <c r="Q82" s="415"/>
      <c r="R82" s="415"/>
      <c r="S82" s="415"/>
      <c r="T82" s="415"/>
      <c r="U82" s="415"/>
      <c r="V82" s="415"/>
      <c r="W82" s="415"/>
      <c r="X82" s="415"/>
      <c r="Y82" s="415"/>
      <c r="Z82" s="415"/>
      <c r="AA82" s="415"/>
      <c r="AB82" s="415"/>
      <c r="AC82" s="415"/>
      <c r="AD82" s="415"/>
      <c r="AE82" s="415"/>
      <c r="AF82" s="415"/>
      <c r="AG82" s="415"/>
      <c r="AH82" s="415"/>
      <c r="AI82" s="415"/>
      <c r="AJ82" s="415"/>
      <c r="AK82" s="415"/>
    </row>
    <row r="83" spans="1:37" ht="13.15" customHeight="1" x14ac:dyDescent="0.2">
      <c r="A83" s="415"/>
      <c r="B83" s="415"/>
      <c r="C83" s="523"/>
      <c r="D83" s="415"/>
      <c r="E83" s="414"/>
      <c r="F83" s="414"/>
      <c r="G83" s="414"/>
      <c r="H83" s="414"/>
      <c r="I83" s="414"/>
      <c r="J83" s="414"/>
      <c r="K83" s="414"/>
      <c r="L83" s="414"/>
      <c r="M83" s="414"/>
      <c r="N83" s="414"/>
      <c r="O83" s="414"/>
      <c r="P83" s="414"/>
      <c r="Q83" s="414"/>
      <c r="R83" s="414"/>
      <c r="S83" s="414"/>
      <c r="T83" s="414"/>
      <c r="U83" s="414"/>
      <c r="V83" s="414"/>
      <c r="W83" s="414"/>
      <c r="X83" s="414"/>
      <c r="Y83" s="414"/>
      <c r="Z83" s="414"/>
      <c r="AA83" s="414"/>
      <c r="AB83" s="414"/>
      <c r="AC83" s="414"/>
      <c r="AD83" s="414"/>
      <c r="AE83" s="414"/>
      <c r="AF83" s="414"/>
      <c r="AG83" s="414"/>
      <c r="AH83" s="414"/>
      <c r="AI83" s="415"/>
      <c r="AJ83" s="415"/>
      <c r="AK83" s="415"/>
    </row>
    <row r="84" spans="1:37" ht="13.15" customHeight="1" x14ac:dyDescent="0.2">
      <c r="A84" s="415"/>
      <c r="B84" s="415"/>
      <c r="C84" s="523"/>
      <c r="D84" s="415"/>
      <c r="E84" s="414"/>
      <c r="F84" s="414"/>
      <c r="G84" s="414"/>
      <c r="H84" s="414"/>
      <c r="I84" s="414"/>
      <c r="J84" s="414"/>
      <c r="K84" s="414"/>
      <c r="L84" s="414"/>
      <c r="M84" s="414"/>
      <c r="N84" s="414"/>
      <c r="O84" s="414"/>
      <c r="P84" s="414"/>
      <c r="Q84" s="414"/>
      <c r="R84" s="414"/>
      <c r="S84" s="414"/>
      <c r="T84" s="414"/>
      <c r="U84" s="414"/>
      <c r="V84" s="414"/>
      <c r="W84" s="414"/>
      <c r="X84" s="414"/>
      <c r="Y84" s="414"/>
      <c r="Z84" s="414"/>
      <c r="AA84" s="414"/>
      <c r="AB84" s="414"/>
      <c r="AC84" s="414"/>
      <c r="AD84" s="414"/>
      <c r="AE84" s="414"/>
      <c r="AF84" s="414"/>
      <c r="AG84" s="414"/>
      <c r="AH84" s="414"/>
      <c r="AI84" s="415"/>
      <c r="AJ84" s="415"/>
      <c r="AK84" s="415"/>
    </row>
    <row r="85" spans="1:37" ht="13.15" customHeight="1" x14ac:dyDescent="0.2">
      <c r="A85" s="415"/>
      <c r="B85" s="415"/>
      <c r="C85" s="523"/>
      <c r="D85" s="415"/>
      <c r="E85" s="414"/>
      <c r="F85" s="414"/>
      <c r="G85" s="414"/>
      <c r="H85" s="414"/>
      <c r="I85" s="414"/>
      <c r="J85" s="414"/>
      <c r="K85" s="414"/>
      <c r="L85" s="414"/>
      <c r="M85" s="414"/>
      <c r="N85" s="414"/>
      <c r="O85" s="414"/>
      <c r="P85" s="414"/>
      <c r="Q85" s="414"/>
      <c r="R85" s="414"/>
      <c r="S85" s="414"/>
      <c r="T85" s="414"/>
      <c r="U85" s="414"/>
      <c r="V85" s="414"/>
      <c r="W85" s="414"/>
      <c r="X85" s="414"/>
      <c r="Y85" s="414"/>
      <c r="Z85" s="414"/>
      <c r="AA85" s="414"/>
      <c r="AB85" s="414"/>
      <c r="AC85" s="414"/>
      <c r="AD85" s="414"/>
      <c r="AE85" s="414"/>
      <c r="AF85" s="414"/>
      <c r="AG85" s="414"/>
      <c r="AH85" s="414"/>
      <c r="AI85" s="415"/>
      <c r="AJ85" s="415"/>
      <c r="AK85" s="415"/>
    </row>
    <row r="86" spans="1:37" ht="13.15" customHeight="1" x14ac:dyDescent="0.2">
      <c r="A86" s="415"/>
      <c r="B86" s="415"/>
      <c r="C86" s="523"/>
      <c r="D86" s="415"/>
      <c r="E86" s="414"/>
      <c r="F86" s="414"/>
      <c r="G86" s="414"/>
      <c r="H86" s="414"/>
      <c r="I86" s="414"/>
      <c r="J86" s="414"/>
      <c r="K86" s="414"/>
      <c r="L86" s="414"/>
      <c r="M86" s="414"/>
      <c r="N86" s="414"/>
      <c r="O86" s="414"/>
      <c r="P86" s="414"/>
      <c r="Q86" s="414"/>
      <c r="R86" s="414"/>
      <c r="S86" s="414"/>
      <c r="T86" s="414"/>
      <c r="U86" s="414"/>
      <c r="V86" s="414"/>
      <c r="W86" s="414"/>
      <c r="X86" s="414"/>
      <c r="Y86" s="414"/>
      <c r="Z86" s="414"/>
      <c r="AA86" s="414"/>
      <c r="AB86" s="414"/>
      <c r="AC86" s="414"/>
      <c r="AD86" s="414"/>
      <c r="AE86" s="414"/>
      <c r="AF86" s="414"/>
      <c r="AG86" s="414"/>
      <c r="AH86" s="414"/>
      <c r="AI86" s="415"/>
      <c r="AJ86" s="415"/>
      <c r="AK86" s="415"/>
    </row>
    <row r="87" spans="1:37" ht="13.15" customHeight="1" x14ac:dyDescent="0.2">
      <c r="A87" s="415"/>
      <c r="B87" s="415"/>
      <c r="C87" s="523"/>
      <c r="D87" s="504" t="s">
        <v>1006</v>
      </c>
      <c r="E87" s="504" t="s">
        <v>1007</v>
      </c>
      <c r="F87" s="504" t="s">
        <v>1008</v>
      </c>
      <c r="G87" s="504" t="s">
        <v>1009</v>
      </c>
      <c r="H87" s="504" t="s">
        <v>1010</v>
      </c>
      <c r="I87" s="504" t="s">
        <v>1011</v>
      </c>
      <c r="J87" s="504" t="s">
        <v>1012</v>
      </c>
      <c r="K87" s="504" t="s">
        <v>1013</v>
      </c>
      <c r="L87" s="504" t="s">
        <v>1014</v>
      </c>
      <c r="M87" s="504" t="s">
        <v>1015</v>
      </c>
      <c r="N87" s="504" t="s">
        <v>1016</v>
      </c>
      <c r="O87" s="504" t="s">
        <v>1017</v>
      </c>
      <c r="P87" s="504" t="s">
        <v>1018</v>
      </c>
      <c r="Q87" s="504" t="s">
        <v>1019</v>
      </c>
      <c r="R87" s="504" t="s">
        <v>1020</v>
      </c>
      <c r="S87" s="504" t="s">
        <v>1021</v>
      </c>
      <c r="T87" s="504" t="s">
        <v>1022</v>
      </c>
      <c r="U87" s="504" t="s">
        <v>1023</v>
      </c>
      <c r="V87" s="504" t="s">
        <v>1024</v>
      </c>
      <c r="W87" s="504" t="s">
        <v>1025</v>
      </c>
      <c r="X87" s="504" t="s">
        <v>1026</v>
      </c>
      <c r="Y87" s="504" t="s">
        <v>1027</v>
      </c>
      <c r="Z87" s="504" t="s">
        <v>1028</v>
      </c>
      <c r="AA87" s="504" t="s">
        <v>1029</v>
      </c>
      <c r="AB87" s="504" t="s">
        <v>1030</v>
      </c>
      <c r="AC87" s="504" t="s">
        <v>1031</v>
      </c>
      <c r="AD87" s="504" t="s">
        <v>1032</v>
      </c>
      <c r="AE87" s="504" t="s">
        <v>1033</v>
      </c>
      <c r="AF87" s="504" t="s">
        <v>1034</v>
      </c>
      <c r="AG87" s="504" t="s">
        <v>1035</v>
      </c>
      <c r="AH87" s="504" t="s">
        <v>1036</v>
      </c>
      <c r="AI87" s="504" t="s">
        <v>1037</v>
      </c>
      <c r="AJ87" s="504" t="s">
        <v>1038</v>
      </c>
      <c r="AK87" s="504" t="s">
        <v>1039</v>
      </c>
    </row>
    <row r="88" spans="1:37" ht="13.15" customHeight="1" x14ac:dyDescent="0.2">
      <c r="A88" s="415"/>
      <c r="B88" s="415"/>
      <c r="C88" s="512" t="s">
        <v>1084</v>
      </c>
      <c r="D88" s="533">
        <f t="shared" ref="D88:AK88" si="82">SUMIF($C$5:$C$72,$C$88,F5:F72)/1000</f>
        <v>87.962963333333335</v>
      </c>
      <c r="E88" s="533">
        <f t="shared" si="82"/>
        <v>728.73829666666677</v>
      </c>
      <c r="F88" s="533">
        <f t="shared" si="82"/>
        <v>0</v>
      </c>
      <c r="G88" s="533">
        <f t="shared" si="82"/>
        <v>873.06696333333343</v>
      </c>
      <c r="H88" s="533">
        <f t="shared" si="82"/>
        <v>1517.6869199999999</v>
      </c>
      <c r="I88" s="533">
        <f t="shared" si="82"/>
        <v>87.962963333333335</v>
      </c>
      <c r="J88" s="533">
        <f t="shared" si="82"/>
        <v>17352.237296666666</v>
      </c>
      <c r="K88" s="533">
        <f t="shared" si="82"/>
        <v>235.86799999999999</v>
      </c>
      <c r="L88" s="533">
        <f t="shared" si="82"/>
        <v>654.31796333333341</v>
      </c>
      <c r="M88" s="533">
        <f t="shared" si="82"/>
        <v>1496.8206319999999</v>
      </c>
      <c r="N88" s="533">
        <f t="shared" si="82"/>
        <v>87.962963333333335</v>
      </c>
      <c r="O88" s="533">
        <f t="shared" si="82"/>
        <v>1795.1062966666668</v>
      </c>
      <c r="P88" s="533">
        <f t="shared" si="82"/>
        <v>17.119</v>
      </c>
      <c r="Q88" s="533">
        <f t="shared" si="82"/>
        <v>17260.697963333336</v>
      </c>
      <c r="R88" s="533">
        <f t="shared" si="82"/>
        <v>670.06791999999996</v>
      </c>
      <c r="S88" s="533">
        <f t="shared" si="82"/>
        <v>323.83096333333333</v>
      </c>
      <c r="T88" s="533">
        <f t="shared" si="82"/>
        <v>745.85729666666691</v>
      </c>
      <c r="U88" s="533">
        <f t="shared" si="82"/>
        <v>0</v>
      </c>
      <c r="V88" s="533">
        <f t="shared" si="82"/>
        <v>1467.6989633333333</v>
      </c>
      <c r="W88" s="533">
        <f t="shared" si="82"/>
        <v>1732.6886319999999</v>
      </c>
      <c r="X88" s="533">
        <f t="shared" si="82"/>
        <v>16728.580963333334</v>
      </c>
      <c r="Y88" s="533">
        <f t="shared" si="82"/>
        <v>728.73829666666688</v>
      </c>
      <c r="Z88" s="533">
        <f t="shared" si="82"/>
        <v>0</v>
      </c>
      <c r="AA88" s="533">
        <f t="shared" si="82"/>
        <v>873.06696333333343</v>
      </c>
      <c r="AB88" s="533">
        <f t="shared" si="82"/>
        <v>687.18691999999987</v>
      </c>
      <c r="AC88" s="533">
        <f t="shared" si="82"/>
        <v>918.46296333333339</v>
      </c>
      <c r="AD88" s="533">
        <f t="shared" si="82"/>
        <v>728.73829666666688</v>
      </c>
      <c r="AE88" s="533">
        <f t="shared" si="82"/>
        <v>16859.366999999998</v>
      </c>
      <c r="AF88" s="533">
        <f t="shared" si="82"/>
        <v>654.31796333333341</v>
      </c>
      <c r="AG88" s="533">
        <f t="shared" si="82"/>
        <v>1496.8206319999999</v>
      </c>
      <c r="AH88" s="533">
        <f t="shared" si="82"/>
        <v>87.962963333333335</v>
      </c>
      <c r="AI88" s="533">
        <f t="shared" si="82"/>
        <v>964.60629666666682</v>
      </c>
      <c r="AJ88" s="533">
        <f t="shared" si="82"/>
        <v>847.61900000000003</v>
      </c>
      <c r="AK88" s="533">
        <f t="shared" si="82"/>
        <v>637.19896333333338</v>
      </c>
    </row>
    <row r="89" spans="1:37" ht="13.15" customHeight="1" x14ac:dyDescent="0.2">
      <c r="A89" s="415"/>
      <c r="B89" s="415"/>
      <c r="C89" s="512" t="s">
        <v>1096</v>
      </c>
      <c r="D89" s="533">
        <f t="shared" ref="D89:AK89" si="83">SUMIF($C$5:$C$72,$C$89,F5:F72)/1000</f>
        <v>116.315</v>
      </c>
      <c r="E89" s="533">
        <f t="shared" si="83"/>
        <v>116.315</v>
      </c>
      <c r="F89" s="533">
        <f t="shared" si="83"/>
        <v>0.29299999999999998</v>
      </c>
      <c r="G89" s="533">
        <f t="shared" si="83"/>
        <v>501.54199999999997</v>
      </c>
      <c r="H89" s="533">
        <f t="shared" si="83"/>
        <v>619.8302666666666</v>
      </c>
      <c r="I89" s="533">
        <f t="shared" si="83"/>
        <v>116.608</v>
      </c>
      <c r="J89" s="533">
        <f t="shared" si="83"/>
        <v>5376.8576700000003</v>
      </c>
      <c r="K89" s="533">
        <f t="shared" si="83"/>
        <v>501.54199999999997</v>
      </c>
      <c r="L89" s="533">
        <f t="shared" si="83"/>
        <v>0</v>
      </c>
      <c r="M89" s="533">
        <f t="shared" si="83"/>
        <v>620.12326666666661</v>
      </c>
      <c r="N89" s="533">
        <f t="shared" si="83"/>
        <v>116.901</v>
      </c>
      <c r="O89" s="533">
        <f t="shared" si="83"/>
        <v>617.85699999999997</v>
      </c>
      <c r="P89" s="533">
        <f t="shared" si="83"/>
        <v>0</v>
      </c>
      <c r="Q89" s="533">
        <f t="shared" si="83"/>
        <v>4896.16867</v>
      </c>
      <c r="R89" s="533">
        <f t="shared" si="83"/>
        <v>620.41626666666662</v>
      </c>
      <c r="S89" s="533">
        <f t="shared" si="83"/>
        <v>617.85699999999997</v>
      </c>
      <c r="T89" s="533">
        <f t="shared" si="83"/>
        <v>116.315</v>
      </c>
      <c r="U89" s="533">
        <f t="shared" si="83"/>
        <v>0.29299999999999998</v>
      </c>
      <c r="V89" s="533">
        <f t="shared" si="83"/>
        <v>0.58599999999999997</v>
      </c>
      <c r="W89" s="533">
        <f t="shared" si="83"/>
        <v>1121.3722666666665</v>
      </c>
      <c r="X89" s="533">
        <f t="shared" si="83"/>
        <v>5012.19067</v>
      </c>
      <c r="Y89" s="533">
        <f t="shared" si="83"/>
        <v>116.608</v>
      </c>
      <c r="Z89" s="533">
        <f t="shared" si="83"/>
        <v>0.58599999999999997</v>
      </c>
      <c r="AA89" s="533">
        <f t="shared" si="83"/>
        <v>501.54199999999997</v>
      </c>
      <c r="AB89" s="533">
        <f t="shared" si="83"/>
        <v>619.8302666666666</v>
      </c>
      <c r="AC89" s="533">
        <f t="shared" si="83"/>
        <v>116.315</v>
      </c>
      <c r="AD89" s="533">
        <f t="shared" si="83"/>
        <v>116.901</v>
      </c>
      <c r="AE89" s="533">
        <f t="shared" si="83"/>
        <v>5397.4176699999998</v>
      </c>
      <c r="AF89" s="533">
        <f t="shared" si="83"/>
        <v>0</v>
      </c>
      <c r="AG89" s="533">
        <f t="shared" si="83"/>
        <v>619.8302666666666</v>
      </c>
      <c r="AH89" s="533">
        <f t="shared" si="83"/>
        <v>116.901</v>
      </c>
      <c r="AI89" s="533">
        <f t="shared" si="83"/>
        <v>617.56399999999996</v>
      </c>
      <c r="AJ89" s="533">
        <f t="shared" si="83"/>
        <v>0</v>
      </c>
      <c r="AK89" s="533">
        <f t="shared" si="83"/>
        <v>0</v>
      </c>
    </row>
    <row r="90" spans="1:37" ht="13.15" customHeight="1" x14ac:dyDescent="0.2">
      <c r="A90" s="415"/>
      <c r="B90" s="415"/>
      <c r="C90" s="523"/>
      <c r="D90" s="415"/>
      <c r="E90" s="414"/>
      <c r="F90" s="414"/>
      <c r="G90" s="414"/>
      <c r="H90" s="414"/>
      <c r="I90" s="414"/>
      <c r="J90" s="414"/>
      <c r="K90" s="414"/>
      <c r="L90" s="414"/>
      <c r="M90" s="414"/>
      <c r="N90" s="414"/>
      <c r="O90" s="414"/>
      <c r="P90" s="414"/>
      <c r="Q90" s="414"/>
      <c r="R90" s="414"/>
      <c r="S90" s="414"/>
      <c r="T90" s="414"/>
      <c r="U90" s="414"/>
      <c r="V90" s="414"/>
      <c r="W90" s="414"/>
      <c r="X90" s="414"/>
      <c r="Y90" s="414"/>
      <c r="Z90" s="414"/>
      <c r="AA90" s="414"/>
      <c r="AB90" s="414"/>
      <c r="AC90" s="414"/>
      <c r="AD90" s="414"/>
      <c r="AE90" s="414"/>
      <c r="AF90" s="414"/>
      <c r="AG90" s="414"/>
      <c r="AH90" s="414"/>
      <c r="AI90" s="415"/>
      <c r="AJ90" s="415"/>
      <c r="AK90" s="415"/>
    </row>
    <row r="91" spans="1:37" ht="13.15" customHeight="1" x14ac:dyDescent="0.2">
      <c r="A91" s="415"/>
      <c r="B91" s="415"/>
      <c r="C91" s="523"/>
      <c r="D91" s="415"/>
      <c r="E91" s="414"/>
      <c r="F91" s="414"/>
      <c r="G91" s="414"/>
      <c r="H91" s="414"/>
      <c r="I91" s="414"/>
      <c r="J91" s="414"/>
      <c r="K91" s="414"/>
      <c r="L91" s="414"/>
      <c r="M91" s="414"/>
      <c r="N91" s="414"/>
      <c r="O91" s="414"/>
      <c r="P91" s="414"/>
      <c r="Q91" s="414"/>
      <c r="R91" s="414"/>
      <c r="S91" s="414"/>
      <c r="T91" s="414"/>
      <c r="U91" s="414"/>
      <c r="V91" s="414"/>
      <c r="W91" s="414"/>
      <c r="X91" s="414"/>
      <c r="Y91" s="414"/>
      <c r="Z91" s="414"/>
      <c r="AA91" s="414"/>
      <c r="AB91" s="414"/>
      <c r="AC91" s="414"/>
      <c r="AD91" s="414"/>
      <c r="AE91" s="414"/>
      <c r="AF91" s="414"/>
      <c r="AG91" s="414"/>
      <c r="AH91" s="414"/>
      <c r="AI91" s="415"/>
      <c r="AJ91" s="415"/>
      <c r="AK91" s="415"/>
    </row>
    <row r="92" spans="1:37" ht="15" customHeight="1" x14ac:dyDescent="0.2">
      <c r="A92" s="415"/>
      <c r="B92" s="415"/>
      <c r="C92" s="523"/>
      <c r="D92" s="415"/>
      <c r="E92" s="414"/>
      <c r="F92" s="414"/>
      <c r="G92" s="414"/>
      <c r="H92" s="414"/>
      <c r="I92" s="414"/>
      <c r="J92" s="414"/>
      <c r="K92" s="414"/>
      <c r="L92" s="414"/>
      <c r="M92" s="414"/>
      <c r="N92" s="414"/>
      <c r="O92" s="414"/>
      <c r="P92" s="414"/>
      <c r="Q92" s="414"/>
      <c r="R92" s="414"/>
      <c r="S92" s="414"/>
      <c r="T92" s="414"/>
      <c r="U92" s="414"/>
      <c r="V92" s="414"/>
      <c r="W92" s="414"/>
      <c r="X92" s="414"/>
      <c r="Y92" s="414"/>
      <c r="Z92" s="414"/>
      <c r="AA92" s="414"/>
      <c r="AB92" s="414"/>
      <c r="AC92" s="414"/>
      <c r="AD92" s="414"/>
      <c r="AE92" s="414"/>
      <c r="AF92" s="414"/>
      <c r="AG92" s="414"/>
      <c r="AH92" s="414"/>
      <c r="AI92" s="415"/>
      <c r="AJ92" s="415"/>
      <c r="AK92" s="415"/>
    </row>
    <row r="93" spans="1:37" ht="15" customHeight="1" x14ac:dyDescent="0.2">
      <c r="A93" s="415"/>
      <c r="B93" s="415"/>
      <c r="C93" s="523"/>
      <c r="D93" s="415"/>
      <c r="E93" s="414"/>
      <c r="F93" s="414"/>
      <c r="G93" s="414"/>
      <c r="H93" s="414"/>
      <c r="I93" s="414"/>
      <c r="J93" s="414"/>
      <c r="K93" s="414"/>
      <c r="L93" s="414"/>
      <c r="M93" s="414"/>
      <c r="N93" s="414"/>
      <c r="O93" s="414"/>
      <c r="P93" s="414"/>
      <c r="Q93" s="414"/>
      <c r="R93" s="414"/>
      <c r="S93" s="414"/>
      <c r="T93" s="414"/>
      <c r="U93" s="414"/>
      <c r="V93" s="414"/>
      <c r="W93" s="414"/>
      <c r="X93" s="414"/>
      <c r="Y93" s="414"/>
      <c r="Z93" s="414"/>
      <c r="AA93" s="414"/>
      <c r="AB93" s="414"/>
      <c r="AC93" s="414"/>
      <c r="AD93" s="414"/>
      <c r="AE93" s="414"/>
      <c r="AF93" s="414"/>
      <c r="AG93" s="414"/>
      <c r="AH93" s="414"/>
      <c r="AI93" s="415"/>
      <c r="AJ93" s="415"/>
      <c r="AK93" s="415"/>
    </row>
    <row r="94" spans="1:37" ht="15" customHeight="1" x14ac:dyDescent="0.2">
      <c r="A94" s="415"/>
      <c r="B94" s="415"/>
      <c r="C94" s="523"/>
      <c r="D94" s="415"/>
      <c r="E94" s="414"/>
      <c r="F94" s="414"/>
      <c r="G94" s="414"/>
      <c r="H94" s="414"/>
      <c r="I94" s="414"/>
      <c r="J94" s="414"/>
      <c r="K94" s="414"/>
      <c r="L94" s="414"/>
      <c r="M94" s="414"/>
      <c r="N94" s="414"/>
      <c r="O94" s="414"/>
      <c r="P94" s="414"/>
      <c r="Q94" s="414"/>
      <c r="R94" s="414"/>
      <c r="S94" s="414"/>
      <c r="T94" s="414"/>
      <c r="U94" s="414"/>
      <c r="V94" s="414"/>
      <c r="W94" s="414"/>
      <c r="X94" s="414"/>
      <c r="Y94" s="414"/>
      <c r="Z94" s="414"/>
      <c r="AA94" s="414"/>
      <c r="AB94" s="414"/>
      <c r="AC94" s="414"/>
      <c r="AD94" s="414"/>
      <c r="AE94" s="414"/>
      <c r="AF94" s="414"/>
      <c r="AG94" s="414"/>
      <c r="AH94" s="414"/>
      <c r="AI94" s="415"/>
      <c r="AJ94" s="415"/>
      <c r="AK94" s="415"/>
    </row>
    <row r="95" spans="1:37" ht="15" customHeight="1" x14ac:dyDescent="0.2">
      <c r="A95" s="415"/>
      <c r="B95" s="415"/>
      <c r="C95" s="523"/>
      <c r="D95" s="415"/>
      <c r="E95" s="414"/>
      <c r="F95" s="414"/>
      <c r="G95" s="414"/>
      <c r="H95" s="414"/>
      <c r="I95" s="414"/>
      <c r="J95" s="414"/>
      <c r="K95" s="414"/>
      <c r="L95" s="414"/>
      <c r="M95" s="414"/>
      <c r="N95" s="414"/>
      <c r="O95" s="414"/>
      <c r="P95" s="414"/>
      <c r="Q95" s="414"/>
      <c r="R95" s="414"/>
      <c r="S95" s="414"/>
      <c r="T95" s="414"/>
      <c r="U95" s="414"/>
      <c r="V95" s="414"/>
      <c r="W95" s="414"/>
      <c r="X95" s="414"/>
      <c r="Y95" s="414"/>
      <c r="Z95" s="414"/>
      <c r="AA95" s="414"/>
      <c r="AB95" s="414"/>
      <c r="AC95" s="414"/>
      <c r="AD95" s="414"/>
      <c r="AE95" s="414"/>
      <c r="AF95" s="414"/>
      <c r="AG95" s="414"/>
      <c r="AH95" s="414"/>
      <c r="AI95" s="415"/>
      <c r="AJ95" s="415"/>
      <c r="AK95" s="415"/>
    </row>
    <row r="96" spans="1:37" ht="15" customHeight="1" x14ac:dyDescent="0.2">
      <c r="A96" s="415"/>
      <c r="B96" s="415"/>
      <c r="C96" s="523"/>
      <c r="D96" s="415"/>
      <c r="E96" s="414"/>
      <c r="F96" s="414"/>
      <c r="G96" s="414"/>
      <c r="H96" s="414"/>
      <c r="I96" s="414"/>
      <c r="J96" s="414"/>
      <c r="K96" s="414"/>
      <c r="L96" s="414"/>
      <c r="M96" s="414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  <c r="Y96" s="414"/>
      <c r="Z96" s="414"/>
      <c r="AA96" s="414"/>
      <c r="AB96" s="414"/>
      <c r="AC96" s="414"/>
      <c r="AD96" s="414"/>
      <c r="AE96" s="414"/>
      <c r="AF96" s="414"/>
      <c r="AG96" s="414"/>
      <c r="AH96" s="414"/>
      <c r="AI96" s="415"/>
      <c r="AJ96" s="415"/>
      <c r="AK96" s="415"/>
    </row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</sheetData>
  <conditionalFormatting sqref="E3:AM3 E8:AM9 E11:AM11 E14:AM14 E71:AM71 D87:AK87">
    <cfRule type="cellIs" dxfId="2" priority="25" stopIfTrue="1" operator="equal">
      <formula>"N"</formula>
    </cfRule>
  </conditionalFormatting>
  <conditionalFormatting sqref="E16:AM16">
    <cfRule type="cellIs" dxfId="1" priority="2" stopIfTrue="1" operator="equal">
      <formula>"N"</formula>
    </cfRule>
  </conditionalFormatting>
  <conditionalFormatting sqref="E21:AM21">
    <cfRule type="cellIs" dxfId="0" priority="1" stopIfTrue="1" operator="equal">
      <formula>"N"</formula>
    </cfRule>
  </conditionalFormatting>
  <pageMargins left="0.51181102362204722" right="0.51181102362204722" top="0.78740157480314965" bottom="0.78740157480314965" header="0.31496062992125984" footer="0.31496062992125984"/>
  <pageSetup paperSize="9" scale="20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15"/>
  <dimension ref="A1:D24"/>
  <sheetViews>
    <sheetView showGridLines="0" zoomScale="85" zoomScaleNormal="85" zoomScaleSheetLayoutView="112" workbookViewId="0">
      <selection activeCell="B4" sqref="B4"/>
    </sheetView>
  </sheetViews>
  <sheetFormatPr defaultColWidth="8.7109375" defaultRowHeight="13.15" customHeight="1" x14ac:dyDescent="0.2"/>
  <cols>
    <col min="1" max="1" width="54.28515625" customWidth="1"/>
    <col min="2" max="2" width="20" style="118" bestFit="1" customWidth="1"/>
    <col min="3" max="6" width="17.28515625" bestFit="1" customWidth="1"/>
    <col min="7" max="7" width="19.42578125" customWidth="1"/>
  </cols>
  <sheetData>
    <row r="1" spans="1:4" ht="13.15" customHeight="1" x14ac:dyDescent="0.2">
      <c r="A1" s="603" t="s">
        <v>1109</v>
      </c>
      <c r="B1" s="604" t="s">
        <v>1110</v>
      </c>
    </row>
    <row r="2" spans="1:4" ht="13.15" customHeight="1" x14ac:dyDescent="0.2">
      <c r="A2" s="280" t="str">
        <f>'14 - Investimentos'!A5</f>
        <v>Coleta Convencional</v>
      </c>
      <c r="B2" s="607">
        <f>'14 - Investimentos'!D5</f>
        <v>54632657.000000022</v>
      </c>
    </row>
    <row r="3" spans="1:4" ht="13.15" customHeight="1" x14ac:dyDescent="0.2">
      <c r="A3" s="280" t="str">
        <f>'14 - Investimentos'!A15</f>
        <v xml:space="preserve">Coleta Seletiva </v>
      </c>
      <c r="B3" s="607">
        <f>'14 - Investimentos'!D15</f>
        <v>46882108.666666657</v>
      </c>
    </row>
    <row r="4" spans="1:4" ht="13.15" customHeight="1" x14ac:dyDescent="0.2">
      <c r="A4" s="280" t="str">
        <f>'14 - Investimentos'!A22</f>
        <v>Ponto de Entrega Voluntário PEV e Ecoponto</v>
      </c>
      <c r="B4" s="607">
        <f>'14 - Investimentos'!D22</f>
        <v>5551169.3626666646</v>
      </c>
    </row>
    <row r="5" spans="1:4" ht="13.15" customHeight="1" x14ac:dyDescent="0.2">
      <c r="A5" s="280" t="str">
        <f>'14 - Investimentos'!A28</f>
        <v>Serviços de Apoio</v>
      </c>
      <c r="B5" s="607">
        <f>'14 - Investimentos'!D28</f>
        <v>3616947</v>
      </c>
    </row>
    <row r="6" spans="1:4" ht="13.15" customHeight="1" x14ac:dyDescent="0.2">
      <c r="A6" s="472" t="s">
        <v>944</v>
      </c>
      <c r="B6" s="607">
        <f>'14 - Investimentos'!D33</f>
        <v>6786000</v>
      </c>
    </row>
    <row r="7" spans="1:4" ht="13.15" customHeight="1" x14ac:dyDescent="0.2">
      <c r="A7" s="280" t="str">
        <f>'14 - Investimentos'!A36</f>
        <v>Serviços Gerais de Limpeza</v>
      </c>
      <c r="B7" s="607">
        <f>'14 - Investimentos'!D36</f>
        <v>13910445.216666665</v>
      </c>
    </row>
    <row r="8" spans="1:4" ht="13.15" customHeight="1" x14ac:dyDescent="0.2">
      <c r="A8" s="280" t="str">
        <f>'14 - Investimentos'!A48</f>
        <v>Roçada de áreas públicas</v>
      </c>
      <c r="B8" s="607">
        <f>'14 - Investimentos'!D48</f>
        <v>5126784.3000000007</v>
      </c>
    </row>
    <row r="9" spans="1:4" ht="13.15" customHeight="1" x14ac:dyDescent="0.2">
      <c r="A9" s="280" t="str">
        <f>'14 - Investimentos'!A58</f>
        <v>Serviços de poda</v>
      </c>
      <c r="B9" s="607">
        <f>'14 - Investimentos'!D58</f>
        <v>5779331.7000000002</v>
      </c>
    </row>
    <row r="10" spans="1:4" ht="13.15" customHeight="1" x14ac:dyDescent="0.2">
      <c r="A10" s="280" t="str">
        <f>'14 - Investimentos'!A67</f>
        <v>Varrição Manual</v>
      </c>
      <c r="B10" s="607">
        <f>'14 - Investimentos'!D67</f>
        <v>439992</v>
      </c>
    </row>
    <row r="11" spans="1:4" ht="13.15" customHeight="1" x14ac:dyDescent="0.2">
      <c r="A11" s="280" t="str">
        <f>'14 - Investimentos'!A70</f>
        <v>Estudos e Projetos</v>
      </c>
      <c r="B11" s="607">
        <f>'14 - Investimentos'!D70</f>
        <v>645000</v>
      </c>
    </row>
    <row r="12" spans="1:4" ht="13.15" customHeight="1" x14ac:dyDescent="0.2">
      <c r="A12" s="606" t="s">
        <v>1111</v>
      </c>
      <c r="B12" s="608">
        <f>SUM(B2:B11)</f>
        <v>143370435.24600002</v>
      </c>
      <c r="D12" s="247"/>
    </row>
    <row r="14" spans="1:4" ht="13.15" customHeight="1" x14ac:dyDescent="0.2">
      <c r="A14" s="603" t="s">
        <v>1112</v>
      </c>
      <c r="B14" s="604" t="s">
        <v>1110</v>
      </c>
    </row>
    <row r="15" spans="1:4" ht="13.15" customHeight="1" x14ac:dyDescent="0.2">
      <c r="A15" s="150" t="s">
        <v>1113</v>
      </c>
      <c r="B15" s="609">
        <f>'17 - Custos'!C8+'17 - Custos'!C14</f>
        <v>611429304.71329558</v>
      </c>
    </row>
    <row r="16" spans="1:4" ht="13.15" customHeight="1" x14ac:dyDescent="0.2">
      <c r="A16" s="150" t="s">
        <v>1114</v>
      </c>
      <c r="B16" s="609">
        <f>'17 - Custos'!C9+'17 - Custos'!C10+'17 - Custos'!C11+'17 - Custos'!C13+'17 - Custos'!C15</f>
        <v>290624016.86851346</v>
      </c>
    </row>
    <row r="17" spans="1:2" ht="13.15" customHeight="1" x14ac:dyDescent="0.2">
      <c r="A17" s="150" t="s">
        <v>1115</v>
      </c>
      <c r="B17" s="609">
        <f>'17 - Custos'!C16+'17 - Custos'!C17+'17 - Custos'!C19</f>
        <v>6967241.2066666633</v>
      </c>
    </row>
    <row r="18" spans="1:2" ht="13.15" customHeight="1" x14ac:dyDescent="0.2">
      <c r="A18" t="str">
        <f>'17 - Custos'!B22</f>
        <v>Embalagem plástica para coleta seletiva de materiais recicláveis</v>
      </c>
      <c r="B18" s="609">
        <f>'17 - Custos'!C22</f>
        <v>88723897.193208918</v>
      </c>
    </row>
    <row r="19" spans="1:2" ht="13.15" customHeight="1" x14ac:dyDescent="0.2">
      <c r="A19" s="150" t="s">
        <v>1116</v>
      </c>
      <c r="B19" s="609">
        <f>'17 - Custos'!C12</f>
        <v>328305235.38045418</v>
      </c>
    </row>
    <row r="20" spans="1:2" ht="13.15" customHeight="1" x14ac:dyDescent="0.2">
      <c r="A20" s="150" t="s">
        <v>172</v>
      </c>
      <c r="B20" s="609">
        <f>'17 - Custos'!C18</f>
        <v>2427600</v>
      </c>
    </row>
    <row r="21" spans="1:2" ht="13.15" customHeight="1" x14ac:dyDescent="0.2">
      <c r="A21" s="150" t="str">
        <f>'17 - Custos'!B20</f>
        <v>Despesas administrativas gerais</v>
      </c>
      <c r="B21" s="609">
        <f>'17 - Custos'!C20</f>
        <v>23267218.60000002</v>
      </c>
    </row>
    <row r="22" spans="1:2" ht="13.15" customHeight="1" x14ac:dyDescent="0.2">
      <c r="A22" s="150" t="str">
        <f>'17 - Custos'!B21</f>
        <v>Custos de Regulação</v>
      </c>
      <c r="B22" s="609">
        <f>'17 - Custos'!C21</f>
        <v>560582.20897681708</v>
      </c>
    </row>
    <row r="23" spans="1:2" ht="13.15" customHeight="1" x14ac:dyDescent="0.2">
      <c r="A23" s="150" t="str">
        <f>'17 - Custos'!B23</f>
        <v>Relação com usuário e cobrança</v>
      </c>
      <c r="B23" s="609">
        <f>'17 - Custos'!C23</f>
        <v>72464199.346406713</v>
      </c>
    </row>
    <row r="24" spans="1:2" ht="13.15" customHeight="1" x14ac:dyDescent="0.2">
      <c r="A24" s="605" t="str">
        <f>'17 - Custos'!B24</f>
        <v>Total de Despesas Operacionais e Administrativas</v>
      </c>
      <c r="B24" s="608">
        <f>SUM(B15:B23)</f>
        <v>1424769295.5175221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22"/>
  <dimension ref="A1:AH189"/>
  <sheetViews>
    <sheetView showGridLines="0" zoomScale="80" zoomScaleNormal="80" workbookViewId="0">
      <selection activeCell="B4" sqref="B4"/>
    </sheetView>
  </sheetViews>
  <sheetFormatPr defaultRowHeight="13.15" customHeight="1" outlineLevelRow="1" x14ac:dyDescent="0.2"/>
  <cols>
    <col min="1" max="1" width="17.42578125" bestFit="1" customWidth="1"/>
    <col min="2" max="2" width="13.28515625" bestFit="1" customWidth="1"/>
    <col min="3" max="3" width="13.42578125" bestFit="1" customWidth="1"/>
    <col min="4" max="4" width="13" bestFit="1" customWidth="1"/>
    <col min="5" max="9" width="12" bestFit="1" customWidth="1"/>
    <col min="10" max="11" width="10.28515625" bestFit="1" customWidth="1"/>
    <col min="12" max="16" width="12" bestFit="1" customWidth="1"/>
    <col min="17" max="18" width="10.28515625" bestFit="1" customWidth="1"/>
    <col min="19" max="23" width="12" bestFit="1" customWidth="1"/>
    <col min="24" max="25" width="10.28515625" bestFit="1" customWidth="1"/>
    <col min="26" max="30" width="12" bestFit="1" customWidth="1"/>
    <col min="31" max="32" width="10.28515625" bestFit="1" customWidth="1"/>
    <col min="33" max="34" width="12" bestFit="1" customWidth="1"/>
  </cols>
  <sheetData>
    <row r="1" spans="1:34" s="75" customFormat="1" ht="13.15" customHeight="1" x14ac:dyDescent="0.2">
      <c r="A1" s="373" t="s">
        <v>1082</v>
      </c>
      <c r="B1" s="373" t="s">
        <v>1117</v>
      </c>
      <c r="C1" s="78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4"/>
      <c r="AH1" s="415"/>
    </row>
    <row r="2" spans="1:34" s="75" customFormat="1" ht="13.15" customHeight="1" x14ac:dyDescent="0.2">
      <c r="A2" s="523" t="s">
        <v>1086</v>
      </c>
      <c r="B2" s="374">
        <v>0.3</v>
      </c>
      <c r="C2" s="78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4"/>
      <c r="AH2" s="415"/>
    </row>
    <row r="3" spans="1:34" s="75" customFormat="1" ht="13.15" customHeight="1" x14ac:dyDescent="0.2">
      <c r="A3" s="415"/>
      <c r="B3" s="78"/>
      <c r="C3" s="78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5"/>
    </row>
    <row r="4" spans="1:34" s="78" customFormat="1" ht="13.15" customHeight="1" x14ac:dyDescent="0.2">
      <c r="A4" s="375" t="s">
        <v>744</v>
      </c>
      <c r="B4" s="375" t="s">
        <v>1118</v>
      </c>
      <c r="C4" s="375" t="s">
        <v>1119</v>
      </c>
      <c r="D4" s="376" t="s">
        <v>1117</v>
      </c>
      <c r="E4" s="377">
        <v>1</v>
      </c>
      <c r="F4" s="377">
        <v>2</v>
      </c>
      <c r="G4" s="377">
        <v>3</v>
      </c>
      <c r="H4" s="377">
        <v>4</v>
      </c>
      <c r="I4" s="377">
        <v>5</v>
      </c>
      <c r="J4" s="377">
        <v>6</v>
      </c>
      <c r="K4" s="377">
        <v>7</v>
      </c>
      <c r="L4" s="377">
        <v>8</v>
      </c>
      <c r="M4" s="377">
        <v>9</v>
      </c>
      <c r="N4" s="377">
        <v>10</v>
      </c>
      <c r="O4" s="377">
        <v>11</v>
      </c>
      <c r="P4" s="377">
        <v>12</v>
      </c>
      <c r="Q4" s="377">
        <v>13</v>
      </c>
      <c r="R4" s="377">
        <v>14</v>
      </c>
      <c r="S4" s="377">
        <v>15</v>
      </c>
      <c r="T4" s="377">
        <v>16</v>
      </c>
      <c r="U4" s="377">
        <v>17</v>
      </c>
      <c r="V4" s="377">
        <v>18</v>
      </c>
      <c r="W4" s="377">
        <v>19</v>
      </c>
      <c r="X4" s="377">
        <v>20</v>
      </c>
      <c r="Y4" s="377">
        <v>21</v>
      </c>
      <c r="Z4" s="377">
        <v>22</v>
      </c>
      <c r="AA4" s="377">
        <v>23</v>
      </c>
      <c r="AB4" s="377">
        <v>24</v>
      </c>
      <c r="AC4" s="377">
        <v>25</v>
      </c>
      <c r="AD4" s="377">
        <v>26</v>
      </c>
      <c r="AE4" s="377">
        <v>27</v>
      </c>
      <c r="AF4" s="377">
        <v>28</v>
      </c>
      <c r="AG4" s="377">
        <v>29</v>
      </c>
      <c r="AH4" s="377">
        <v>30</v>
      </c>
    </row>
    <row r="5" spans="1:34" s="75" customFormat="1" ht="13.15" customHeight="1" outlineLevel="1" x14ac:dyDescent="0.2">
      <c r="A5" s="416">
        <v>1</v>
      </c>
      <c r="B5" s="374">
        <v>0.2</v>
      </c>
      <c r="C5" s="378">
        <f>SUMIF('14 - Investimentos'!B:B,'15 - Depreciação'!A2,'14 - Investimentos'!E:E)</f>
        <v>21202648.219999999</v>
      </c>
      <c r="D5" s="417">
        <f>C5*B2</f>
        <v>6360794.4659999991</v>
      </c>
      <c r="E5" s="417">
        <f>IF(E4&lt;A5,0,(C5-D5)*B5)</f>
        <v>2968370.7508000005</v>
      </c>
      <c r="F5" s="417">
        <f>IF(F4&lt;A5,0,IF((SUM(E5:E5)+((C5-D5)*B5))&gt;(C5-D5),C5-D5-SUM(E5:E5),(C5-D5)*B5))</f>
        <v>2968370.7508000005</v>
      </c>
      <c r="G5" s="417">
        <f>IF(G4&lt;A5,0,IF((SUM(E5:F5)+((C5-D5)*B5))&gt;(C5-D5),C5-D5-SUM(E5:F5),(C5-D5)*B5))</f>
        <v>2968370.7508000005</v>
      </c>
      <c r="H5" s="417">
        <f>IF(H4&lt;A5,0,IF((SUM(E5:G5)+((C5-D5)*B5))&gt;(C5-D5),C5-D5-SUM(E5:G5),(C5-D5)*B5))</f>
        <v>2968370.7508000005</v>
      </c>
      <c r="I5" s="417">
        <f>IF(I4&lt;A5,0,IF((SUM(E5:H5)+((C5-D5)*B5))&gt;(C5-D5),C5-D5-SUM(E5:H5),(C5-D5)*B5))</f>
        <v>2968370.7508000005</v>
      </c>
      <c r="J5" s="417">
        <f>IF(J4&lt;A5,0,IF((SUM(E5:I5)+((C5-D5)*B5))&gt;(C5-D5),C5-D5-SUM(E5:I5),(C5-D5)*B5))</f>
        <v>-1.862645149230957E-9</v>
      </c>
      <c r="K5" s="417">
        <f>IF(K4&lt;A5,0,IF((SUM(E5:J5)+((C5-D5)*B5))&gt;(C5-D5),C5-D5-SUM(E5:J5),(C5-D5)*B5))</f>
        <v>0</v>
      </c>
      <c r="L5" s="417">
        <f>IF(L4&lt;A5,0,IF((SUM(E5:K5)+((C5-D5)*B5))&gt;(C5-D5),C5-D5-SUM(E5:K5),(C5-D5)*B5))</f>
        <v>0</v>
      </c>
      <c r="M5" s="417">
        <f>IF(M4&lt;A5,0,IF((SUM(E5:L5)+((C5-D5)*B5))&gt;(C5-D5),C5-D5-SUM(E5:L5),(C5-D5)*B5))</f>
        <v>0</v>
      </c>
      <c r="N5" s="417">
        <f>IF(N4&lt;A5,0,IF((SUM(E5:M5)+((C5-D5)*B5))&gt;(C5-D5),C5-D5-SUM(E5:M5),(C5-D5)*B5))</f>
        <v>0</v>
      </c>
      <c r="O5" s="417">
        <f>IF(O4&lt;A5,0,IF((SUM(E5:N5)+((C5-D5)*B5))&gt;(C5-D5),C5-D5-SUM(E5:N5),(C5-D5)*B5))</f>
        <v>0</v>
      </c>
      <c r="P5" s="417">
        <f>IF(P4&lt;A5,0,IF((SUM(E5:O5)+((C5-D5)*B5))&gt;(C5-D5),C5-D5-SUM(E5:O5),(C5-D5)*B5))</f>
        <v>0</v>
      </c>
      <c r="Q5" s="417">
        <f>IF(Q4&lt;A5,0,IF((SUM(E5:P5)+((C5-D5)*B5))&gt;(C5-D5),C5-D5-SUM(E5:P5),(C5-D5)*B5))</f>
        <v>0</v>
      </c>
      <c r="R5" s="417">
        <f>IF(R4&lt;A5,0,IF((SUM(E5:Q5)+((C5-D5)*B5))&gt;(C5-D5),C5-D5-SUM(E5:Q5),(C5-D5)*B5))</f>
        <v>0</v>
      </c>
      <c r="S5" s="417">
        <f>IF(S4&lt;A5,0,IF((SUM(E5:R5)+((C5-D5)*B5))&gt;(C5-D5),C5-D5-SUM(E5:R5),(C5-D5)*B5))</f>
        <v>0</v>
      </c>
      <c r="T5" s="417">
        <f>IF(T4&lt;A5,0,IF((SUM(E5:S5)+((C5-D5)*B5))&gt;(C5-D5),C5-D5-SUM(E5:S5),(C5-D5)*B5))</f>
        <v>0</v>
      </c>
      <c r="U5" s="417">
        <f>IF(U4&lt;A5,0,IF((SUM(E5:T5)+((C5-D5)*B5))&gt;(C5-D5),C5-D5-SUM(E5:T5),(C5-D5)*B5))</f>
        <v>0</v>
      </c>
      <c r="V5" s="417">
        <f>IF(V4&lt;A5,0,IF((SUM(E5:U5)+((C5-D5)*B5))&gt;(C5-D5),C5-D5-SUM(E5:U5),(C5-D5)*B5))</f>
        <v>0</v>
      </c>
      <c r="W5" s="417">
        <f>IF(W4&lt;A5,0,IF((SUM(E5:V5)+((C5-D5)*B5))&gt;(C5-D5),C5-D5-SUM(E5:V5),(C5-D5)*B5))</f>
        <v>0</v>
      </c>
      <c r="X5" s="417">
        <f>IF(X4&lt;A5,0,IF((SUM(E5:W5)+((C5-D5)*B5))&gt;(C5-D5),C5-D5-SUM(E5:W5),(C5-D5)*B5))</f>
        <v>0</v>
      </c>
      <c r="Y5" s="417">
        <f>IF(Y4&lt;A5,0,IF((SUM(E5:X5)+((C5-D5)*B5))&gt;(C5-D5),C5-D5-SUM(E5:X5),(C5-D5)*B5))</f>
        <v>0</v>
      </c>
      <c r="Z5" s="417">
        <f>IF(Z4&lt;A5,0,IF((SUM(E5:Y5)+((C5-D5)*B5))&gt;(C5-D5),C5-D5-SUM(E5:Y5),(C5-D5)*B5))</f>
        <v>0</v>
      </c>
      <c r="AA5" s="417">
        <f>IF(AA4&lt;A5,0,IF((SUM(E5:Z5)+((C5-D5)*B5))&gt;(C5-D5),C5-D5-SUM(E5:Z5),(C5-D5)*B5))</f>
        <v>0</v>
      </c>
      <c r="AB5" s="417">
        <f>IF(AB4&lt;A5,0,IF((SUM(E5:AA5)+((C5-D5)*B5))&gt;(C5-D5),C5-D5-SUM(E5:AA5),(C5-D5)*B5))</f>
        <v>0</v>
      </c>
      <c r="AC5" s="417">
        <f>IF(AC4&lt;A5,0,IF((SUM(E5:AB5)+((C5-D5)*B5))&gt;(C5-D5),C5-D5-SUM(E5:AB5),(C5-D5)*B5))</f>
        <v>0</v>
      </c>
      <c r="AD5" s="417">
        <f>IF(AD4&lt;A5,0,IF((SUM(E5:AC5)+((C5-D5)*B5))&gt;(C5-D5),C5-D5-SUM(E5:AC5),(C5-D5)*B5))</f>
        <v>0</v>
      </c>
      <c r="AE5" s="417">
        <f>IF(AE4&lt;A5,0,IF((SUM(E5:AD5)+((C5-D5)*B5))&gt;(C5-D5),C5-D5-SUM(E5:AD5),(C5-D5)*B5))</f>
        <v>0</v>
      </c>
      <c r="AF5" s="417">
        <f>IF(AF4&lt;A5,0,IF((SUM(E5:AE5)+((C5-D5)*B5))&gt;(C5-D5),C5-D5-SUM(E5:AE5),(C5-D5)*B5))</f>
        <v>0</v>
      </c>
      <c r="AG5" s="417">
        <f>IF(AG4&lt;A5,0,IF((SUM(E5:AF5)+((C5-D5)*B5))&gt;(C5-D5),C5-D5-SUM(E5:AF5),(C5-D5)*B5))</f>
        <v>0</v>
      </c>
      <c r="AH5" s="417">
        <f>IF(AH4&lt;A5,0,IF((SUM(E5:AG5)+((C5-D5)*B5))&gt;(C5-D5),C5-D5-SUM(E5:AG5),(C5-D5)*B5))</f>
        <v>0</v>
      </c>
    </row>
    <row r="6" spans="1:34" s="75" customFormat="1" ht="13.15" customHeight="1" outlineLevel="1" x14ac:dyDescent="0.2">
      <c r="A6" s="416">
        <v>2</v>
      </c>
      <c r="B6" s="374">
        <v>0.2</v>
      </c>
      <c r="C6" s="378">
        <f>SUMIF('14 - Investimentos'!B:B,'15 - Depreciação'!A2,'14 - Investimentos'!F:F)</f>
        <v>0</v>
      </c>
      <c r="D6" s="417">
        <f>C6*B2</f>
        <v>0</v>
      </c>
      <c r="E6" s="417">
        <f>IF(E4&lt;A6,0,(C6-D6)*B6)</f>
        <v>0</v>
      </c>
      <c r="F6" s="417">
        <f>IF(F4&lt;A6,0,IF((SUM(E6:E6)+((C6-D6)*B6))&gt;(C6-D6),C6-D6-SUM(E6:E6),(C6-D6)*B6))</f>
        <v>0</v>
      </c>
      <c r="G6" s="417">
        <f>IF(G4&lt;A6,0,IF((SUM(E6:F6)+((C6-D6)*B6))&gt;(C6-D6),C6-D6-SUM(E6:F6),(C6-D6)*B6))</f>
        <v>0</v>
      </c>
      <c r="H6" s="417">
        <f>IF(H4&lt;A6,0,IF((SUM(E6:G6)+((C6-D6)*B6))&gt;(C6-D6),C6-D6-SUM(E6:G6),(C6-D6)*B6))</f>
        <v>0</v>
      </c>
      <c r="I6" s="417">
        <f>IF(I4&lt;A6,0,IF((SUM(E6:H6)+((C6-D6)*B6))&gt;(C6-D6),C6-D6-SUM(E6:H6),(C6-D6)*B6))</f>
        <v>0</v>
      </c>
      <c r="J6" s="417">
        <f>IF(J4&lt;A6,0,IF((SUM(E6:I6)+((C6-D6)*B6))&gt;(C6-D6),C6-D6-SUM(E6:I6),(C6-D6)*B6))</f>
        <v>0</v>
      </c>
      <c r="K6" s="417">
        <f>IF(K4&lt;A6,0,IF((SUM(E6:J6)+((C6-D6)*B6))&gt;(C6-D6),C6-D6-SUM(E6:J6),(C6-D6)*B6))</f>
        <v>0</v>
      </c>
      <c r="L6" s="417">
        <f>IF(L4&lt;A6,0,IF((SUM(E6:K6)+((C6-D6)*B6))&gt;(C6-D6),C6-D6-SUM(E6:K6),(C6-D6)*B6))</f>
        <v>0</v>
      </c>
      <c r="M6" s="417">
        <f>IF(M4&lt;A6,0,IF((SUM(E6:L6)+((C6-D6)*B6))&gt;(C6-D6),C6-D6-SUM(E6:L6),(C6-D6)*B6))</f>
        <v>0</v>
      </c>
      <c r="N6" s="417">
        <f>IF(N4&lt;A6,0,IF((SUM(E6:M6)+((C6-D6)*B6))&gt;(C6-D6),C6-D6-SUM(E6:M6),(C6-D6)*B6))</f>
        <v>0</v>
      </c>
      <c r="O6" s="417">
        <f>IF(O4&lt;A6,0,IF((SUM(E6:N6)+((C6-D6)*B6))&gt;(C6-D6),C6-D6-SUM(E6:N6),(C6-D6)*B6))</f>
        <v>0</v>
      </c>
      <c r="P6" s="417">
        <f>IF(P4&lt;A6,0,IF((SUM(E6:O6)+((C6-D6)*B6))&gt;(C6-D6),C6-D6-SUM(E6:O6),(C6-D6)*B6))</f>
        <v>0</v>
      </c>
      <c r="Q6" s="417">
        <f>IF(Q4&lt;A6,0,IF((SUM(E6:P6)+((C6-D6)*B6))&gt;(C6-D6),C6-D6-SUM(E6:P6),(C6-D6)*B6))</f>
        <v>0</v>
      </c>
      <c r="R6" s="417">
        <f>IF(R4&lt;A6,0,IF((SUM(E6:Q6)+((C6-D6)*B6))&gt;(C6-D6),C6-D6-SUM(E6:Q6),(C6-D6)*B6))</f>
        <v>0</v>
      </c>
      <c r="S6" s="417">
        <f>IF(S4&lt;A6,0,IF((SUM(E6:R6)+((C6-D6)*B6))&gt;(C6-D6),C6-D6-SUM(E6:R6),(C6-D6)*B6))</f>
        <v>0</v>
      </c>
      <c r="T6" s="417">
        <f>IF(T4&lt;A6,0,IF((SUM(E6:S6)+((C6-D6)*B6))&gt;(C6-D6),C6-D6-SUM(E6:S6),(C6-D6)*B6))</f>
        <v>0</v>
      </c>
      <c r="U6" s="417">
        <f>IF(U4&lt;A6,0,IF((SUM(E6:T6)+((C6-D6)*B6))&gt;(C6-D6),C6-D6-SUM(E6:T6),(C6-D6)*B6))</f>
        <v>0</v>
      </c>
      <c r="V6" s="417">
        <f>IF(V4&lt;A6,0,IF((SUM(E6:U6)+((C6-D6)*B6))&gt;(C6-D6),C6-D6-SUM(E6:U6),(C6-D6)*B6))</f>
        <v>0</v>
      </c>
      <c r="W6" s="417">
        <f>IF(W4&lt;A6,0,IF((SUM(E6:V6)+((C6-D6)*B6))&gt;(C6-D6),C6-D6-SUM(E6:V6),(C6-D6)*B6))</f>
        <v>0</v>
      </c>
      <c r="X6" s="417">
        <f>IF(X4&lt;A6,0,IF((SUM(E6:W6)+((C6-D6)*B6))&gt;(C6-D6),C6-D6-SUM(E6:W6),(C6-D6)*B6))</f>
        <v>0</v>
      </c>
      <c r="Y6" s="417">
        <f>IF(Y4&lt;A6,0,IF((SUM(E6:X6)+((C6-D6)*B6))&gt;(C6-D6),C6-D6-SUM(E6:X6),(C6-D6)*B6))</f>
        <v>0</v>
      </c>
      <c r="Z6" s="417">
        <f>IF(Z4&lt;A6,0,IF((SUM(E6:Y6)+((C6-D6)*B6))&gt;(C6-D6),C6-D6-SUM(E6:Y6),(C6-D6)*B6))</f>
        <v>0</v>
      </c>
      <c r="AA6" s="417">
        <f>IF(AA4&lt;A6,0,IF((SUM(E6:Z6)+((C6-D6)*B6))&gt;(C6-D6),C6-D6-SUM(E6:Z6),(C6-D6)*B6))</f>
        <v>0</v>
      </c>
      <c r="AB6" s="417">
        <f>IF(AB4&lt;A6,0,IF((SUM(E6:AA6)+((C6-D6)*B6))&gt;(C6-D6),C6-D6-SUM(E6:AA6),(C6-D6)*B6))</f>
        <v>0</v>
      </c>
      <c r="AC6" s="417">
        <f>IF(AC4&lt;A6,0,IF((SUM(E6:AB6)+((C6-D6)*B6))&gt;(C6-D6),C6-D6-SUM(E6:AB6),(C6-D6)*B6))</f>
        <v>0</v>
      </c>
      <c r="AD6" s="417">
        <f>IF(AD4&lt;A6,0,IF((SUM(E6:AC6)+((C6-D6)*B6))&gt;(C6-D6),C6-D6-SUM(E6:AC6),(C6-D6)*B6))</f>
        <v>0</v>
      </c>
      <c r="AE6" s="417">
        <f>IF(AE4&lt;A6,0,IF((SUM(E6:AD6)+((C6-D6)*B6))&gt;(C6-D6),C6-D6-SUM(E6:AD6),(C6-D6)*B6))</f>
        <v>0</v>
      </c>
      <c r="AF6" s="417">
        <f>IF(AF4&lt;A6,0,IF((SUM(E6:AE6)+((C6-D6)*B6))&gt;(C6-D6),C6-D6-SUM(E6:AE6),(C6-D6)*B6))</f>
        <v>0</v>
      </c>
      <c r="AG6" s="417">
        <f>IF(AG4&lt;A6,0,IF((SUM(E6:AF6)+((C6-D6)*B6))&gt;(C6-D6),C6-D6-SUM(E6:AF6),(C6-D6)*B6))</f>
        <v>0</v>
      </c>
      <c r="AH6" s="417">
        <f>IF(AH4&lt;A6,0,IF((SUM(E6:AG6)+((C6-D6)*B6))&gt;(C6-D6),C6-D6-SUM(E6:AG6),(C6-D6)*B6))</f>
        <v>0</v>
      </c>
    </row>
    <row r="7" spans="1:34" s="75" customFormat="1" ht="13.15" customHeight="1" outlineLevel="1" x14ac:dyDescent="0.2">
      <c r="A7" s="416">
        <v>3</v>
      </c>
      <c r="B7" s="374">
        <v>0.2</v>
      </c>
      <c r="C7" s="378">
        <f>SUMIF('14 - Investimentos'!B:B,'15 - Depreciação'!A2,'14 - Investimentos'!G:G)</f>
        <v>0</v>
      </c>
      <c r="D7" s="417">
        <f>C7*B2</f>
        <v>0</v>
      </c>
      <c r="E7" s="417">
        <f>IF(E4&lt;A7,0,(C7-D7)*B7)</f>
        <v>0</v>
      </c>
      <c r="F7" s="417">
        <f>IF(F4&lt;A7,0,IF((SUM(E7:E7)+((C7-D7)*B7))&gt;(C7-D7),C7-D7-SUM(E7:E7),(C7-D7)*B7))</f>
        <v>0</v>
      </c>
      <c r="G7" s="417">
        <f>IF(G4&lt;A7,0,IF((SUM(E7:F7)+((C7-D7)*B7))&gt;(C7-D7),C7-D7-SUM(E7:F7),(C7-D7)*B7))</f>
        <v>0</v>
      </c>
      <c r="H7" s="417">
        <f>IF(H4&lt;A7,0,IF((SUM(E7:G7)+((C7-D7)*B7))&gt;(C7-D7),C7-D7-SUM(E7:G7),(C7-D7)*B7))</f>
        <v>0</v>
      </c>
      <c r="I7" s="417">
        <f>IF(I4&lt;A7,0,IF((SUM(E7:H7)+((C7-D7)*B7))&gt;(C7-D7),C7-D7-SUM(E7:H7),(C7-D7)*B7))</f>
        <v>0</v>
      </c>
      <c r="J7" s="417">
        <f>IF(J4&lt;A7,0,IF((SUM(E7:I7)+((C7-D7)*B7))&gt;(C7-D7),C7-D7-SUM(E7:I7),(C7-D7)*B7))</f>
        <v>0</v>
      </c>
      <c r="K7" s="417">
        <f>IF(K4&lt;A7,0,IF((SUM(E7:J7)+((C7-D7)*B7))&gt;(C7-D7),C7-D7-SUM(E7:J7),(C7-D7)*B7))</f>
        <v>0</v>
      </c>
      <c r="L7" s="417">
        <f>IF(L4&lt;A7,0,IF((SUM(E7:K7)+((C7-D7)*B7))&gt;(C7-D7),C7-D7-SUM(E7:K7),(C7-D7)*B7))</f>
        <v>0</v>
      </c>
      <c r="M7" s="417">
        <f>IF(M4&lt;A7,0,IF((SUM(E7:L7)+((C7-D7)*B7))&gt;(C7-D7),C7-D7-SUM(E7:L7),(C7-D7)*B7))</f>
        <v>0</v>
      </c>
      <c r="N7" s="417">
        <f>IF(N4&lt;A7,0,IF((SUM(E7:M7)+((C7-D7)*B7))&gt;(C7-D7),C7-D7-SUM(E7:M7),(C7-D7)*B7))</f>
        <v>0</v>
      </c>
      <c r="O7" s="417">
        <f>IF(O4&lt;A7,0,IF((SUM(E7:N7)+((C7-D7)*B7))&gt;(C7-D7),C7-D7-SUM(E7:N7),(C7-D7)*B7))</f>
        <v>0</v>
      </c>
      <c r="P7" s="417">
        <f>IF(P4&lt;A7,0,IF((SUM(E7:O7)+((C7-D7)*B7))&gt;(C7-D7),C7-D7-SUM(E7:O7),(C7-D7)*B7))</f>
        <v>0</v>
      </c>
      <c r="Q7" s="417">
        <f>IF(Q4&lt;A7,0,IF((SUM(E7:P7)+((C7-D7)*B7))&gt;(C7-D7),C7-D7-SUM(E7:P7),(C7-D7)*B7))</f>
        <v>0</v>
      </c>
      <c r="R7" s="417">
        <f>IF(R4&lt;A7,0,IF((SUM(E7:Q7)+((C7-D7)*B7))&gt;(C7-D7),C7-D7-SUM(E7:Q7),(C7-D7)*B7))</f>
        <v>0</v>
      </c>
      <c r="S7" s="417">
        <f>IF(S4&lt;A7,0,IF((SUM(E7:R7)+((C7-D7)*B7))&gt;(C7-D7),C7-D7-SUM(E7:R7),(C7-D7)*B7))</f>
        <v>0</v>
      </c>
      <c r="T7" s="417">
        <f>IF(T4&lt;A7,0,IF((SUM(E7:S7)+((C7-D7)*B7))&gt;(C7-D7),C7-D7-SUM(E7:S7),(C7-D7)*B7))</f>
        <v>0</v>
      </c>
      <c r="U7" s="417">
        <f>IF(U4&lt;A7,0,IF((SUM(E7:T7)+((C7-D7)*B7))&gt;(C7-D7),C7-D7-SUM(E7:T7),(C7-D7)*B7))</f>
        <v>0</v>
      </c>
      <c r="V7" s="417">
        <f>IF(V4&lt;A7,0,IF((SUM(E7:U7)+((C7-D7)*B7))&gt;(C7-D7),C7-D7-SUM(E7:U7),(C7-D7)*B7))</f>
        <v>0</v>
      </c>
      <c r="W7" s="417">
        <f>IF(W4&lt;A7,0,IF((SUM(E7:V7)+((C7-D7)*B7))&gt;(C7-D7),C7-D7-SUM(E7:V7),(C7-D7)*B7))</f>
        <v>0</v>
      </c>
      <c r="X7" s="417">
        <f>IF(X4&lt;A7,0,IF((SUM(E7:W7)+((C7-D7)*B7))&gt;(C7-D7),C7-D7-SUM(E7:W7),(C7-D7)*B7))</f>
        <v>0</v>
      </c>
      <c r="Y7" s="417">
        <f>IF(Y4&lt;A7,0,IF((SUM(E7:X7)+((C7-D7)*B7))&gt;(C7-D7),C7-D7-SUM(E7:X7),(C7-D7)*B7))</f>
        <v>0</v>
      </c>
      <c r="Z7" s="417">
        <f>IF(Z4&lt;A7,0,IF((SUM(E7:Y7)+((C7-D7)*B7))&gt;(C7-D7),C7-D7-SUM(E7:Y7),(C7-D7)*B7))</f>
        <v>0</v>
      </c>
      <c r="AA7" s="417">
        <f>IF(AA4&lt;A7,0,IF((SUM(E7:Z7)+((C7-D7)*B7))&gt;(C7-D7),C7-D7-SUM(E7:Z7),(C7-D7)*B7))</f>
        <v>0</v>
      </c>
      <c r="AB7" s="417">
        <f>IF(AB4&lt;A7,0,IF((SUM(E7:AA7)+((C7-D7)*B7))&gt;(C7-D7),C7-D7-SUM(E7:AA7),(C7-D7)*B7))</f>
        <v>0</v>
      </c>
      <c r="AC7" s="417">
        <f>IF(AC4&lt;A7,0,IF((SUM(E7:AB7)+((C7-D7)*B7))&gt;(C7-D7),C7-D7-SUM(E7:AB7),(C7-D7)*B7))</f>
        <v>0</v>
      </c>
      <c r="AD7" s="417">
        <f>IF(AD4&lt;A7,0,IF((SUM(E7:AC7)+((C7-D7)*B7))&gt;(C7-D7),C7-D7-SUM(E7:AC7),(C7-D7)*B7))</f>
        <v>0</v>
      </c>
      <c r="AE7" s="417">
        <f>IF(AE4&lt;A7,0,IF((SUM(E7:AD7)+((C7-D7)*B7))&gt;(C7-D7),C7-D7-SUM(E7:AD7),(C7-D7)*B7))</f>
        <v>0</v>
      </c>
      <c r="AF7" s="417">
        <f>IF(AF4&lt;A7,0,IF((SUM(E7:AE7)+((C7-D7)*B7))&gt;(C7-D7),C7-D7-SUM(E7:AE7),(C7-D7)*B7))</f>
        <v>0</v>
      </c>
      <c r="AG7" s="417">
        <f>IF(AG4&lt;A7,0,IF((SUM(E7:AF7)+((C7-D7)*B7))&gt;(C7-D7),C7-D7-SUM(E7:AF7),(C7-D7)*B7))</f>
        <v>0</v>
      </c>
      <c r="AH7" s="417">
        <f>IF(AH4&lt;A7,0,IF((SUM(E7:AG7)+((C7-D7)*B7))&gt;(C7-D7),C7-D7-SUM(E7:AG7),(C7-D7)*B7))</f>
        <v>0</v>
      </c>
    </row>
    <row r="8" spans="1:34" s="75" customFormat="1" ht="13.15" customHeight="1" outlineLevel="1" x14ac:dyDescent="0.2">
      <c r="A8" s="416">
        <v>4</v>
      </c>
      <c r="B8" s="374">
        <v>0.2</v>
      </c>
      <c r="C8" s="378">
        <f>SUMIF('14 - Investimentos'!B:B,'15 - Depreciação'!A2,'14 - Investimentos'!H:H)</f>
        <v>0</v>
      </c>
      <c r="D8" s="417">
        <f>C8*B2</f>
        <v>0</v>
      </c>
      <c r="E8" s="417">
        <f>IF(E4&lt;A8,0,(C8-D8)*B8)</f>
        <v>0</v>
      </c>
      <c r="F8" s="417">
        <f>IF(F4&lt;A8,0,IF((SUM(E8:E8)+((C8-D8)*B8))&gt;(C8-D8),C8-D8-SUM(E8:E8),(C8-D8)*B8))</f>
        <v>0</v>
      </c>
      <c r="G8" s="417">
        <f>IF(G4&lt;A8,0,IF((SUM(E8:F8)+((C8-D8)*B8))&gt;(C8-D8),C8-D8-SUM(E8:F8),(C8-D8)*B8))</f>
        <v>0</v>
      </c>
      <c r="H8" s="417">
        <f>IF(H4&lt;A8,0,IF((SUM(E8:G8)+((C8-D8)*B8))&gt;(C8-D8),C8-D8-SUM(E8:G8),(C8-D8)*B8))</f>
        <v>0</v>
      </c>
      <c r="I8" s="417">
        <f>IF(I4&lt;A8,0,IF((SUM(E8:H8)+((C8-D8)*B8))&gt;(C8-D8),C8-D8-SUM(E8:H8),(C8-D8)*B8))</f>
        <v>0</v>
      </c>
      <c r="J8" s="417">
        <f>IF(J4&lt;A8,0,IF((SUM(E8:I8)+((C8-D8)*B8))&gt;(C8-D8),C8-D8-SUM(E8:I8),(C8-D8)*B8))</f>
        <v>0</v>
      </c>
      <c r="K8" s="417">
        <f>IF(K4&lt;A8,0,IF((SUM(E8:J8)+((C8-D8)*B8))&gt;(C8-D8),C8-D8-SUM(E8:J8),(C8-D8)*B8))</f>
        <v>0</v>
      </c>
      <c r="L8" s="417">
        <f>IF(L4&lt;A8,0,IF((SUM(E8:K8)+((C8-D8)*B8))&gt;(C8-D8),C8-D8-SUM(E8:K8),(C8-D8)*B8))</f>
        <v>0</v>
      </c>
      <c r="M8" s="417">
        <f>IF(M4&lt;A8,0,IF((SUM(E8:L8)+((C8-D8)*B8))&gt;(C8-D8),C8-D8-SUM(E8:L8),(C8-D8)*B8))</f>
        <v>0</v>
      </c>
      <c r="N8" s="417">
        <f>IF(N4&lt;A8,0,IF((SUM(E8:M8)+((C8-D8)*B8))&gt;(C8-D8),C8-D8-SUM(E8:M8),(C8-D8)*B8))</f>
        <v>0</v>
      </c>
      <c r="O8" s="417">
        <f>IF(O4&lt;A8,0,IF((SUM(E8:N8)+((C8-D8)*B8))&gt;(C8-D8),C8-D8-SUM(E8:N8),(C8-D8)*B8))</f>
        <v>0</v>
      </c>
      <c r="P8" s="417">
        <f>IF(P4&lt;A8,0,IF((SUM(E8:O8)+((C8-D8)*B8))&gt;(C8-D8),C8-D8-SUM(E8:O8),(C8-D8)*B8))</f>
        <v>0</v>
      </c>
      <c r="Q8" s="417">
        <f>IF(Q4&lt;A8,0,IF((SUM(E8:P8)+((C8-D8)*B8))&gt;(C8-D8),C8-D8-SUM(E8:P8),(C8-D8)*B8))</f>
        <v>0</v>
      </c>
      <c r="R8" s="417">
        <f>IF(R4&lt;A8,0,IF((SUM(E8:Q8)+((C8-D8)*B8))&gt;(C8-D8),C8-D8-SUM(E8:Q8),(C8-D8)*B8))</f>
        <v>0</v>
      </c>
      <c r="S8" s="417">
        <f>IF(S4&lt;A8,0,IF((SUM(E8:R8)+((C8-D8)*B8))&gt;(C8-D8),C8-D8-SUM(E8:R8),(C8-D8)*B8))</f>
        <v>0</v>
      </c>
      <c r="T8" s="417">
        <f>IF(T4&lt;A8,0,IF((SUM(E8:S8)+((C8-D8)*B8))&gt;(C8-D8),C8-D8-SUM(E8:S8),(C8-D8)*B8))</f>
        <v>0</v>
      </c>
      <c r="U8" s="417">
        <f>IF(U4&lt;A8,0,IF((SUM(E8:T8)+((C8-D8)*B8))&gt;(C8-D8),C8-D8-SUM(E8:T8),(C8-D8)*B8))</f>
        <v>0</v>
      </c>
      <c r="V8" s="417">
        <f>IF(V4&lt;A8,0,IF((SUM(E8:U8)+((C8-D8)*B8))&gt;(C8-D8),C8-D8-SUM(E8:U8),(C8-D8)*B8))</f>
        <v>0</v>
      </c>
      <c r="W8" s="417">
        <f>IF(W4&lt;A8,0,IF((SUM(E8:V8)+((C8-D8)*B8))&gt;(C8-D8),C8-D8-SUM(E8:V8),(C8-D8)*B8))</f>
        <v>0</v>
      </c>
      <c r="X8" s="417">
        <f>IF(X4&lt;A8,0,IF((SUM(E8:W8)+((C8-D8)*B8))&gt;(C8-D8),C8-D8-SUM(E8:W8),(C8-D8)*B8))</f>
        <v>0</v>
      </c>
      <c r="Y8" s="417">
        <f>IF(Y4&lt;A8,0,IF((SUM(E8:X8)+((C8-D8)*B8))&gt;(C8-D8),C8-D8-SUM(E8:X8),(C8-D8)*B8))</f>
        <v>0</v>
      </c>
      <c r="Z8" s="417">
        <f>IF(Z4&lt;A8,0,IF((SUM(E8:Y8)+((C8-D8)*B8))&gt;(C8-D8),C8-D8-SUM(E8:Y8),(C8-D8)*B8))</f>
        <v>0</v>
      </c>
      <c r="AA8" s="417">
        <f>IF(AA4&lt;A8,0,IF((SUM(E8:Z8)+((C8-D8)*B8))&gt;(C8-D8),C8-D8-SUM(E8:Z8),(C8-D8)*B8))</f>
        <v>0</v>
      </c>
      <c r="AB8" s="417">
        <f>IF(AB4&lt;A8,0,IF((SUM(E8:AA8)+((C8-D8)*B8))&gt;(C8-D8),C8-D8-SUM(E8:AA8),(C8-D8)*B8))</f>
        <v>0</v>
      </c>
      <c r="AC8" s="417">
        <f>IF(AC4&lt;A8,0,IF((SUM(E8:AB8)+((C8-D8)*B8))&gt;(C8-D8),C8-D8-SUM(E8:AB8),(C8-D8)*B8))</f>
        <v>0</v>
      </c>
      <c r="AD8" s="417">
        <f>IF(AD4&lt;A8,0,IF((SUM(E8:AC8)+((C8-D8)*B8))&gt;(C8-D8),C8-D8-SUM(E8:AC8),(C8-D8)*B8))</f>
        <v>0</v>
      </c>
      <c r="AE8" s="417">
        <f>IF(AE4&lt;A8,0,IF((SUM(E8:AD8)+((C8-D8)*B8))&gt;(C8-D8),C8-D8-SUM(E8:AD8),(C8-D8)*B8))</f>
        <v>0</v>
      </c>
      <c r="AF8" s="417">
        <f>IF(AF4&lt;A8,0,IF((SUM(E8:AE8)+((C8-D8)*B8))&gt;(C8-D8),C8-D8-SUM(E8:AE8),(C8-D8)*B8))</f>
        <v>0</v>
      </c>
      <c r="AG8" s="417">
        <f>IF(AG4&lt;A8,0,IF((SUM(E8:AF8)+((C8-D8)*B8))&gt;(C8-D8),C8-D8-SUM(E8:AF8),(C8-D8)*B8))</f>
        <v>0</v>
      </c>
      <c r="AH8" s="417">
        <f>IF(AH4&lt;A8,0,IF((SUM(E8:AG8)+((C8-D8)*B8))&gt;(C8-D8),C8-D8-SUM(E8:AG8),(C8-D8)*B8))</f>
        <v>0</v>
      </c>
    </row>
    <row r="9" spans="1:34" s="75" customFormat="1" ht="13.15" customHeight="1" outlineLevel="1" x14ac:dyDescent="0.2">
      <c r="A9" s="416">
        <v>5</v>
      </c>
      <c r="B9" s="374">
        <v>0.2</v>
      </c>
      <c r="C9" s="378">
        <f>SUMIF('14 - Investimentos'!B:B,'15 - Depreciação'!A2,'14 - Investimentos'!I:I)</f>
        <v>723346</v>
      </c>
      <c r="D9" s="417">
        <f>C9*B2</f>
        <v>217003.8</v>
      </c>
      <c r="E9" s="417">
        <f>IF(E4&lt;A9,0,(C9-D9)*B9)</f>
        <v>0</v>
      </c>
      <c r="F9" s="417">
        <f>IF(F4&lt;A9,0,IF((SUM(E9:E9)+((C9-D9)*B9))&gt;(C9-D9),C9-D9-SUM(E9:E9),(C9-D9)*B9))</f>
        <v>0</v>
      </c>
      <c r="G9" s="417">
        <f>IF(G4&lt;A9,0,IF((SUM(E9:F9)+((C9-D9)*B9))&gt;(C9-D9),C9-D9-SUM(E9:F9),(C9-D9)*B9))</f>
        <v>0</v>
      </c>
      <c r="H9" s="417">
        <f>IF(H4&lt;A9,0,IF((SUM(E9:G9)+((C9-D9)*B9))&gt;(C9-D9),C9-D9-SUM(E9:G9),(C9-D9)*B9))</f>
        <v>0</v>
      </c>
      <c r="I9" s="417">
        <f>IF(I4&lt;A9,0,IF((SUM(E9:H9)+((C9-D9)*B9))&gt;(C9-D9),C9-D9-SUM(E9:H9),(C9-D9)*B9))</f>
        <v>101268.44</v>
      </c>
      <c r="J9" s="417">
        <f>IF(J4&lt;A9,0,IF((SUM(E9:I9)+((C9-D9)*B9))&gt;(C9-D9),C9-D9-SUM(E9:I9),(C9-D9)*B9))</f>
        <v>101268.44</v>
      </c>
      <c r="K9" s="417">
        <f>IF(K4&lt;A9,0,IF((SUM(E9:J9)+((C9-D9)*B9))&gt;(C9-D9),C9-D9-SUM(E9:J9),(C9-D9)*B9))</f>
        <v>101268.44</v>
      </c>
      <c r="L9" s="417">
        <f>IF(L4&lt;A9,0,IF((SUM(E9:K9)+((C9-D9)*B9))&gt;(C9-D9),C9-D9-SUM(E9:K9),(C9-D9)*B9))</f>
        <v>101268.44</v>
      </c>
      <c r="M9" s="417">
        <f>IF(M4&lt;A9,0,IF((SUM(E9:L9)+((C9-D9)*B9))&gt;(C9-D9),C9-D9-SUM(E9:L9),(C9-D9)*B9))</f>
        <v>101268.44</v>
      </c>
      <c r="N9" s="417">
        <f>IF(N4&lt;A9,0,IF((SUM(E9:M9)+((C9-D9)*B9))&gt;(C9-D9),C9-D9-SUM(E9:M9),(C9-D9)*B9))</f>
        <v>0</v>
      </c>
      <c r="O9" s="417">
        <f>IF(O4&lt;A9,0,IF((SUM(E9:N9)+((C9-D9)*B9))&gt;(C9-D9),C9-D9-SUM(E9:N9),(C9-D9)*B9))</f>
        <v>0</v>
      </c>
      <c r="P9" s="417">
        <f>IF(P4&lt;A9,0,IF((SUM(E9:O9)+((C9-D9)*B9))&gt;(C9-D9),C9-D9-SUM(E9:O9),(C9-D9)*B9))</f>
        <v>0</v>
      </c>
      <c r="Q9" s="417">
        <f>IF(Q4&lt;A9,0,IF((SUM(E9:P9)+((C9-D9)*B9))&gt;(C9-D9),C9-D9-SUM(E9:P9),(C9-D9)*B9))</f>
        <v>0</v>
      </c>
      <c r="R9" s="417">
        <f>IF(R4&lt;A9,0,IF((SUM(E9:Q9)+((C9-D9)*B9))&gt;(C9-D9),C9-D9-SUM(E9:Q9),(C9-D9)*B9))</f>
        <v>0</v>
      </c>
      <c r="S9" s="417">
        <f>IF(S4&lt;A9,0,IF((SUM(E9:R9)+((C9-D9)*B9))&gt;(C9-D9),C9-D9-SUM(E9:R9),(C9-D9)*B9))</f>
        <v>0</v>
      </c>
      <c r="T9" s="417">
        <f>IF(T4&lt;A9,0,IF((SUM(E9:S9)+((C9-D9)*B9))&gt;(C9-D9),C9-D9-SUM(E9:S9),(C9-D9)*B9))</f>
        <v>0</v>
      </c>
      <c r="U9" s="417">
        <f>IF(U4&lt;A9,0,IF((SUM(E9:T9)+((C9-D9)*B9))&gt;(C9-D9),C9-D9-SUM(E9:T9),(C9-D9)*B9))</f>
        <v>0</v>
      </c>
      <c r="V9" s="417">
        <f>IF(V4&lt;A9,0,IF((SUM(E9:U9)+((C9-D9)*B9))&gt;(C9-D9),C9-D9-SUM(E9:U9),(C9-D9)*B9))</f>
        <v>0</v>
      </c>
      <c r="W9" s="417">
        <f>IF(W4&lt;A9,0,IF((SUM(E9:V9)+((C9-D9)*B9))&gt;(C9-D9),C9-D9-SUM(E9:V9),(C9-D9)*B9))</f>
        <v>0</v>
      </c>
      <c r="X9" s="417">
        <f>IF(X4&lt;A9,0,IF((SUM(E9:W9)+((C9-D9)*B9))&gt;(C9-D9),C9-D9-SUM(E9:W9),(C9-D9)*B9))</f>
        <v>0</v>
      </c>
      <c r="Y9" s="417">
        <f>IF(Y4&lt;A9,0,IF((SUM(E9:X9)+((C9-D9)*B9))&gt;(C9-D9),C9-D9-SUM(E9:X9),(C9-D9)*B9))</f>
        <v>0</v>
      </c>
      <c r="Z9" s="417">
        <f>IF(Z4&lt;A9,0,IF((SUM(E9:Y9)+((C9-D9)*B9))&gt;(C9-D9),C9-D9-SUM(E9:Y9),(C9-D9)*B9))</f>
        <v>0</v>
      </c>
      <c r="AA9" s="417">
        <f>IF(AA4&lt;A9,0,IF((SUM(E9:Z9)+((C9-D9)*B9))&gt;(C9-D9),C9-D9-SUM(E9:Z9),(C9-D9)*B9))</f>
        <v>0</v>
      </c>
      <c r="AB9" s="417">
        <f>IF(AB4&lt;A9,0,IF((SUM(E9:AA9)+((C9-D9)*B9))&gt;(C9-D9),C9-D9-SUM(E9:AA9),(C9-D9)*B9))</f>
        <v>0</v>
      </c>
      <c r="AC9" s="417">
        <f>IF(AC4&lt;A9,0,IF((SUM(E9:AB9)+((C9-D9)*B9))&gt;(C9-D9),C9-D9-SUM(E9:AB9),(C9-D9)*B9))</f>
        <v>0</v>
      </c>
      <c r="AD9" s="417">
        <f>IF(AD4&lt;A9,0,IF((SUM(E9:AC9)+((C9-D9)*B9))&gt;(C9-D9),C9-D9-SUM(E9:AC9),(C9-D9)*B9))</f>
        <v>0</v>
      </c>
      <c r="AE9" s="417">
        <f>IF(AE4&lt;A9,0,IF((SUM(E9:AD9)+((C9-D9)*B9))&gt;(C9-D9),C9-D9-SUM(E9:AD9),(C9-D9)*B9))</f>
        <v>0</v>
      </c>
      <c r="AF9" s="417">
        <f>IF(AF4&lt;A9,0,IF((SUM(E9:AE9)+((C9-D9)*B9))&gt;(C9-D9),C9-D9-SUM(E9:AE9),(C9-D9)*B9))</f>
        <v>0</v>
      </c>
      <c r="AG9" s="417">
        <f>IF(AG4&lt;A9,0,IF((SUM(E9:AF9)+((C9-D9)*B9))&gt;(C9-D9),C9-D9-SUM(E9:AF9),(C9-D9)*B9))</f>
        <v>0</v>
      </c>
      <c r="AH9" s="417">
        <f>IF(AH4&lt;A9,0,IF((SUM(E9:AG9)+((C9-D9)*B9))&gt;(C9-D9),C9-D9-SUM(E9:AG9),(C9-D9)*B9))</f>
        <v>0</v>
      </c>
    </row>
    <row r="10" spans="1:34" s="75" customFormat="1" ht="13.15" customHeight="1" outlineLevel="1" x14ac:dyDescent="0.2">
      <c r="A10" s="416">
        <v>6</v>
      </c>
      <c r="B10" s="374">
        <v>0.2</v>
      </c>
      <c r="C10" s="378">
        <f>SUMIF('14 - Investimentos'!B:B,'15 - Depreciação'!A2,'14 - Investimentos'!J:J)</f>
        <v>829619</v>
      </c>
      <c r="D10" s="417">
        <f>C10*B2</f>
        <v>248885.69999999998</v>
      </c>
      <c r="E10" s="417">
        <f>IF(E4&lt;A10,0,(C10-D10)*B10)</f>
        <v>0</v>
      </c>
      <c r="F10" s="417">
        <f>IF(F4&lt;A10,0,IF((SUM(E10:E10)+((C10-D10)*B10))&gt;(C10-D10),C10-D10-SUM(E10:E10),(C10-D10)*B10))</f>
        <v>0</v>
      </c>
      <c r="G10" s="417">
        <f>IF(G4&lt;A10,0,IF((SUM(E10:F10)+((C10-D10)*B10))&gt;(C10-D10),C10-D10-SUM(E10:F10),(C10-D10)*B10))</f>
        <v>0</v>
      </c>
      <c r="H10" s="417">
        <f>IF(H4&lt;A10,0,IF((SUM(E10:G10)+((C10-D10)*B10))&gt;(C10-D10),C10-D10-SUM(E10:G10),(C10-D10)*B10))</f>
        <v>0</v>
      </c>
      <c r="I10" s="417">
        <f>IF(I4&lt;A10,0,IF((SUM(E10:H10)+((C10-D10)*B10))&gt;(C10-D10),C10-D10-SUM(E10:H10),(C10-D10)*B10))</f>
        <v>0</v>
      </c>
      <c r="J10" s="417">
        <f>IF(J4&lt;A10,0,IF((SUM(E10:I10)+((C10-D10)*B10))&gt;(C10-D10),C10-D10-SUM(E10:I10),(C10-D10)*B10))</f>
        <v>116146.66000000002</v>
      </c>
      <c r="K10" s="417">
        <f>IF(K4&lt;A10,0,IF((SUM(E10:J10)+((C10-D10)*B10))&gt;(C10-D10),C10-D10-SUM(E10:J10),(C10-D10)*B10))</f>
        <v>116146.66000000002</v>
      </c>
      <c r="L10" s="417">
        <f>IF(L4&lt;A10,0,IF((SUM(E10:K10)+((C10-D10)*B10))&gt;(C10-D10),C10-D10-SUM(E10:K10),(C10-D10)*B10))</f>
        <v>116146.66000000002</v>
      </c>
      <c r="M10" s="417">
        <f>IF(M4&lt;A10,0,IF((SUM(E10:L10)+((C10-D10)*B10))&gt;(C10-D10),C10-D10-SUM(E10:L10),(C10-D10)*B10))</f>
        <v>116146.66000000002</v>
      </c>
      <c r="N10" s="417">
        <f>IF(N4&lt;A10,0,IF((SUM(E10:M10)+((C10-D10)*B10))&gt;(C10-D10),C10-D10-SUM(E10:M10),(C10-D10)*B10))</f>
        <v>116146.66000000002</v>
      </c>
      <c r="O10" s="417">
        <f>IF(O4&lt;A10,0,IF((SUM(E10:N10)+((C10-D10)*B10))&gt;(C10-D10),C10-D10-SUM(E10:N10),(C10-D10)*B10))</f>
        <v>0</v>
      </c>
      <c r="P10" s="417">
        <f>IF(P4&lt;A10,0,IF((SUM(E10:O10)+((C10-D10)*B10))&gt;(C10-D10),C10-D10-SUM(E10:O10),(C10-D10)*B10))</f>
        <v>0</v>
      </c>
      <c r="Q10" s="417">
        <f>IF(Q4&lt;A10,0,IF((SUM(E10:P10)+((C10-D10)*B10))&gt;(C10-D10),C10-D10-SUM(E10:P10),(C10-D10)*B10))</f>
        <v>0</v>
      </c>
      <c r="R10" s="417">
        <f>IF(R4&lt;A10,0,IF((SUM(E10:Q10)+((C10-D10)*B10))&gt;(C10-D10),C10-D10-SUM(E10:Q10),(C10-D10)*B10))</f>
        <v>0</v>
      </c>
      <c r="S10" s="417">
        <f>IF(S4&lt;A10,0,IF((SUM(E10:R10)+((C10-D10)*B10))&gt;(C10-D10),C10-D10-SUM(E10:R10),(C10-D10)*B10))</f>
        <v>0</v>
      </c>
      <c r="T10" s="417">
        <f>IF(T4&lt;A10,0,IF((SUM(E10:S10)+((C10-D10)*B10))&gt;(C10-D10),C10-D10-SUM(E10:S10),(C10-D10)*B10))</f>
        <v>0</v>
      </c>
      <c r="U10" s="417">
        <f>IF(U4&lt;A10,0,IF((SUM(E10:T10)+((C10-D10)*B10))&gt;(C10-D10),C10-D10-SUM(E10:T10),(C10-D10)*B10))</f>
        <v>0</v>
      </c>
      <c r="V10" s="417">
        <f>IF(V4&lt;A10,0,IF((SUM(E10:U10)+((C10-D10)*B10))&gt;(C10-D10),C10-D10-SUM(E10:U10),(C10-D10)*B10))</f>
        <v>0</v>
      </c>
      <c r="W10" s="417">
        <f>IF(W4&lt;A10,0,IF((SUM(E10:V10)+((C10-D10)*B10))&gt;(C10-D10),C10-D10-SUM(E10:V10),(C10-D10)*B10))</f>
        <v>0</v>
      </c>
      <c r="X10" s="417">
        <f>IF(X4&lt;A10,0,IF((SUM(E10:W10)+((C10-D10)*B10))&gt;(C10-D10),C10-D10-SUM(E10:W10),(C10-D10)*B10))</f>
        <v>0</v>
      </c>
      <c r="Y10" s="417">
        <f>IF(Y4&lt;A10,0,IF((SUM(E10:X10)+((C10-D10)*B10))&gt;(C10-D10),C10-D10-SUM(E10:X10),(C10-D10)*B10))</f>
        <v>0</v>
      </c>
      <c r="Z10" s="417">
        <f>IF(Z4&lt;A10,0,IF((SUM(E10:Y10)+((C10-D10)*B10))&gt;(C10-D10),C10-D10-SUM(E10:Y10),(C10-D10)*B10))</f>
        <v>0</v>
      </c>
      <c r="AA10" s="417">
        <f>IF(AA4&lt;A10,0,IF((SUM(E10:Z10)+((C10-D10)*B10))&gt;(C10-D10),C10-D10-SUM(E10:Z10),(C10-D10)*B10))</f>
        <v>0</v>
      </c>
      <c r="AB10" s="417">
        <f>IF(AB4&lt;A10,0,IF((SUM(E10:AA10)+((C10-D10)*B10))&gt;(C10-D10),C10-D10-SUM(E10:AA10),(C10-D10)*B10))</f>
        <v>0</v>
      </c>
      <c r="AC10" s="417">
        <f>IF(AC4&lt;A10,0,IF((SUM(E10:AB10)+((C10-D10)*B10))&gt;(C10-D10),C10-D10-SUM(E10:AB10),(C10-D10)*B10))</f>
        <v>0</v>
      </c>
      <c r="AD10" s="417">
        <f>IF(AD4&lt;A10,0,IF((SUM(E10:AC10)+((C10-D10)*B10))&gt;(C10-D10),C10-D10-SUM(E10:AC10),(C10-D10)*B10))</f>
        <v>0</v>
      </c>
      <c r="AE10" s="417">
        <f>IF(AE4&lt;A10,0,IF((SUM(E10:AD10)+((C10-D10)*B10))&gt;(C10-D10),C10-D10-SUM(E10:AD10),(C10-D10)*B10))</f>
        <v>0</v>
      </c>
      <c r="AF10" s="417">
        <f>IF(AF4&lt;A10,0,IF((SUM(E10:AE10)+((C10-D10)*B10))&gt;(C10-D10),C10-D10-SUM(E10:AE10),(C10-D10)*B10))</f>
        <v>0</v>
      </c>
      <c r="AG10" s="417">
        <f>IF(AG4&lt;A10,0,IF((SUM(E10:AF10)+((C10-D10)*B10))&gt;(C10-D10),C10-D10-SUM(E10:AF10),(C10-D10)*B10))</f>
        <v>0</v>
      </c>
      <c r="AH10" s="417">
        <f>IF(AH4&lt;A10,0,IF((SUM(E10:AG10)+((C10-D10)*B10))&gt;(C10-D10),C10-D10-SUM(E10:AG10),(C10-D10)*B10))</f>
        <v>0</v>
      </c>
    </row>
    <row r="11" spans="1:34" s="75" customFormat="1" ht="13.15" customHeight="1" outlineLevel="1" x14ac:dyDescent="0.2">
      <c r="A11" s="416">
        <v>7</v>
      </c>
      <c r="B11" s="374">
        <v>0.2</v>
      </c>
      <c r="C11" s="378">
        <f>SUMIF('14 - Investimentos'!B:B,'15 - Depreciação'!A2,'14 - Investimentos'!K:K)</f>
        <v>0</v>
      </c>
      <c r="D11" s="417">
        <f>C11*B2</f>
        <v>0</v>
      </c>
      <c r="E11" s="417">
        <f>IF(E4&lt;A11,0,(C11-D11)*B11)</f>
        <v>0</v>
      </c>
      <c r="F11" s="417">
        <f>IF(F4&lt;A11,0,IF((SUM(E11:E11)+((C11-D11)*B11))&gt;(C11-D11),C11-D11-SUM(E11:E11),(C11-D11)*B11))</f>
        <v>0</v>
      </c>
      <c r="G11" s="417">
        <f>IF(G4&lt;A11,0,IF((SUM(E11:F11)+((C11-D11)*B11))&gt;(C11-D11),C11-D11-SUM(E11:F11),(C11-D11)*B11))</f>
        <v>0</v>
      </c>
      <c r="H11" s="417">
        <f>IF(H4&lt;A11,0,IF((SUM(E11:G11)+((C11-D11)*B11))&gt;(C11-D11),C11-D11-SUM(E11:G11),(C11-D11)*B11))</f>
        <v>0</v>
      </c>
      <c r="I11" s="417">
        <f>IF(I4&lt;A11,0,IF((SUM(E11:H11)+((C11-D11)*B11))&gt;(C11-D11),C11-D11-SUM(E11:H11),(C11-D11)*B11))</f>
        <v>0</v>
      </c>
      <c r="J11" s="417">
        <f>IF(J4&lt;A11,0,IF((SUM(E11:I11)+((C11-D11)*B11))&gt;(C11-D11),C11-D11-SUM(E11:I11),(C11-D11)*B11))</f>
        <v>0</v>
      </c>
      <c r="K11" s="417">
        <f>IF(K4&lt;A11,0,IF((SUM(E11:J11)+((C11-D11)*B11))&gt;(C11-D11),C11-D11-SUM(E11:J11),(C11-D11)*B11))</f>
        <v>0</v>
      </c>
      <c r="L11" s="417">
        <f>IF(L4&lt;A11,0,IF((SUM(E11:K11)+((C11-D11)*B11))&gt;(C11-D11),C11-D11-SUM(E11:K11),(C11-D11)*B11))</f>
        <v>0</v>
      </c>
      <c r="M11" s="417">
        <f>IF(M4&lt;A11,0,IF((SUM(E11:L11)+((C11-D11)*B11))&gt;(C11-D11),C11-D11-SUM(E11:L11),(C11-D11)*B11))</f>
        <v>0</v>
      </c>
      <c r="N11" s="417">
        <f>IF(N4&lt;A11,0,IF((SUM(E11:M11)+((C11-D11)*B11))&gt;(C11-D11),C11-D11-SUM(E11:M11),(C11-D11)*B11))</f>
        <v>0</v>
      </c>
      <c r="O11" s="417">
        <f>IF(O4&lt;A11,0,IF((SUM(E11:N11)+((C11-D11)*B11))&gt;(C11-D11),C11-D11-SUM(E11:N11),(C11-D11)*B11))</f>
        <v>0</v>
      </c>
      <c r="P11" s="417">
        <f>IF(P4&lt;A11,0,IF((SUM(E11:O11)+((C11-D11)*B11))&gt;(C11-D11),C11-D11-SUM(E11:O11),(C11-D11)*B11))</f>
        <v>0</v>
      </c>
      <c r="Q11" s="417">
        <f>IF(Q4&lt;A11,0,IF((SUM(E11:P11)+((C11-D11)*B11))&gt;(C11-D11),C11-D11-SUM(E11:P11),(C11-D11)*B11))</f>
        <v>0</v>
      </c>
      <c r="R11" s="417">
        <f>IF(R4&lt;A11,0,IF((SUM(E11:Q11)+((C11-D11)*B11))&gt;(C11-D11),C11-D11-SUM(E11:Q11),(C11-D11)*B11))</f>
        <v>0</v>
      </c>
      <c r="S11" s="417">
        <f>IF(S4&lt;A11,0,IF((SUM(E11:R11)+((C11-D11)*B11))&gt;(C11-D11),C11-D11-SUM(E11:R11),(C11-D11)*B11))</f>
        <v>0</v>
      </c>
      <c r="T11" s="417">
        <f>IF(T4&lt;A11,0,IF((SUM(E11:S11)+((C11-D11)*B11))&gt;(C11-D11),C11-D11-SUM(E11:S11),(C11-D11)*B11))</f>
        <v>0</v>
      </c>
      <c r="U11" s="417">
        <f>IF(U4&lt;A11,0,IF((SUM(E11:T11)+((C11-D11)*B11))&gt;(C11-D11),C11-D11-SUM(E11:T11),(C11-D11)*B11))</f>
        <v>0</v>
      </c>
      <c r="V11" s="417">
        <f>IF(V4&lt;A11,0,IF((SUM(E11:U11)+((C11-D11)*B11))&gt;(C11-D11),C11-D11-SUM(E11:U11),(C11-D11)*B11))</f>
        <v>0</v>
      </c>
      <c r="W11" s="417">
        <f>IF(W4&lt;A11,0,IF((SUM(E11:V11)+((C11-D11)*B11))&gt;(C11-D11),C11-D11-SUM(E11:V11),(C11-D11)*B11))</f>
        <v>0</v>
      </c>
      <c r="X11" s="417">
        <f>IF(X4&lt;A11,0,IF((SUM(E11:W11)+((C11-D11)*B11))&gt;(C11-D11),C11-D11-SUM(E11:W11),(C11-D11)*B11))</f>
        <v>0</v>
      </c>
      <c r="Y11" s="417">
        <f>IF(Y4&lt;A11,0,IF((SUM(E11:X11)+((C11-D11)*B11))&gt;(C11-D11),C11-D11-SUM(E11:X11),(C11-D11)*B11))</f>
        <v>0</v>
      </c>
      <c r="Z11" s="417">
        <f>IF(Z4&lt;A11,0,IF((SUM(E11:Y11)+((C11-D11)*B11))&gt;(C11-D11),C11-D11-SUM(E11:Y11),(C11-D11)*B11))</f>
        <v>0</v>
      </c>
      <c r="AA11" s="417">
        <f>IF(AA4&lt;A11,0,IF((SUM(E11:Z11)+((C11-D11)*B11))&gt;(C11-D11),C11-D11-SUM(E11:Z11),(C11-D11)*B11))</f>
        <v>0</v>
      </c>
      <c r="AB11" s="417">
        <f>IF(AB4&lt;A11,0,IF((SUM(E11:AA11)+((C11-D11)*B11))&gt;(C11-D11),C11-D11-SUM(E11:AA11),(C11-D11)*B11))</f>
        <v>0</v>
      </c>
      <c r="AC11" s="417">
        <f>IF(AC4&lt;A11,0,IF((SUM(E11:AB11)+((C11-D11)*B11))&gt;(C11-D11),C11-D11-SUM(E11:AB11),(C11-D11)*B11))</f>
        <v>0</v>
      </c>
      <c r="AD11" s="417">
        <f>IF(AD4&lt;A11,0,IF((SUM(E11:AC11)+((C11-D11)*B11))&gt;(C11-D11),C11-D11-SUM(E11:AC11),(C11-D11)*B11))</f>
        <v>0</v>
      </c>
      <c r="AE11" s="417">
        <f>IF(AE4&lt;A11,0,IF((SUM(E11:AD11)+((C11-D11)*B11))&gt;(C11-D11),C11-D11-SUM(E11:AD11),(C11-D11)*B11))</f>
        <v>0</v>
      </c>
      <c r="AF11" s="417">
        <f>IF(AF4&lt;A11,0,IF((SUM(E11:AE11)+((C11-D11)*B11))&gt;(C11-D11),C11-D11-SUM(E11:AE11),(C11-D11)*B11))</f>
        <v>0</v>
      </c>
      <c r="AG11" s="417">
        <f>IF(AG4&lt;A11,0,IF((SUM(E11:AF11)+((C11-D11)*B11))&gt;(C11-D11),C11-D11-SUM(E11:AF11),(C11-D11)*B11))</f>
        <v>0</v>
      </c>
      <c r="AH11" s="417">
        <f>IF(AH4&lt;A11,0,IF((SUM(E11:AG11)+((C11-D11)*B11))&gt;(C11-D11),C11-D11-SUM(E11:AG11),(C11-D11)*B11))</f>
        <v>0</v>
      </c>
    </row>
    <row r="12" spans="1:34" s="75" customFormat="1" ht="13.15" customHeight="1" outlineLevel="1" x14ac:dyDescent="0.2">
      <c r="A12" s="416">
        <v>8</v>
      </c>
      <c r="B12" s="374">
        <v>0.2</v>
      </c>
      <c r="C12" s="378">
        <f>SUMIF('14 - Investimentos'!B:B,'15 - Depreciação'!A2,'14 - Investimentos'!L:L)</f>
        <v>21291802.219999999</v>
      </c>
      <c r="D12" s="417">
        <f>C12*B2</f>
        <v>6387540.6659999993</v>
      </c>
      <c r="E12" s="417">
        <f>IF(E4&lt;A12,0,(C12-D12)*B12)</f>
        <v>0</v>
      </c>
      <c r="F12" s="417">
        <f>IF(F4&lt;A12,0,IF((SUM(E12:E12)+((C12-D12)*B12))&gt;(C12-D12),C12-D12-SUM(E12:E12),(C12-D12)*B12))</f>
        <v>0</v>
      </c>
      <c r="G12" s="417">
        <f>IF(G4&lt;A12,0,IF((SUM(E12:F12)+((C12-D12)*B12))&gt;(C12-D12),C12-D12-SUM(E12:F12),(C12-D12)*B12))</f>
        <v>0</v>
      </c>
      <c r="H12" s="417">
        <f>IF(H4&lt;A12,0,IF((SUM(E12:G12)+((C12-D12)*B12))&gt;(C12-D12),C12-D12-SUM(E12:G12),(C12-D12)*B12))</f>
        <v>0</v>
      </c>
      <c r="I12" s="417">
        <f>IF(I4&lt;A12,0,IF((SUM(E12:H12)+((C12-D12)*B12))&gt;(C12-D12),C12-D12-SUM(E12:H12),(C12-D12)*B12))</f>
        <v>0</v>
      </c>
      <c r="J12" s="417">
        <f>IF(J4&lt;A12,0,IF((SUM(E12:I12)+((C12-D12)*B12))&gt;(C12-D12),C12-D12-SUM(E12:I12),(C12-D12)*B12))</f>
        <v>0</v>
      </c>
      <c r="K12" s="417">
        <f>IF(K4&lt;A12,0,IF((SUM(E12:J12)+((C12-D12)*B12))&gt;(C12-D12),C12-D12-SUM(E12:J12),(C12-D12)*B12))</f>
        <v>0</v>
      </c>
      <c r="L12" s="417">
        <f>IF(L4&lt;A12,0,IF((SUM(E12:K12)+((C12-D12)*B12))&gt;(C12-D12),C12-D12-SUM(E12:K12),(C12-D12)*B12))</f>
        <v>2980852.3108000001</v>
      </c>
      <c r="M12" s="417">
        <f>IF(M4&lt;A12,0,IF((SUM(E12:L12)+((C12-D12)*B12))&gt;(C12-D12),C12-D12-SUM(E12:L12),(C12-D12)*B12))</f>
        <v>2980852.3108000001</v>
      </c>
      <c r="N12" s="417">
        <f>IF(N4&lt;A12,0,IF((SUM(E12:M12)+((C12-D12)*B12))&gt;(C12-D12),C12-D12-SUM(E12:M12),(C12-D12)*B12))</f>
        <v>2980852.3108000001</v>
      </c>
      <c r="O12" s="417">
        <f>IF(O4&lt;A12,0,IF((SUM(E12:N12)+((C12-D12)*B12))&gt;(C12-D12),C12-D12-SUM(E12:N12),(C12-D12)*B12))</f>
        <v>2980852.3108000001</v>
      </c>
      <c r="P12" s="417">
        <f>IF(P4&lt;A12,0,IF((SUM(E12:O12)+((C12-D12)*B12))&gt;(C12-D12),C12-D12-SUM(E12:O12),(C12-D12)*B12))</f>
        <v>2980852.3108000001</v>
      </c>
      <c r="Q12" s="417">
        <f>IF(Q4&lt;A12,0,IF((SUM(E12:P12)+((C12-D12)*B12))&gt;(C12-D12),C12-D12-SUM(E12:P12),(C12-D12)*B12))</f>
        <v>-1.862645149230957E-9</v>
      </c>
      <c r="R12" s="417">
        <f>IF(R4&lt;A12,0,IF((SUM(E12:Q12)+((C12-D12)*B12))&gt;(C12-D12),C12-D12-SUM(E12:Q12),(C12-D12)*B12))</f>
        <v>0</v>
      </c>
      <c r="S12" s="417">
        <f>IF(S4&lt;A12,0,IF((SUM(E12:R12)+((C12-D12)*B12))&gt;(C12-D12),C12-D12-SUM(E12:R12),(C12-D12)*B12))</f>
        <v>0</v>
      </c>
      <c r="T12" s="417">
        <f>IF(T4&lt;A12,0,IF((SUM(E12:S12)+((C12-D12)*B12))&gt;(C12-D12),C12-D12-SUM(E12:S12),(C12-D12)*B12))</f>
        <v>0</v>
      </c>
      <c r="U12" s="417">
        <f>IF(U4&lt;A12,0,IF((SUM(E12:T12)+((C12-D12)*B12))&gt;(C12-D12),C12-D12-SUM(E12:T12),(C12-D12)*B12))</f>
        <v>0</v>
      </c>
      <c r="V12" s="417">
        <f>IF(V4&lt;A12,0,IF((SUM(E12:U12)+((C12-D12)*B12))&gt;(C12-D12),C12-D12-SUM(E12:U12),(C12-D12)*B12))</f>
        <v>0</v>
      </c>
      <c r="W12" s="417">
        <f>IF(W4&lt;A12,0,IF((SUM(E12:V12)+((C12-D12)*B12))&gt;(C12-D12),C12-D12-SUM(E12:V12),(C12-D12)*B12))</f>
        <v>0</v>
      </c>
      <c r="X12" s="417">
        <f>IF(X4&lt;A12,0,IF((SUM(E12:W12)+((C12-D12)*B12))&gt;(C12-D12),C12-D12-SUM(E12:W12),(C12-D12)*B12))</f>
        <v>0</v>
      </c>
      <c r="Y12" s="417">
        <f>IF(Y4&lt;A12,0,IF((SUM(E12:X12)+((C12-D12)*B12))&gt;(C12-D12),C12-D12-SUM(E12:X12),(C12-D12)*B12))</f>
        <v>0</v>
      </c>
      <c r="Z12" s="417">
        <f>IF(Z4&lt;A12,0,IF((SUM(E12:Y12)+((C12-D12)*B12))&gt;(C12-D12),C12-D12-SUM(E12:Y12),(C12-D12)*B12))</f>
        <v>0</v>
      </c>
      <c r="AA12" s="417">
        <f>IF(AA4&lt;A12,0,IF((SUM(E12:Z12)+((C12-D12)*B12))&gt;(C12-D12),C12-D12-SUM(E12:Z12),(C12-D12)*B12))</f>
        <v>0</v>
      </c>
      <c r="AB12" s="417">
        <f>IF(AB4&lt;A12,0,IF((SUM(E12:AA12)+((C12-D12)*B12))&gt;(C12-D12),C12-D12-SUM(E12:AA12),(C12-D12)*B12))</f>
        <v>0</v>
      </c>
      <c r="AC12" s="417">
        <f>IF(AC4&lt;A12,0,IF((SUM(E12:AB12)+((C12-D12)*B12))&gt;(C12-D12),C12-D12-SUM(E12:AB12),(C12-D12)*B12))</f>
        <v>0</v>
      </c>
      <c r="AD12" s="417">
        <f>IF(AD4&lt;A12,0,IF((SUM(E12:AC12)+((C12-D12)*B12))&gt;(C12-D12),C12-D12-SUM(E12:AC12),(C12-D12)*B12))</f>
        <v>0</v>
      </c>
      <c r="AE12" s="417">
        <f>IF(AE4&lt;A12,0,IF((SUM(E12:AD12)+((C12-D12)*B12))&gt;(C12-D12),C12-D12-SUM(E12:AD12),(C12-D12)*B12))</f>
        <v>0</v>
      </c>
      <c r="AF12" s="417">
        <f>IF(AF4&lt;A12,0,IF((SUM(E12:AE12)+((C12-D12)*B12))&gt;(C12-D12),C12-D12-SUM(E12:AE12),(C12-D12)*B12))</f>
        <v>0</v>
      </c>
      <c r="AG12" s="417">
        <f>IF(AG4&lt;A12,0,IF((SUM(E12:AF12)+((C12-D12)*B12))&gt;(C12-D12),C12-D12-SUM(E12:AF12),(C12-D12)*B12))</f>
        <v>0</v>
      </c>
      <c r="AH12" s="417">
        <f>IF(AH4&lt;A12,0,IF((SUM(E12:AG12)+((C12-D12)*B12))&gt;(C12-D12),C12-D12-SUM(E12:AG12),(C12-D12)*B12))</f>
        <v>0</v>
      </c>
    </row>
    <row r="13" spans="1:34" s="75" customFormat="1" ht="13.15" customHeight="1" outlineLevel="1" x14ac:dyDescent="0.2">
      <c r="A13" s="416">
        <v>9</v>
      </c>
      <c r="B13" s="374">
        <v>0.2</v>
      </c>
      <c r="C13" s="378">
        <f>SUMIF('14 - Investimentos'!B:B,'15 - Depreciação'!A2,'14 - Investimentos'!M:M)</f>
        <v>723346</v>
      </c>
      <c r="D13" s="417">
        <f>C13*B2</f>
        <v>217003.8</v>
      </c>
      <c r="E13" s="417">
        <f>IF(E4&lt;A13,0,(C13-D13)*B13)</f>
        <v>0</v>
      </c>
      <c r="F13" s="417">
        <f>IF(F4&lt;A13,0,IF((SUM(E13:E13)+((C13-D13)*B13))&gt;(C13-D13),C13-D13-SUM(E13:E13),(C13-D13)*B13))</f>
        <v>0</v>
      </c>
      <c r="G13" s="417">
        <f>IF(G4&lt;A13,0,IF((SUM(E13:F13)+((C13-D13)*B13))&gt;(C13-D13),C13-D13-SUM(E13:F13),(C13-D13)*B13))</f>
        <v>0</v>
      </c>
      <c r="H13" s="417">
        <f>IF(H4&lt;A13,0,IF((SUM(E13:G13)+((C13-D13)*B13))&gt;(C13-D13),C13-D13-SUM(E13:G13),(C13-D13)*B13))</f>
        <v>0</v>
      </c>
      <c r="I13" s="417">
        <f>IF(I4&lt;A13,0,IF((SUM(E13:H13)+((C13-D13)*B13))&gt;(C13-D13),C13-D13-SUM(E13:H13),(C13-D13)*B13))</f>
        <v>0</v>
      </c>
      <c r="J13" s="417">
        <f>IF(J4&lt;A13,0,IF((SUM(E13:I13)+((C13-D13)*B13))&gt;(C13-D13),C13-D13-SUM(E13:I13),(C13-D13)*B13))</f>
        <v>0</v>
      </c>
      <c r="K13" s="417">
        <f>IF(K4&lt;A13,0,IF((SUM(E13:J13)+((C13-D13)*B13))&gt;(C13-D13),C13-D13-SUM(E13:J13),(C13-D13)*B13))</f>
        <v>0</v>
      </c>
      <c r="L13" s="417">
        <f>IF(L4&lt;A13,0,IF((SUM(E13:K13)+((C13-D13)*B13))&gt;(C13-D13),C13-D13-SUM(E13:K13),(C13-D13)*B13))</f>
        <v>0</v>
      </c>
      <c r="M13" s="417">
        <f>IF(M4&lt;A13,0,IF((SUM(E13:L13)+((C13-D13)*B13))&gt;(C13-D13),C13-D13-SUM(E13:L13),(C13-D13)*B13))</f>
        <v>101268.44</v>
      </c>
      <c r="N13" s="417">
        <f>IF(N4&lt;A13,0,IF((SUM(E13:M13)+((C13-D13)*B13))&gt;(C13-D13),C13-D13-SUM(E13:M13),(C13-D13)*B13))</f>
        <v>101268.44</v>
      </c>
      <c r="O13" s="417">
        <f>IF(O4&lt;A13,0,IF((SUM(E13:N13)+((C13-D13)*B13))&gt;(C13-D13),C13-D13-SUM(E13:N13),(C13-D13)*B13))</f>
        <v>101268.44</v>
      </c>
      <c r="P13" s="417">
        <f>IF(P4&lt;A13,0,IF((SUM(E13:O13)+((C13-D13)*B13))&gt;(C13-D13),C13-D13-SUM(E13:O13),(C13-D13)*B13))</f>
        <v>101268.44</v>
      </c>
      <c r="Q13" s="417">
        <f>IF(Q4&lt;A13,0,IF((SUM(E13:P13)+((C13-D13)*B13))&gt;(C13-D13),C13-D13-SUM(E13:P13),(C13-D13)*B13))</f>
        <v>101268.44</v>
      </c>
      <c r="R13" s="417">
        <f>IF(R4&lt;A13,0,IF((SUM(E13:Q13)+((C13-D13)*B13))&gt;(C13-D13),C13-D13-SUM(E13:Q13),(C13-D13)*B13))</f>
        <v>0</v>
      </c>
      <c r="S13" s="417">
        <f>IF(S4&lt;A13,0,IF((SUM(E13:R13)+((C13-D13)*B13))&gt;(C13-D13),C13-D13-SUM(E13:R13),(C13-D13)*B13))</f>
        <v>0</v>
      </c>
      <c r="T13" s="417">
        <f>IF(T4&lt;A13,0,IF((SUM(E13:S13)+((C13-D13)*B13))&gt;(C13-D13),C13-D13-SUM(E13:S13),(C13-D13)*B13))</f>
        <v>0</v>
      </c>
      <c r="U13" s="417">
        <f>IF(U4&lt;A13,0,IF((SUM(E13:T13)+((C13-D13)*B13))&gt;(C13-D13),C13-D13-SUM(E13:T13),(C13-D13)*B13))</f>
        <v>0</v>
      </c>
      <c r="V13" s="417">
        <f>IF(V4&lt;A13,0,IF((SUM(E13:U13)+((C13-D13)*B13))&gt;(C13-D13),C13-D13-SUM(E13:U13),(C13-D13)*B13))</f>
        <v>0</v>
      </c>
      <c r="W13" s="417">
        <f>IF(W4&lt;A13,0,IF((SUM(E13:V13)+((C13-D13)*B13))&gt;(C13-D13),C13-D13-SUM(E13:V13),(C13-D13)*B13))</f>
        <v>0</v>
      </c>
      <c r="X13" s="417">
        <f>IF(X4&lt;A13,0,IF((SUM(E13:W13)+((C13-D13)*B13))&gt;(C13-D13),C13-D13-SUM(E13:W13),(C13-D13)*B13))</f>
        <v>0</v>
      </c>
      <c r="Y13" s="417">
        <f>IF(Y4&lt;A13,0,IF((SUM(E13:X13)+((C13-D13)*B13))&gt;(C13-D13),C13-D13-SUM(E13:X13),(C13-D13)*B13))</f>
        <v>0</v>
      </c>
      <c r="Z13" s="417">
        <f>IF(Z4&lt;A13,0,IF((SUM(E13:Y13)+((C13-D13)*B13))&gt;(C13-D13),C13-D13-SUM(E13:Y13),(C13-D13)*B13))</f>
        <v>0</v>
      </c>
      <c r="AA13" s="417">
        <f>IF(AA4&lt;A13,0,IF((SUM(E13:Z13)+((C13-D13)*B13))&gt;(C13-D13),C13-D13-SUM(E13:Z13),(C13-D13)*B13))</f>
        <v>0</v>
      </c>
      <c r="AB13" s="417">
        <f>IF(AB4&lt;A13,0,IF((SUM(E13:AA13)+((C13-D13)*B13))&gt;(C13-D13),C13-D13-SUM(E13:AA13),(C13-D13)*B13))</f>
        <v>0</v>
      </c>
      <c r="AC13" s="417">
        <f>IF(AC4&lt;A13,0,IF((SUM(E13:AB13)+((C13-D13)*B13))&gt;(C13-D13),C13-D13-SUM(E13:AB13),(C13-D13)*B13))</f>
        <v>0</v>
      </c>
      <c r="AD13" s="417">
        <f>IF(AD4&lt;A13,0,IF((SUM(E13:AC13)+((C13-D13)*B13))&gt;(C13-D13),C13-D13-SUM(E13:AC13),(C13-D13)*B13))</f>
        <v>0</v>
      </c>
      <c r="AE13" s="417">
        <f>IF(AE4&lt;A13,0,IF((SUM(E13:AD13)+((C13-D13)*B13))&gt;(C13-D13),C13-D13-SUM(E13:AD13),(C13-D13)*B13))</f>
        <v>0</v>
      </c>
      <c r="AF13" s="417">
        <f>IF(AF4&lt;A13,0,IF((SUM(E13:AE13)+((C13-D13)*B13))&gt;(C13-D13),C13-D13-SUM(E13:AE13),(C13-D13)*B13))</f>
        <v>0</v>
      </c>
      <c r="AG13" s="417">
        <f>IF(AG4&lt;A13,0,IF((SUM(E13:AF13)+((C13-D13)*B13))&gt;(C13-D13),C13-D13-SUM(E13:AF13),(C13-D13)*B13))</f>
        <v>0</v>
      </c>
      <c r="AH13" s="417">
        <f>IF(AH4&lt;A13,0,IF((SUM(E13:AG13)+((C13-D13)*B13))&gt;(C13-D13),C13-D13-SUM(E13:AG13),(C13-D13)*B13))</f>
        <v>0</v>
      </c>
    </row>
    <row r="14" spans="1:34" s="75" customFormat="1" ht="13.15" customHeight="1" outlineLevel="1" x14ac:dyDescent="0.2">
      <c r="A14" s="416">
        <v>10</v>
      </c>
      <c r="B14" s="374">
        <v>0.2</v>
      </c>
      <c r="C14" s="378">
        <f>SUMIF('14 - Investimentos'!B:B,'15 - Depreciação'!A2,'14 - Investimentos'!N:N)</f>
        <v>17119</v>
      </c>
      <c r="D14" s="417">
        <f>C14*B2</f>
        <v>5135.7</v>
      </c>
      <c r="E14" s="417">
        <f>IF(E4&lt;A14,0,(C14-D14)*B14)</f>
        <v>0</v>
      </c>
      <c r="F14" s="417">
        <f>IF(F4&lt;A14,0,IF((SUM(E14:E14)+((C14-D14)*B14))&gt;(C14-D14),C14-D14-SUM(E14:E14),(C14-D14)*B14))</f>
        <v>0</v>
      </c>
      <c r="G14" s="417">
        <f>IF(G4&lt;A14,0,IF((SUM(E14:F14)+((C14-D14)*B14))&gt;(C14-D14),C14-D14-SUM(E14:F14),(C14-D14)*B14))</f>
        <v>0</v>
      </c>
      <c r="H14" s="417">
        <f>IF(H4&lt;A14,0,IF((SUM(E14:G14)+((C14-D14)*B14))&gt;(C14-D14),C14-D14-SUM(E14:G14),(C14-D14)*B14))</f>
        <v>0</v>
      </c>
      <c r="I14" s="417">
        <f>IF(I4&lt;A14,0,IF((SUM(E14:H14)+((C14-D14)*B14))&gt;(C14-D14),C14-D14-SUM(E14:H14),(C14-D14)*B14))</f>
        <v>0</v>
      </c>
      <c r="J14" s="417">
        <f>IF(J4&lt;A14,0,IF((SUM(E14:I14)+((C14-D14)*B14))&gt;(C14-D14),C14-D14-SUM(E14:I14),(C14-D14)*B14))</f>
        <v>0</v>
      </c>
      <c r="K14" s="417">
        <f>IF(K4&lt;A14,0,IF((SUM(E14:J14)+((C14-D14)*B14))&gt;(C14-D14),C14-D14-SUM(E14:J14),(C14-D14)*B14))</f>
        <v>0</v>
      </c>
      <c r="L14" s="417">
        <f>IF(L4&lt;A14,0,IF((SUM(E14:K14)+((C14-D14)*B14))&gt;(C14-D14),C14-D14-SUM(E14:K14),(C14-D14)*B14))</f>
        <v>0</v>
      </c>
      <c r="M14" s="417">
        <f>IF(M4&lt;A14,0,IF((SUM(E14:L14)+((C14-D14)*B14))&gt;(C14-D14),C14-D14-SUM(E14:L14),(C14-D14)*B14))</f>
        <v>0</v>
      </c>
      <c r="N14" s="417">
        <f>IF(N4&lt;A14,0,IF((SUM(E14:M14)+((C14-D14)*B14))&gt;(C14-D14),C14-D14-SUM(E14:M14),(C14-D14)*B14))</f>
        <v>2396.66</v>
      </c>
      <c r="O14" s="417">
        <f>IF(O4&lt;A14,0,IF((SUM(E14:N14)+((C14-D14)*B14))&gt;(C14-D14),C14-D14-SUM(E14:N14),(C14-D14)*B14))</f>
        <v>2396.66</v>
      </c>
      <c r="P14" s="417">
        <f>IF(P4&lt;A14,0,IF((SUM(E14:O14)+((C14-D14)*B14))&gt;(C14-D14),C14-D14-SUM(E14:O14),(C14-D14)*B14))</f>
        <v>2396.66</v>
      </c>
      <c r="Q14" s="417">
        <f>IF(Q4&lt;A14,0,IF((SUM(E14:P14)+((C14-D14)*B14))&gt;(C14-D14),C14-D14-SUM(E14:P14),(C14-D14)*B14))</f>
        <v>2396.66</v>
      </c>
      <c r="R14" s="417">
        <f>IF(R4&lt;A14,0,IF((SUM(E14:Q14)+((C14-D14)*B14))&gt;(C14-D14),C14-D14-SUM(E14:Q14),(C14-D14)*B14))</f>
        <v>2396.66</v>
      </c>
      <c r="S14" s="417">
        <f>IF(S4&lt;A14,0,IF((SUM(E14:R14)+((C14-D14)*B14))&gt;(C14-D14),C14-D14-SUM(E14:R14),(C14-D14)*B14))</f>
        <v>0</v>
      </c>
      <c r="T14" s="417">
        <f>IF(T4&lt;A14,0,IF((SUM(E14:S14)+((C14-D14)*B14))&gt;(C14-D14),C14-D14-SUM(E14:S14),(C14-D14)*B14))</f>
        <v>0</v>
      </c>
      <c r="U14" s="417">
        <f>IF(U4&lt;A14,0,IF((SUM(E14:T14)+((C14-D14)*B14))&gt;(C14-D14),C14-D14-SUM(E14:T14),(C14-D14)*B14))</f>
        <v>0</v>
      </c>
      <c r="V14" s="417">
        <f>IF(V4&lt;A14,0,IF((SUM(E14:U14)+((C14-D14)*B14))&gt;(C14-D14),C14-D14-SUM(E14:U14),(C14-D14)*B14))</f>
        <v>0</v>
      </c>
      <c r="W14" s="417">
        <f>IF(W4&lt;A14,0,IF((SUM(E14:V14)+((C14-D14)*B14))&gt;(C14-D14),C14-D14-SUM(E14:V14),(C14-D14)*B14))</f>
        <v>0</v>
      </c>
      <c r="X14" s="417">
        <f>IF(X4&lt;A14,0,IF((SUM(E14:W14)+((C14-D14)*B14))&gt;(C14-D14),C14-D14-SUM(E14:W14),(C14-D14)*B14))</f>
        <v>0</v>
      </c>
      <c r="Y14" s="417">
        <f>IF(Y4&lt;A14,0,IF((SUM(E14:X14)+((C14-D14)*B14))&gt;(C14-D14),C14-D14-SUM(E14:X14),(C14-D14)*B14))</f>
        <v>0</v>
      </c>
      <c r="Z14" s="417">
        <f>IF(Z4&lt;A14,0,IF((SUM(E14:Y14)+((C14-D14)*B14))&gt;(C14-D14),C14-D14-SUM(E14:Y14),(C14-D14)*B14))</f>
        <v>0</v>
      </c>
      <c r="AA14" s="417">
        <f>IF(AA4&lt;A14,0,IF((SUM(E14:Z14)+((C14-D14)*B14))&gt;(C14-D14),C14-D14-SUM(E14:Z14),(C14-D14)*B14))</f>
        <v>0</v>
      </c>
      <c r="AB14" s="417">
        <f>IF(AB4&lt;A14,0,IF((SUM(E14:AA14)+((C14-D14)*B14))&gt;(C14-D14),C14-D14-SUM(E14:AA14),(C14-D14)*B14))</f>
        <v>0</v>
      </c>
      <c r="AC14" s="417">
        <f>IF(AC4&lt;A14,0,IF((SUM(E14:AB14)+((C14-D14)*B14))&gt;(C14-D14),C14-D14-SUM(E14:AB14),(C14-D14)*B14))</f>
        <v>0</v>
      </c>
      <c r="AD14" s="417">
        <f>IF(AD4&lt;A14,0,IF((SUM(E14:AC14)+((C14-D14)*B14))&gt;(C14-D14),C14-D14-SUM(E14:AC14),(C14-D14)*B14))</f>
        <v>0</v>
      </c>
      <c r="AE14" s="417">
        <f>IF(AE4&lt;A14,0,IF((SUM(E14:AD14)+((C14-D14)*B14))&gt;(C14-D14),C14-D14-SUM(E14:AD14),(C14-D14)*B14))</f>
        <v>0</v>
      </c>
      <c r="AF14" s="417">
        <f>IF(AF4&lt;A14,0,IF((SUM(E14:AE14)+((C14-D14)*B14))&gt;(C14-D14),C14-D14-SUM(E14:AE14),(C14-D14)*B14))</f>
        <v>0</v>
      </c>
      <c r="AG14" s="417">
        <f>IF(AG4&lt;A14,0,IF((SUM(E14:AF14)+((C14-D14)*B14))&gt;(C14-D14),C14-D14-SUM(E14:AF14),(C14-D14)*B14))</f>
        <v>0</v>
      </c>
      <c r="AH14" s="417">
        <f>IF(AH4&lt;A14,0,IF((SUM(E14:AG14)+((C14-D14)*B14))&gt;(C14-D14),C14-D14-SUM(E14:AG14),(C14-D14)*B14))</f>
        <v>0</v>
      </c>
    </row>
    <row r="15" spans="1:34" s="75" customFormat="1" ht="13.15" customHeight="1" outlineLevel="1" x14ac:dyDescent="0.2">
      <c r="A15" s="416">
        <v>11</v>
      </c>
      <c r="B15" s="374">
        <v>0.2</v>
      </c>
      <c r="C15" s="378">
        <f>SUMIF('14 - Investimentos'!B:B,'15 - Depreciação'!A2,'14 - Investimentos'!O:O)</f>
        <v>0</v>
      </c>
      <c r="D15" s="417">
        <f>C15*B2</f>
        <v>0</v>
      </c>
      <c r="E15" s="417">
        <f>IF(E4&lt;A15,0,(C15-D15)*B15)</f>
        <v>0</v>
      </c>
      <c r="F15" s="417">
        <f>IF(F4&lt;A15,0,IF((SUM(E15:E15)+((C15-D15)*B15))&gt;(C15-D15),C15-D15-SUM(E15:E15),(C15-D15)*B15))</f>
        <v>0</v>
      </c>
      <c r="G15" s="417">
        <f>IF(G4&lt;A15,0,IF((SUM(E15:F15)+((C15-D15)*B15))&gt;(C15-D15),C15-D15-SUM(E15:F15),(C15-D15)*B15))</f>
        <v>0</v>
      </c>
      <c r="H15" s="417">
        <f>IF(H4&lt;A15,0,IF((SUM(E15:G15)+((C15-D15)*B15))&gt;(C15-D15),C15-D15-SUM(E15:G15),(C15-D15)*B15))</f>
        <v>0</v>
      </c>
      <c r="I15" s="417">
        <f>IF(I4&lt;A15,0,IF((SUM(E15:H15)+((C15-D15)*B15))&gt;(C15-D15),C15-D15-SUM(E15:H15),(C15-D15)*B15))</f>
        <v>0</v>
      </c>
      <c r="J15" s="417">
        <f>IF(J4&lt;A15,0,IF((SUM(E15:I15)+((C15-D15)*B15))&gt;(C15-D15),C15-D15-SUM(E15:I15),(C15-D15)*B15))</f>
        <v>0</v>
      </c>
      <c r="K15" s="417">
        <f>IF(K4&lt;A15,0,IF((SUM(E15:J15)+((C15-D15)*B15))&gt;(C15-D15),C15-D15-SUM(E15:J15),(C15-D15)*B15))</f>
        <v>0</v>
      </c>
      <c r="L15" s="417">
        <f>IF(L4&lt;A15,0,IF((SUM(E15:K15)+((C15-D15)*B15))&gt;(C15-D15),C15-D15-SUM(E15:K15),(C15-D15)*B15))</f>
        <v>0</v>
      </c>
      <c r="M15" s="417">
        <f>IF(M4&lt;A15,0,IF((SUM(E15:L15)+((C15-D15)*B15))&gt;(C15-D15),C15-D15-SUM(E15:L15),(C15-D15)*B15))</f>
        <v>0</v>
      </c>
      <c r="N15" s="417">
        <f>IF(N4&lt;A15,0,IF((SUM(E15:M15)+((C15-D15)*B15))&gt;(C15-D15),C15-D15-SUM(E15:M15),(C15-D15)*B15))</f>
        <v>0</v>
      </c>
      <c r="O15" s="417">
        <f>IF(O4&lt;A15,0,IF((SUM(E15:N15)+((C15-D15)*B15))&gt;(C15-D15),C15-D15-SUM(E15:N15),(C15-D15)*B15))</f>
        <v>0</v>
      </c>
      <c r="P15" s="417">
        <f>IF(P4&lt;A15,0,IF((SUM(E15:O15)+((C15-D15)*B15))&gt;(C15-D15),C15-D15-SUM(E15:O15),(C15-D15)*B15))</f>
        <v>0</v>
      </c>
      <c r="Q15" s="417">
        <f>IF(Q4&lt;A15,0,IF((SUM(E15:P15)+((C15-D15)*B15))&gt;(C15-D15),C15-D15-SUM(E15:P15),(C15-D15)*B15))</f>
        <v>0</v>
      </c>
      <c r="R15" s="417">
        <f>IF(R4&lt;A15,0,IF((SUM(E15:Q15)+((C15-D15)*B15))&gt;(C15-D15),C15-D15-SUM(E15:Q15),(C15-D15)*B15))</f>
        <v>0</v>
      </c>
      <c r="S15" s="417">
        <f>IF(S4&lt;A15,0,IF((SUM(E15:R15)+((C15-D15)*B15))&gt;(C15-D15),C15-D15-SUM(E15:R15),(C15-D15)*B15))</f>
        <v>0</v>
      </c>
      <c r="T15" s="417">
        <f>IF(T4&lt;A15,0,IF((SUM(E15:S15)+((C15-D15)*B15))&gt;(C15-D15),C15-D15-SUM(E15:S15),(C15-D15)*B15))</f>
        <v>0</v>
      </c>
      <c r="U15" s="417">
        <f>IF(U4&lt;A15,0,IF((SUM(E15:T15)+((C15-D15)*B15))&gt;(C15-D15),C15-D15-SUM(E15:T15),(C15-D15)*B15))</f>
        <v>0</v>
      </c>
      <c r="V15" s="417">
        <f>IF(V4&lt;A15,0,IF((SUM(E15:U15)+((C15-D15)*B15))&gt;(C15-D15),C15-D15-SUM(E15:U15),(C15-D15)*B15))</f>
        <v>0</v>
      </c>
      <c r="W15" s="417">
        <f>IF(W4&lt;A15,0,IF((SUM(E15:V15)+((C15-D15)*B15))&gt;(C15-D15),C15-D15-SUM(E15:V15),(C15-D15)*B15))</f>
        <v>0</v>
      </c>
      <c r="X15" s="417">
        <f>IF(X4&lt;A15,0,IF((SUM(E15:W15)+((C15-D15)*B15))&gt;(C15-D15),C15-D15-SUM(E15:W15),(C15-D15)*B15))</f>
        <v>0</v>
      </c>
      <c r="Y15" s="417">
        <f>IF(Y4&lt;A15,0,IF((SUM(E15:X15)+((C15-D15)*B15))&gt;(C15-D15),C15-D15-SUM(E15:X15),(C15-D15)*B15))</f>
        <v>0</v>
      </c>
      <c r="Z15" s="417">
        <f>IF(Z4&lt;A15,0,IF((SUM(E15:Y15)+((C15-D15)*B15))&gt;(C15-D15),C15-D15-SUM(E15:Y15),(C15-D15)*B15))</f>
        <v>0</v>
      </c>
      <c r="AA15" s="417">
        <f>IF(AA4&lt;A15,0,IF((SUM(E15:Z15)+((C15-D15)*B15))&gt;(C15-D15),C15-D15-SUM(E15:Z15),(C15-D15)*B15))</f>
        <v>0</v>
      </c>
      <c r="AB15" s="417">
        <f>IF(AB4&lt;A15,0,IF((SUM(E15:AA15)+((C15-D15)*B15))&gt;(C15-D15),C15-D15-SUM(E15:AA15),(C15-D15)*B15))</f>
        <v>0</v>
      </c>
      <c r="AC15" s="417">
        <f>IF(AC4&lt;A15,0,IF((SUM(E15:AB15)+((C15-D15)*B15))&gt;(C15-D15),C15-D15-SUM(E15:AB15),(C15-D15)*B15))</f>
        <v>0</v>
      </c>
      <c r="AD15" s="417">
        <f>IF(AD4&lt;A15,0,IF((SUM(E15:AC15)+((C15-D15)*B15))&gt;(C15-D15),C15-D15-SUM(E15:AC15),(C15-D15)*B15))</f>
        <v>0</v>
      </c>
      <c r="AE15" s="417">
        <f>IF(AE4&lt;A15,0,IF((SUM(E15:AD15)+((C15-D15)*B15))&gt;(C15-D15),C15-D15-SUM(E15:AD15),(C15-D15)*B15))</f>
        <v>0</v>
      </c>
      <c r="AF15" s="417">
        <f>IF(AF4&lt;A15,0,IF((SUM(E15:AE15)+((C15-D15)*B15))&gt;(C15-D15),C15-D15-SUM(E15:AE15),(C15-D15)*B15))</f>
        <v>0</v>
      </c>
      <c r="AG15" s="417">
        <f>IF(AG4&lt;A15,0,IF((SUM(E15:AF15)+((C15-D15)*B15))&gt;(C15-D15),C15-D15-SUM(E15:AF15),(C15-D15)*B15))</f>
        <v>0</v>
      </c>
      <c r="AH15" s="417">
        <f>IF(AH4&lt;A15,0,IF((SUM(E15:AG15)+((C15-D15)*B15))&gt;(C15-D15),C15-D15-SUM(E15:AG15),(C15-D15)*B15))</f>
        <v>0</v>
      </c>
    </row>
    <row r="16" spans="1:34" s="75" customFormat="1" ht="13.15" customHeight="1" outlineLevel="1" x14ac:dyDescent="0.2">
      <c r="A16" s="416">
        <v>12</v>
      </c>
      <c r="B16" s="374">
        <v>0.2</v>
      </c>
      <c r="C16" s="378">
        <f>SUMIF('14 - Investimentos'!B:B,'15 - Depreciação'!A2,'14 - Investimentos'!P:P)</f>
        <v>0</v>
      </c>
      <c r="D16" s="417">
        <f>C16*B2</f>
        <v>0</v>
      </c>
      <c r="E16" s="417">
        <f>IF(E4&lt;A16,0,(C16-D16)*B16)</f>
        <v>0</v>
      </c>
      <c r="F16" s="417">
        <f>IF(F4&lt;A16,0,IF((SUM(E16:E16)+((C16-D16)*B16))&gt;(C16-D16),C16-D16-SUM(E16:E16),(C16-D16)*B16))</f>
        <v>0</v>
      </c>
      <c r="G16" s="417">
        <f>IF(G4&lt;A16,0,IF((SUM(E16:F16)+((C16-D16)*B16))&gt;(C16-D16),C16-D16-SUM(E16:F16),(C16-D16)*B16))</f>
        <v>0</v>
      </c>
      <c r="H16" s="417">
        <f>IF(H4&lt;A16,0,IF((SUM(E16:G16)+((C16-D16)*B16))&gt;(C16-D16),C16-D16-SUM(E16:G16),(C16-D16)*B16))</f>
        <v>0</v>
      </c>
      <c r="I16" s="417">
        <f>IF(I4&lt;A16,0,IF((SUM(E16:H16)+((C16-D16)*B16))&gt;(C16-D16),C16-D16-SUM(E16:H16),(C16-D16)*B16))</f>
        <v>0</v>
      </c>
      <c r="J16" s="417">
        <f>IF(J4&lt;A16,0,IF((SUM(E16:I16)+((C16-D16)*B16))&gt;(C16-D16),C16-D16-SUM(E16:I16),(C16-D16)*B16))</f>
        <v>0</v>
      </c>
      <c r="K16" s="417">
        <f>IF(K4&lt;A16,0,IF((SUM(E16:J16)+((C16-D16)*B16))&gt;(C16-D16),C16-D16-SUM(E16:J16),(C16-D16)*B16))</f>
        <v>0</v>
      </c>
      <c r="L16" s="417">
        <f>IF(L4&lt;A16,0,IF((SUM(E16:K16)+((C16-D16)*B16))&gt;(C16-D16),C16-D16-SUM(E16:K16),(C16-D16)*B16))</f>
        <v>0</v>
      </c>
      <c r="M16" s="417">
        <f>IF(M4&lt;A16,0,IF((SUM(E16:L16)+((C16-D16)*B16))&gt;(C16-D16),C16-D16-SUM(E16:L16),(C16-D16)*B16))</f>
        <v>0</v>
      </c>
      <c r="N16" s="417">
        <f>IF(N4&lt;A16,0,IF((SUM(E16:M16)+((C16-D16)*B16))&gt;(C16-D16),C16-D16-SUM(E16:M16),(C16-D16)*B16))</f>
        <v>0</v>
      </c>
      <c r="O16" s="417">
        <f>IF(O4&lt;A16,0,IF((SUM(E16:N16)+((C16-D16)*B16))&gt;(C16-D16),C16-D16-SUM(E16:N16),(C16-D16)*B16))</f>
        <v>0</v>
      </c>
      <c r="P16" s="417">
        <f>IF(P4&lt;A16,0,IF((SUM(E16:O16)+((C16-D16)*B16))&gt;(C16-D16),C16-D16-SUM(E16:O16),(C16-D16)*B16))</f>
        <v>0</v>
      </c>
      <c r="Q16" s="417">
        <f>IF(Q4&lt;A16,0,IF((SUM(E16:P16)+((C16-D16)*B16))&gt;(C16-D16),C16-D16-SUM(E16:P16),(C16-D16)*B16))</f>
        <v>0</v>
      </c>
      <c r="R16" s="417">
        <f>IF(R4&lt;A16,0,IF((SUM(E16:Q16)+((C16-D16)*B16))&gt;(C16-D16),C16-D16-SUM(E16:Q16),(C16-D16)*B16))</f>
        <v>0</v>
      </c>
      <c r="S16" s="417">
        <f>IF(S4&lt;A16,0,IF((SUM(E16:R16)+((C16-D16)*B16))&gt;(C16-D16),C16-D16-SUM(E16:R16),(C16-D16)*B16))</f>
        <v>0</v>
      </c>
      <c r="T16" s="417">
        <f>IF(T4&lt;A16,0,IF((SUM(E16:S16)+((C16-D16)*B16))&gt;(C16-D16),C16-D16-SUM(E16:S16),(C16-D16)*B16))</f>
        <v>0</v>
      </c>
      <c r="U16" s="417">
        <f>IF(U4&lt;A16,0,IF((SUM(E16:T16)+((C16-D16)*B16))&gt;(C16-D16),C16-D16-SUM(E16:T16),(C16-D16)*B16))</f>
        <v>0</v>
      </c>
      <c r="V16" s="417">
        <f>IF(V4&lt;A16,0,IF((SUM(E16:U16)+((C16-D16)*B16))&gt;(C16-D16),C16-D16-SUM(E16:U16),(C16-D16)*B16))</f>
        <v>0</v>
      </c>
      <c r="W16" s="417">
        <f>IF(W4&lt;A16,0,IF((SUM(E16:V16)+((C16-D16)*B16))&gt;(C16-D16),C16-D16-SUM(E16:V16),(C16-D16)*B16))</f>
        <v>0</v>
      </c>
      <c r="X16" s="417">
        <f>IF(X4&lt;A16,0,IF((SUM(E16:W16)+((C16-D16)*B16))&gt;(C16-D16),C16-D16-SUM(E16:W16),(C16-D16)*B16))</f>
        <v>0</v>
      </c>
      <c r="Y16" s="417">
        <f>IF(Y4&lt;A16,0,IF((SUM(E16:X16)+((C16-D16)*B16))&gt;(C16-D16),C16-D16-SUM(E16:X16),(C16-D16)*B16))</f>
        <v>0</v>
      </c>
      <c r="Z16" s="417">
        <f>IF(Z4&lt;A16,0,IF((SUM(E16:Y16)+((C16-D16)*B16))&gt;(C16-D16),C16-D16-SUM(E16:Y16),(C16-D16)*B16))</f>
        <v>0</v>
      </c>
      <c r="AA16" s="417">
        <f>IF(AA4&lt;A16,0,IF((SUM(E16:Z16)+((C16-D16)*B16))&gt;(C16-D16),C16-D16-SUM(E16:Z16),(C16-D16)*B16))</f>
        <v>0</v>
      </c>
      <c r="AB16" s="417">
        <f>IF(AB4&lt;A16,0,IF((SUM(E16:AA16)+((C16-D16)*B16))&gt;(C16-D16),C16-D16-SUM(E16:AA16),(C16-D16)*B16))</f>
        <v>0</v>
      </c>
      <c r="AC16" s="417">
        <f>IF(AC4&lt;A16,0,IF((SUM(E16:AB16)+((C16-D16)*B16))&gt;(C16-D16),C16-D16-SUM(E16:AB16),(C16-D16)*B16))</f>
        <v>0</v>
      </c>
      <c r="AD16" s="417">
        <f>IF(AD4&lt;A16,0,IF((SUM(E16:AC16)+((C16-D16)*B16))&gt;(C16-D16),C16-D16-SUM(E16:AC16),(C16-D16)*B16))</f>
        <v>0</v>
      </c>
      <c r="AE16" s="417">
        <f>IF(AE4&lt;A16,0,IF((SUM(E16:AD16)+((C16-D16)*B16))&gt;(C16-D16),C16-D16-SUM(E16:AD16),(C16-D16)*B16))</f>
        <v>0</v>
      </c>
      <c r="AF16" s="417">
        <f>IF(AF4&lt;A16,0,IF((SUM(E16:AE16)+((C16-D16)*B16))&gt;(C16-D16),C16-D16-SUM(E16:AE16),(C16-D16)*B16))</f>
        <v>0</v>
      </c>
      <c r="AG16" s="417">
        <f>IF(AG4&lt;A16,0,IF((SUM(E16:AF16)+((C16-D16)*B16))&gt;(C16-D16),C16-D16-SUM(E16:AF16),(C16-D16)*B16))</f>
        <v>0</v>
      </c>
      <c r="AH16" s="417">
        <f>IF(AH4&lt;A16,0,IF((SUM(E16:AG16)+((C16-D16)*B16))&gt;(C16-D16),C16-D16-SUM(E16:AG16),(C16-D16)*B16))</f>
        <v>0</v>
      </c>
    </row>
    <row r="17" spans="1:34" s="75" customFormat="1" ht="13.15" customHeight="1" outlineLevel="1" x14ac:dyDescent="0.2">
      <c r="A17" s="416">
        <v>13</v>
      </c>
      <c r="B17" s="374">
        <v>0.2</v>
      </c>
      <c r="C17" s="378">
        <f>SUMIF('14 - Investimentos'!B:B,'15 - Depreciação'!A2,'14 - Investimentos'!Q:Q)</f>
        <v>1535846</v>
      </c>
      <c r="D17" s="417">
        <f>C17*B2</f>
        <v>460753.8</v>
      </c>
      <c r="E17" s="417">
        <f>IF(E4&lt;A17,0,(C17-D17)*B17)</f>
        <v>0</v>
      </c>
      <c r="F17" s="417">
        <f>IF(F4&lt;A17,0,IF((SUM(E17:E17)+((C17-D17)*B17))&gt;(C17-D17),C17-D17-SUM(E17:E17),(C17-D17)*B17))</f>
        <v>0</v>
      </c>
      <c r="G17" s="417">
        <f>IF(G4&lt;A17,0,IF((SUM(E17:F17)+((C17-D17)*B17))&gt;(C17-D17),C17-D17-SUM(E17:F17),(C17-D17)*B17))</f>
        <v>0</v>
      </c>
      <c r="H17" s="417">
        <f>IF(H4&lt;A17,0,IF((SUM(E17:G17)+((C17-D17)*B17))&gt;(C17-D17),C17-D17-SUM(E17:G17),(C17-D17)*B17))</f>
        <v>0</v>
      </c>
      <c r="I17" s="417">
        <f>IF(I4&lt;A17,0,IF((SUM(E17:H17)+((C17-D17)*B17))&gt;(C17-D17),C17-D17-SUM(E17:H17),(C17-D17)*B17))</f>
        <v>0</v>
      </c>
      <c r="J17" s="417">
        <f>IF(J4&lt;A17,0,IF((SUM(E17:I17)+((C17-D17)*B17))&gt;(C17-D17),C17-D17-SUM(E17:I17),(C17-D17)*B17))</f>
        <v>0</v>
      </c>
      <c r="K17" s="417">
        <f>IF(K4&lt;A17,0,IF((SUM(E17:J17)+((C17-D17)*B17))&gt;(C17-D17),C17-D17-SUM(E17:J17),(C17-D17)*B17))</f>
        <v>0</v>
      </c>
      <c r="L17" s="417">
        <f>IF(L4&lt;A17,0,IF((SUM(E17:K17)+((C17-D17)*B17))&gt;(C17-D17),C17-D17-SUM(E17:K17),(C17-D17)*B17))</f>
        <v>0</v>
      </c>
      <c r="M17" s="417">
        <f>IF(M4&lt;A17,0,IF((SUM(E17:L17)+((C17-D17)*B17))&gt;(C17-D17),C17-D17-SUM(E17:L17),(C17-D17)*B17))</f>
        <v>0</v>
      </c>
      <c r="N17" s="417">
        <f>IF(N4&lt;A17,0,IF((SUM(E17:M17)+((C17-D17)*B17))&gt;(C17-D17),C17-D17-SUM(E17:M17),(C17-D17)*B17))</f>
        <v>0</v>
      </c>
      <c r="O17" s="417">
        <f>IF(O4&lt;A17,0,IF((SUM(E17:N17)+((C17-D17)*B17))&gt;(C17-D17),C17-D17-SUM(E17:N17),(C17-D17)*B17))</f>
        <v>0</v>
      </c>
      <c r="P17" s="417">
        <f>IF(P4&lt;A17,0,IF((SUM(E17:O17)+((C17-D17)*B17))&gt;(C17-D17),C17-D17-SUM(E17:O17),(C17-D17)*B17))</f>
        <v>0</v>
      </c>
      <c r="Q17" s="417">
        <f>IF(Q4&lt;A17,0,IF((SUM(E17:P17)+((C17-D17)*B17))&gt;(C17-D17),C17-D17-SUM(E17:P17),(C17-D17)*B17))</f>
        <v>215018.44</v>
      </c>
      <c r="R17" s="417">
        <f>IF(R4&lt;A17,0,IF((SUM(E17:Q17)+((C17-D17)*B17))&gt;(C17-D17),C17-D17-SUM(E17:Q17),(C17-D17)*B17))</f>
        <v>215018.44</v>
      </c>
      <c r="S17" s="417">
        <f>IF(S4&lt;A17,0,IF((SUM(E17:R17)+((C17-D17)*B17))&gt;(C17-D17),C17-D17-SUM(E17:R17),(C17-D17)*B17))</f>
        <v>215018.44</v>
      </c>
      <c r="T17" s="417">
        <f>IF(T4&lt;A17,0,IF((SUM(E17:S17)+((C17-D17)*B17))&gt;(C17-D17),C17-D17-SUM(E17:S17),(C17-D17)*B17))</f>
        <v>215018.44</v>
      </c>
      <c r="U17" s="417">
        <f>IF(U4&lt;A17,0,IF((SUM(E17:T17)+((C17-D17)*B17))&gt;(C17-D17),C17-D17-SUM(E17:T17),(C17-D17)*B17))</f>
        <v>215018.44</v>
      </c>
      <c r="V17" s="417">
        <f>IF(V4&lt;A17,0,IF((SUM(E17:U17)+((C17-D17)*B17))&gt;(C17-D17),C17-D17-SUM(E17:U17),(C17-D17)*B17))</f>
        <v>0</v>
      </c>
      <c r="W17" s="417">
        <f>IF(W4&lt;A17,0,IF((SUM(E17:V17)+((C17-D17)*B17))&gt;(C17-D17),C17-D17-SUM(E17:V17),(C17-D17)*B17))</f>
        <v>0</v>
      </c>
      <c r="X17" s="417">
        <f>IF(X4&lt;A17,0,IF((SUM(E17:W17)+((C17-D17)*B17))&gt;(C17-D17),C17-D17-SUM(E17:W17),(C17-D17)*B17))</f>
        <v>0</v>
      </c>
      <c r="Y17" s="417">
        <f>IF(Y4&lt;A17,0,IF((SUM(E17:X17)+((C17-D17)*B17))&gt;(C17-D17),C17-D17-SUM(E17:X17),(C17-D17)*B17))</f>
        <v>0</v>
      </c>
      <c r="Z17" s="417">
        <f>IF(Z4&lt;A17,0,IF((SUM(E17:Y17)+((C17-D17)*B17))&gt;(C17-D17),C17-D17-SUM(E17:Y17),(C17-D17)*B17))</f>
        <v>0</v>
      </c>
      <c r="AA17" s="417">
        <f>IF(AA4&lt;A17,0,IF((SUM(E17:Z17)+((C17-D17)*B17))&gt;(C17-D17),C17-D17-SUM(E17:Z17),(C17-D17)*B17))</f>
        <v>0</v>
      </c>
      <c r="AB17" s="417">
        <f>IF(AB4&lt;A17,0,IF((SUM(E17:AA17)+((C17-D17)*B17))&gt;(C17-D17),C17-D17-SUM(E17:AA17),(C17-D17)*B17))</f>
        <v>0</v>
      </c>
      <c r="AC17" s="417">
        <f>IF(AC4&lt;A17,0,IF((SUM(E17:AB17)+((C17-D17)*B17))&gt;(C17-D17),C17-D17-SUM(E17:AB17),(C17-D17)*B17))</f>
        <v>0</v>
      </c>
      <c r="AD17" s="417">
        <f>IF(AD4&lt;A17,0,IF((SUM(E17:AC17)+((C17-D17)*B17))&gt;(C17-D17),C17-D17-SUM(E17:AC17),(C17-D17)*B17))</f>
        <v>0</v>
      </c>
      <c r="AE17" s="417">
        <f>IF(AE4&lt;A17,0,IF((SUM(E17:AD17)+((C17-D17)*B17))&gt;(C17-D17),C17-D17-SUM(E17:AD17),(C17-D17)*B17))</f>
        <v>0</v>
      </c>
      <c r="AF17" s="417">
        <f>IF(AF4&lt;A17,0,IF((SUM(E17:AE17)+((C17-D17)*B17))&gt;(C17-D17),C17-D17-SUM(E17:AE17),(C17-D17)*B17))</f>
        <v>0</v>
      </c>
      <c r="AG17" s="417">
        <f>IF(AG4&lt;A17,0,IF((SUM(E17:AF17)+((C17-D17)*B17))&gt;(C17-D17),C17-D17-SUM(E17:AF17),(C17-D17)*B17))</f>
        <v>0</v>
      </c>
      <c r="AH17" s="417">
        <f>IF(AH4&lt;A17,0,IF((SUM(E17:AG17)+((C17-D17)*B17))&gt;(C17-D17),C17-D17-SUM(E17:AG17),(C17-D17)*B17))</f>
        <v>0</v>
      </c>
    </row>
    <row r="18" spans="1:34" s="75" customFormat="1" ht="13.15" customHeight="1" outlineLevel="1" x14ac:dyDescent="0.2">
      <c r="A18" s="416">
        <v>14</v>
      </c>
      <c r="B18" s="374">
        <v>0.2</v>
      </c>
      <c r="C18" s="378">
        <f>SUMIF('14 - Investimentos'!B:B,'15 - Depreciação'!A2,'14 - Investimentos'!R:R)</f>
        <v>17119</v>
      </c>
      <c r="D18" s="417">
        <f>C18*B2</f>
        <v>5135.7</v>
      </c>
      <c r="E18" s="417">
        <f>IF(E4&lt;A18,0,(C18-D18)*B18)</f>
        <v>0</v>
      </c>
      <c r="F18" s="417">
        <f>IF(F4&lt;A18,0,IF((SUM(E18:E18)+((C18-D18)*B18))&gt;(C18-D18),C18-D18-SUM(E18:E18),(C18-D18)*B18))</f>
        <v>0</v>
      </c>
      <c r="G18" s="417">
        <f>IF(G4&lt;A18,0,IF((SUM(E18:F18)+((C18-D18)*B18))&gt;(C18-D18),C18-D18-SUM(E18:F18),(C18-D18)*B18))</f>
        <v>0</v>
      </c>
      <c r="H18" s="417">
        <f>IF(H4&lt;A18,0,IF((SUM(E18:G18)+((C18-D18)*B18))&gt;(C18-D18),C18-D18-SUM(E18:G18),(C18-D18)*B18))</f>
        <v>0</v>
      </c>
      <c r="I18" s="417">
        <f>IF(I4&lt;A18,0,IF((SUM(E18:H18)+((C18-D18)*B18))&gt;(C18-D18),C18-D18-SUM(E18:H18),(C18-D18)*B18))</f>
        <v>0</v>
      </c>
      <c r="J18" s="417">
        <f>IF(J4&lt;A18,0,IF((SUM(E18:I18)+((C18-D18)*B18))&gt;(C18-D18),C18-D18-SUM(E18:I18),(C18-D18)*B18))</f>
        <v>0</v>
      </c>
      <c r="K18" s="417">
        <f>IF(K4&lt;A18,0,IF((SUM(E18:J18)+((C18-D18)*B18))&gt;(C18-D18),C18-D18-SUM(E18:J18),(C18-D18)*B18))</f>
        <v>0</v>
      </c>
      <c r="L18" s="417">
        <f>IF(L4&lt;A18,0,IF((SUM(E18:K18)+((C18-D18)*B18))&gt;(C18-D18),C18-D18-SUM(E18:K18),(C18-D18)*B18))</f>
        <v>0</v>
      </c>
      <c r="M18" s="417">
        <f>IF(M4&lt;A18,0,IF((SUM(E18:L18)+((C18-D18)*B18))&gt;(C18-D18),C18-D18-SUM(E18:L18),(C18-D18)*B18))</f>
        <v>0</v>
      </c>
      <c r="N18" s="417">
        <f>IF(N4&lt;A18,0,IF((SUM(E18:M18)+((C18-D18)*B18))&gt;(C18-D18),C18-D18-SUM(E18:M18),(C18-D18)*B18))</f>
        <v>0</v>
      </c>
      <c r="O18" s="417">
        <f>IF(O4&lt;A18,0,IF((SUM(E18:N18)+((C18-D18)*B18))&gt;(C18-D18),C18-D18-SUM(E18:N18),(C18-D18)*B18))</f>
        <v>0</v>
      </c>
      <c r="P18" s="417">
        <f>IF(P4&lt;A18,0,IF((SUM(E18:O18)+((C18-D18)*B18))&gt;(C18-D18),C18-D18-SUM(E18:O18),(C18-D18)*B18))</f>
        <v>0</v>
      </c>
      <c r="Q18" s="417">
        <f>IF(Q4&lt;A18,0,IF((SUM(E18:P18)+((C18-D18)*B18))&gt;(C18-D18),C18-D18-SUM(E18:P18),(C18-D18)*B18))</f>
        <v>0</v>
      </c>
      <c r="R18" s="417">
        <f>IF(R4&lt;A18,0,IF((SUM(E18:Q18)+((C18-D18)*B18))&gt;(C18-D18),C18-D18-SUM(E18:Q18),(C18-D18)*B18))</f>
        <v>2396.66</v>
      </c>
      <c r="S18" s="417">
        <f>IF(S4&lt;A18,0,IF((SUM(E18:R18)+((C18-D18)*B18))&gt;(C18-D18),C18-D18-SUM(E18:R18),(C18-D18)*B18))</f>
        <v>2396.66</v>
      </c>
      <c r="T18" s="417">
        <f>IF(T4&lt;A18,0,IF((SUM(E18:S18)+((C18-D18)*B18))&gt;(C18-D18),C18-D18-SUM(E18:S18),(C18-D18)*B18))</f>
        <v>2396.66</v>
      </c>
      <c r="U18" s="417">
        <f>IF(U4&lt;A18,0,IF((SUM(E18:T18)+((C18-D18)*B18))&gt;(C18-D18),C18-D18-SUM(E18:T18),(C18-D18)*B18))</f>
        <v>2396.66</v>
      </c>
      <c r="V18" s="417">
        <f>IF(V4&lt;A18,0,IF((SUM(E18:U18)+((C18-D18)*B18))&gt;(C18-D18),C18-D18-SUM(E18:U18),(C18-D18)*B18))</f>
        <v>2396.66</v>
      </c>
      <c r="W18" s="417">
        <f>IF(W4&lt;A18,0,IF((SUM(E18:V18)+((C18-D18)*B18))&gt;(C18-D18),C18-D18-SUM(E18:V18),(C18-D18)*B18))</f>
        <v>0</v>
      </c>
      <c r="X18" s="417">
        <f>IF(X4&lt;A18,0,IF((SUM(E18:W18)+((C18-D18)*B18))&gt;(C18-D18),C18-D18-SUM(E18:W18),(C18-D18)*B18))</f>
        <v>0</v>
      </c>
      <c r="Y18" s="417">
        <f>IF(Y4&lt;A18,0,IF((SUM(E18:X18)+((C18-D18)*B18))&gt;(C18-D18),C18-D18-SUM(E18:X18),(C18-D18)*B18))</f>
        <v>0</v>
      </c>
      <c r="Z18" s="417">
        <f>IF(Z4&lt;A18,0,IF((SUM(E18:Y18)+((C18-D18)*B18))&gt;(C18-D18),C18-D18-SUM(E18:Y18),(C18-D18)*B18))</f>
        <v>0</v>
      </c>
      <c r="AA18" s="417">
        <f>IF(AA4&lt;A18,0,IF((SUM(E18:Z18)+((C18-D18)*B18))&gt;(C18-D18),C18-D18-SUM(E18:Z18),(C18-D18)*B18))</f>
        <v>0</v>
      </c>
      <c r="AB18" s="417">
        <f>IF(AB4&lt;A18,0,IF((SUM(E18:AA18)+((C18-D18)*B18))&gt;(C18-D18),C18-D18-SUM(E18:AA18),(C18-D18)*B18))</f>
        <v>0</v>
      </c>
      <c r="AC18" s="417">
        <f>IF(AC4&lt;A18,0,IF((SUM(E18:AB18)+((C18-D18)*B18))&gt;(C18-D18),C18-D18-SUM(E18:AB18),(C18-D18)*B18))</f>
        <v>0</v>
      </c>
      <c r="AD18" s="417">
        <f>IF(AD4&lt;A18,0,IF((SUM(E18:AC18)+((C18-D18)*B18))&gt;(C18-D18),C18-D18-SUM(E18:AC18),(C18-D18)*B18))</f>
        <v>0</v>
      </c>
      <c r="AE18" s="417">
        <f>IF(AE4&lt;A18,0,IF((SUM(E18:AD18)+((C18-D18)*B18))&gt;(C18-D18),C18-D18-SUM(E18:AD18),(C18-D18)*B18))</f>
        <v>0</v>
      </c>
      <c r="AF18" s="417">
        <f>IF(AF4&lt;A18,0,IF((SUM(E18:AE18)+((C18-D18)*B18))&gt;(C18-D18),C18-D18-SUM(E18:AE18),(C18-D18)*B18))</f>
        <v>0</v>
      </c>
      <c r="AG18" s="417">
        <f>IF(AG4&lt;A18,0,IF((SUM(E18:AF18)+((C18-D18)*B18))&gt;(C18-D18),C18-D18-SUM(E18:AF18),(C18-D18)*B18))</f>
        <v>0</v>
      </c>
      <c r="AH18" s="417">
        <f>IF(AH4&lt;A18,0,IF((SUM(E18:AG18)+((C18-D18)*B18))&gt;(C18-D18),C18-D18-SUM(E18:AG18),(C18-D18)*B18))</f>
        <v>0</v>
      </c>
    </row>
    <row r="19" spans="1:34" s="75" customFormat="1" ht="13.15" customHeight="1" outlineLevel="1" x14ac:dyDescent="0.2">
      <c r="A19" s="416">
        <v>15</v>
      </c>
      <c r="B19" s="374">
        <v>0.2</v>
      </c>
      <c r="C19" s="378">
        <f>SUMIF('14 - Investimentos'!B:B,'15 - Depreciação'!A2,'14 - Investimentos'!S:S)</f>
        <v>20927428.219999999</v>
      </c>
      <c r="D19" s="417">
        <f>C19*B2</f>
        <v>6278228.4659999991</v>
      </c>
      <c r="E19" s="417">
        <f>IF(E4&lt;A19,0,(C19-D19)*B19)</f>
        <v>0</v>
      </c>
      <c r="F19" s="417">
        <f>IF(F4&lt;A19,0,IF((SUM(E19:E19)+((C19-D19)*B19))&gt;(C19-D19),C19-D19-SUM(E19:E19),(C19-D19)*B19))</f>
        <v>0</v>
      </c>
      <c r="G19" s="417">
        <f>IF(G4&lt;A19,0,IF((SUM(E19:F19)+((C19-D19)*B19))&gt;(C19-D19),C19-D19-SUM(E19:F19),(C19-D19)*B19))</f>
        <v>0</v>
      </c>
      <c r="H19" s="417">
        <f>IF(H4&lt;A19,0,IF((SUM(E19:G19)+((C19-D19)*B19))&gt;(C19-D19),C19-D19-SUM(E19:G19),(C19-D19)*B19))</f>
        <v>0</v>
      </c>
      <c r="I19" s="417">
        <f>IF(I4&lt;A19,0,IF((SUM(E19:H19)+((C19-D19)*B19))&gt;(C19-D19),C19-D19-SUM(E19:H19),(C19-D19)*B19))</f>
        <v>0</v>
      </c>
      <c r="J19" s="417">
        <f>IF(J4&lt;A19,0,IF((SUM(E19:I19)+((C19-D19)*B19))&gt;(C19-D19),C19-D19-SUM(E19:I19),(C19-D19)*B19))</f>
        <v>0</v>
      </c>
      <c r="K19" s="417">
        <f>IF(K4&lt;A19,0,IF((SUM(E19:J19)+((C19-D19)*B19))&gt;(C19-D19),C19-D19-SUM(E19:J19),(C19-D19)*B19))</f>
        <v>0</v>
      </c>
      <c r="L19" s="417">
        <f>IF(L4&lt;A19,0,IF((SUM(E19:K19)+((C19-D19)*B19))&gt;(C19-D19),C19-D19-SUM(E19:K19),(C19-D19)*B19))</f>
        <v>0</v>
      </c>
      <c r="M19" s="417">
        <f>IF(M4&lt;A19,0,IF((SUM(E19:L19)+((C19-D19)*B19))&gt;(C19-D19),C19-D19-SUM(E19:L19),(C19-D19)*B19))</f>
        <v>0</v>
      </c>
      <c r="N19" s="417">
        <f>IF(N4&lt;A19,0,IF((SUM(E19:M19)+((C19-D19)*B19))&gt;(C19-D19),C19-D19-SUM(E19:M19),(C19-D19)*B19))</f>
        <v>0</v>
      </c>
      <c r="O19" s="417">
        <f>IF(O4&lt;A19,0,IF((SUM(E19:N19)+((C19-D19)*B19))&gt;(C19-D19),C19-D19-SUM(E19:N19),(C19-D19)*B19))</f>
        <v>0</v>
      </c>
      <c r="P19" s="417">
        <f>IF(P4&lt;A19,0,IF((SUM(E19:O19)+((C19-D19)*B19))&gt;(C19-D19),C19-D19-SUM(E19:O19),(C19-D19)*B19))</f>
        <v>0</v>
      </c>
      <c r="Q19" s="417">
        <f>IF(Q4&lt;A19,0,IF((SUM(E19:P19)+((C19-D19)*B19))&gt;(C19-D19),C19-D19-SUM(E19:P19),(C19-D19)*B19))</f>
        <v>0</v>
      </c>
      <c r="R19" s="417">
        <f>IF(R4&lt;A19,0,IF((SUM(E19:Q19)+((C19-D19)*B19))&gt;(C19-D19),C19-D19-SUM(E19:Q19),(C19-D19)*B19))</f>
        <v>0</v>
      </c>
      <c r="S19" s="417">
        <f>IF(S4&lt;A19,0,IF((SUM(E19:R19)+((C19-D19)*B19))&gt;(C19-D19),C19-D19-SUM(E19:R19),(C19-D19)*B19))</f>
        <v>2929839.9508000002</v>
      </c>
      <c r="T19" s="417">
        <f>IF(T4&lt;A19,0,IF((SUM(E19:S19)+((C19-D19)*B19))&gt;(C19-D19),C19-D19-SUM(E19:S19),(C19-D19)*B19))</f>
        <v>2929839.9508000002</v>
      </c>
      <c r="U19" s="417">
        <f>IF(U4&lt;A19,0,IF((SUM(E19:T19)+((C19-D19)*B19))&gt;(C19-D19),C19-D19-SUM(E19:T19),(C19-D19)*B19))</f>
        <v>2929839.9508000002</v>
      </c>
      <c r="V19" s="417">
        <f>IF(V4&lt;A19,0,IF((SUM(E19:U19)+((C19-D19)*B19))&gt;(C19-D19),C19-D19-SUM(E19:U19),(C19-D19)*B19))</f>
        <v>2929839.9508000002</v>
      </c>
      <c r="W19" s="417">
        <f>IF(W4&lt;A19,0,IF((SUM(E19:V19)+((C19-D19)*B19))&gt;(C19-D19),C19-D19-SUM(E19:V19),(C19-D19)*B19))</f>
        <v>2929839.9508000002</v>
      </c>
      <c r="X19" s="417">
        <f>IF(X4&lt;A19,0,IF((SUM(E19:W19)+((C19-D19)*B19))&gt;(C19-D19),C19-D19-SUM(E19:W19),(C19-D19)*B19))</f>
        <v>0</v>
      </c>
      <c r="Y19" s="417">
        <f>IF(Y4&lt;A19,0,IF((SUM(E19:X19)+((C19-D19)*B19))&gt;(C19-D19),C19-D19-SUM(E19:X19),(C19-D19)*B19))</f>
        <v>0</v>
      </c>
      <c r="Z19" s="417">
        <f>IF(Z4&lt;A19,0,IF((SUM(E19:Y19)+((C19-D19)*B19))&gt;(C19-D19),C19-D19-SUM(E19:Y19),(C19-D19)*B19))</f>
        <v>0</v>
      </c>
      <c r="AA19" s="417">
        <f>IF(AA4&lt;A19,0,IF((SUM(E19:Z19)+((C19-D19)*B19))&gt;(C19-D19),C19-D19-SUM(E19:Z19),(C19-D19)*B19))</f>
        <v>0</v>
      </c>
      <c r="AB19" s="417">
        <f>IF(AB4&lt;A19,0,IF((SUM(E19:AA19)+((C19-D19)*B19))&gt;(C19-D19),C19-D19-SUM(E19:AA19),(C19-D19)*B19))</f>
        <v>0</v>
      </c>
      <c r="AC19" s="417">
        <f>IF(AC4&lt;A19,0,IF((SUM(E19:AB19)+((C19-D19)*B19))&gt;(C19-D19),C19-D19-SUM(E19:AB19),(C19-D19)*B19))</f>
        <v>0</v>
      </c>
      <c r="AD19" s="417">
        <f>IF(AD4&lt;A19,0,IF((SUM(E19:AC19)+((C19-D19)*B19))&gt;(C19-D19),C19-D19-SUM(E19:AC19),(C19-D19)*B19))</f>
        <v>0</v>
      </c>
      <c r="AE19" s="417">
        <f>IF(AE4&lt;A19,0,IF((SUM(E19:AD19)+((C19-D19)*B19))&gt;(C19-D19),C19-D19-SUM(E19:AD19),(C19-D19)*B19))</f>
        <v>0</v>
      </c>
      <c r="AF19" s="417">
        <f>IF(AF4&lt;A19,0,IF((SUM(E19:AE19)+((C19-D19)*B19))&gt;(C19-D19),C19-D19-SUM(E19:AE19),(C19-D19)*B19))</f>
        <v>0</v>
      </c>
      <c r="AG19" s="417">
        <f>IF(AG4&lt;A19,0,IF((SUM(E19:AF19)+((C19-D19)*B19))&gt;(C19-D19),C19-D19-SUM(E19:AF19),(C19-D19)*B19))</f>
        <v>0</v>
      </c>
      <c r="AH19" s="417">
        <f>IF(AH4&lt;A19,0,IF((SUM(E19:AG19)+((C19-D19)*B19))&gt;(C19-D19),C19-D19-SUM(E19:AG19),(C19-D19)*B19))</f>
        <v>0</v>
      </c>
    </row>
    <row r="20" spans="1:34" s="75" customFormat="1" ht="13.15" customHeight="1" outlineLevel="1" x14ac:dyDescent="0.2">
      <c r="A20" s="416">
        <v>16</v>
      </c>
      <c r="B20" s="374">
        <v>0.2</v>
      </c>
      <c r="C20" s="378">
        <f>SUMIF('14 - Investimentos'!B:B,'15 - Depreciação'!A2,'14 - Investimentos'!T:T)</f>
        <v>0</v>
      </c>
      <c r="D20" s="417">
        <f>C20*B2</f>
        <v>0</v>
      </c>
      <c r="E20" s="417">
        <f>IF(E4&lt;A20,0,(C20-D20)*B20)</f>
        <v>0</v>
      </c>
      <c r="F20" s="417">
        <f>IF(F4&lt;A20,0,IF((SUM(E20:E20)+((C20-D20)*B20))&gt;(C20-D20),C20-D20-SUM(E20:E20),(C20-D20)*B20))</f>
        <v>0</v>
      </c>
      <c r="G20" s="417">
        <f>IF(G4&lt;A20,0,IF((SUM(E20:F20)+((C20-D20)*B20))&gt;(C20-D20),C20-D20-SUM(E20:F20),(C20-D20)*B20))</f>
        <v>0</v>
      </c>
      <c r="H20" s="417">
        <f>IF(H4&lt;A20,0,IF((SUM(E20:G20)+((C20-D20)*B20))&gt;(C20-D20),C20-D20-SUM(E20:G20),(C20-D20)*B20))</f>
        <v>0</v>
      </c>
      <c r="I20" s="417">
        <f>IF(I4&lt;A20,0,IF((SUM(E20:H20)+((C20-D20)*B20))&gt;(C20-D20),C20-D20-SUM(E20:H20),(C20-D20)*B20))</f>
        <v>0</v>
      </c>
      <c r="J20" s="417">
        <f>IF(J4&lt;A20,0,IF((SUM(E20:I20)+((C20-D20)*B20))&gt;(C20-D20),C20-D20-SUM(E20:I20),(C20-D20)*B20))</f>
        <v>0</v>
      </c>
      <c r="K20" s="417">
        <f>IF(K4&lt;A20,0,IF((SUM(E20:J20)+((C20-D20)*B20))&gt;(C20-D20),C20-D20-SUM(E20:J20),(C20-D20)*B20))</f>
        <v>0</v>
      </c>
      <c r="L20" s="417">
        <f>IF(L4&lt;A20,0,IF((SUM(E20:K20)+((C20-D20)*B20))&gt;(C20-D20),C20-D20-SUM(E20:K20),(C20-D20)*B20))</f>
        <v>0</v>
      </c>
      <c r="M20" s="417">
        <f>IF(M4&lt;A20,0,IF((SUM(E20:L20)+((C20-D20)*B20))&gt;(C20-D20),C20-D20-SUM(E20:L20),(C20-D20)*B20))</f>
        <v>0</v>
      </c>
      <c r="N20" s="417">
        <f>IF(N4&lt;A20,0,IF((SUM(E20:M20)+((C20-D20)*B20))&gt;(C20-D20),C20-D20-SUM(E20:M20),(C20-D20)*B20))</f>
        <v>0</v>
      </c>
      <c r="O20" s="417">
        <f>IF(O4&lt;A20,0,IF((SUM(E20:N20)+((C20-D20)*B20))&gt;(C20-D20),C20-D20-SUM(E20:N20),(C20-D20)*B20))</f>
        <v>0</v>
      </c>
      <c r="P20" s="417">
        <f>IF(P4&lt;A20,0,IF((SUM(E20:O20)+((C20-D20)*B20))&gt;(C20-D20),C20-D20-SUM(E20:O20),(C20-D20)*B20))</f>
        <v>0</v>
      </c>
      <c r="Q20" s="417">
        <f>IF(Q4&lt;A20,0,IF((SUM(E20:P20)+((C20-D20)*B20))&gt;(C20-D20),C20-D20-SUM(E20:P20),(C20-D20)*B20))</f>
        <v>0</v>
      </c>
      <c r="R20" s="417">
        <f>IF(R4&lt;A20,0,IF((SUM(E20:Q20)+((C20-D20)*B20))&gt;(C20-D20),C20-D20-SUM(E20:Q20),(C20-D20)*B20))</f>
        <v>0</v>
      </c>
      <c r="S20" s="417">
        <f>IF(S4&lt;A20,0,IF((SUM(E20:R20)+((C20-D20)*B20))&gt;(C20-D20),C20-D20-SUM(E20:R20),(C20-D20)*B20))</f>
        <v>0</v>
      </c>
      <c r="T20" s="417">
        <f>IF(T4&lt;A20,0,IF((SUM(E20:S20)+((C20-D20)*B20))&gt;(C20-D20),C20-D20-SUM(E20:S20),(C20-D20)*B20))</f>
        <v>0</v>
      </c>
      <c r="U20" s="417">
        <f>IF(U4&lt;A20,0,IF((SUM(E20:T20)+((C20-D20)*B20))&gt;(C20-D20),C20-D20-SUM(E20:T20),(C20-D20)*B20))</f>
        <v>0</v>
      </c>
      <c r="V20" s="417">
        <f>IF(V4&lt;A20,0,IF((SUM(E20:U20)+((C20-D20)*B20))&gt;(C20-D20),C20-D20-SUM(E20:U20),(C20-D20)*B20))</f>
        <v>0</v>
      </c>
      <c r="W20" s="417">
        <f>IF(W4&lt;A20,0,IF((SUM(E20:V20)+((C20-D20)*B20))&gt;(C20-D20),C20-D20-SUM(E20:V20),(C20-D20)*B20))</f>
        <v>0</v>
      </c>
      <c r="X20" s="417">
        <f>IF(X4&lt;A20,0,IF((SUM(E20:W20)+((C20-D20)*B20))&gt;(C20-D20),C20-D20-SUM(E20:W20),(C20-D20)*B20))</f>
        <v>0</v>
      </c>
      <c r="Y20" s="417">
        <f>IF(Y4&lt;A20,0,IF((SUM(E20:X20)+((C20-D20)*B20))&gt;(C20-D20),C20-D20-SUM(E20:X20),(C20-D20)*B20))</f>
        <v>0</v>
      </c>
      <c r="Z20" s="417">
        <f>IF(Z4&lt;A20,0,IF((SUM(E20:Y20)+((C20-D20)*B20))&gt;(C20-D20),C20-D20-SUM(E20:Y20),(C20-D20)*B20))</f>
        <v>0</v>
      </c>
      <c r="AA20" s="417">
        <f>IF(AA4&lt;A20,0,IF((SUM(E20:Z20)+((C20-D20)*B20))&gt;(C20-D20),C20-D20-SUM(E20:Z20),(C20-D20)*B20))</f>
        <v>0</v>
      </c>
      <c r="AB20" s="417">
        <f>IF(AB4&lt;A20,0,IF((SUM(E20:AA20)+((C20-D20)*B20))&gt;(C20-D20),C20-D20-SUM(E20:AA20),(C20-D20)*B20))</f>
        <v>0</v>
      </c>
      <c r="AC20" s="417">
        <f>IF(AC4&lt;A20,0,IF((SUM(E20:AB20)+((C20-D20)*B20))&gt;(C20-D20),C20-D20-SUM(E20:AB20),(C20-D20)*B20))</f>
        <v>0</v>
      </c>
      <c r="AD20" s="417">
        <f>IF(AD4&lt;A20,0,IF((SUM(E20:AC20)+((C20-D20)*B20))&gt;(C20-D20),C20-D20-SUM(E20:AC20),(C20-D20)*B20))</f>
        <v>0</v>
      </c>
      <c r="AE20" s="417">
        <f>IF(AE4&lt;A20,0,IF((SUM(E20:AD20)+((C20-D20)*B20))&gt;(C20-D20),C20-D20-SUM(E20:AD20),(C20-D20)*B20))</f>
        <v>0</v>
      </c>
      <c r="AF20" s="417">
        <f>IF(AF4&lt;A20,0,IF((SUM(E20:AE20)+((C20-D20)*B20))&gt;(C20-D20),C20-D20-SUM(E20:AE20),(C20-D20)*B20))</f>
        <v>0</v>
      </c>
      <c r="AG20" s="417">
        <f>IF(AG4&lt;A20,0,IF((SUM(E20:AF20)+((C20-D20)*B20))&gt;(C20-D20),C20-D20-SUM(E20:AF20),(C20-D20)*B20))</f>
        <v>0</v>
      </c>
      <c r="AH20" s="417">
        <f>IF(AH4&lt;A20,0,IF((SUM(E20:AG20)+((C20-D20)*B20))&gt;(C20-D20),C20-D20-SUM(E20:AG20),(C20-D20)*B20))</f>
        <v>0</v>
      </c>
    </row>
    <row r="21" spans="1:34" s="75" customFormat="1" ht="13.15" customHeight="1" outlineLevel="1" x14ac:dyDescent="0.2">
      <c r="A21" s="416">
        <v>17</v>
      </c>
      <c r="B21" s="374">
        <v>0.2</v>
      </c>
      <c r="C21" s="378">
        <f>SUMIF('14 - Investimentos'!B:B,'15 - Depreciação'!A2,'14 - Investimentos'!U:U)</f>
        <v>723346</v>
      </c>
      <c r="D21" s="417">
        <f>C21*B2</f>
        <v>217003.8</v>
      </c>
      <c r="E21" s="417">
        <f>IF(E4&lt;A21,0,(C21-D21)*B21)</f>
        <v>0</v>
      </c>
      <c r="F21" s="417">
        <f>IF(F4&lt;A21,0,IF((SUM(E21:E21)+((C21-D21)*B21))&gt;(C21-D21),C21-D21-SUM(E21:E21),(C21-D21)*B21))</f>
        <v>0</v>
      </c>
      <c r="G21" s="417">
        <f>IF(G4&lt;A21,0,IF((SUM(E21:F21)+((C21-D21)*B21))&gt;(C21-D21),C21-D21-SUM(E21:F21),(C21-D21)*B21))</f>
        <v>0</v>
      </c>
      <c r="H21" s="417">
        <f>IF(H4&lt;A21,0,IF((SUM(E21:G21)+((C21-D21)*B21))&gt;(C21-D21),C21-D21-SUM(E21:G21),(C21-D21)*B21))</f>
        <v>0</v>
      </c>
      <c r="I21" s="417">
        <f>IF(I4&lt;A21,0,IF((SUM(E21:H21)+((C21-D21)*B21))&gt;(C21-D21),C21-D21-SUM(E21:H21),(C21-D21)*B21))</f>
        <v>0</v>
      </c>
      <c r="J21" s="417">
        <f>IF(J4&lt;A21,0,IF((SUM(E21:I21)+((C21-D21)*B21))&gt;(C21-D21),C21-D21-SUM(E21:I21),(C21-D21)*B21))</f>
        <v>0</v>
      </c>
      <c r="K21" s="417">
        <f>IF(K4&lt;A21,0,IF((SUM(E21:J21)+((C21-D21)*B21))&gt;(C21-D21),C21-D21-SUM(E21:J21),(C21-D21)*B21))</f>
        <v>0</v>
      </c>
      <c r="L21" s="417">
        <f>IF(L4&lt;A21,0,IF((SUM(E21:K21)+((C21-D21)*B21))&gt;(C21-D21),C21-D21-SUM(E21:K21),(C21-D21)*B21))</f>
        <v>0</v>
      </c>
      <c r="M21" s="417">
        <f>IF(M4&lt;A21,0,IF((SUM(E21:L21)+((C21-D21)*B21))&gt;(C21-D21),C21-D21-SUM(E21:L21),(C21-D21)*B21))</f>
        <v>0</v>
      </c>
      <c r="N21" s="417">
        <f>IF(N4&lt;A21,0,IF((SUM(E21:M21)+((C21-D21)*B21))&gt;(C21-D21),C21-D21-SUM(E21:M21),(C21-D21)*B21))</f>
        <v>0</v>
      </c>
      <c r="O21" s="417">
        <f>IF(O4&lt;A21,0,IF((SUM(E21:N21)+((C21-D21)*B21))&gt;(C21-D21),C21-D21-SUM(E21:N21),(C21-D21)*B21))</f>
        <v>0</v>
      </c>
      <c r="P21" s="417">
        <f>IF(P4&lt;A21,0,IF((SUM(E21:O21)+((C21-D21)*B21))&gt;(C21-D21),C21-D21-SUM(E21:O21),(C21-D21)*B21))</f>
        <v>0</v>
      </c>
      <c r="Q21" s="417">
        <f>IF(Q4&lt;A21,0,IF((SUM(E21:P21)+((C21-D21)*B21))&gt;(C21-D21),C21-D21-SUM(E21:P21),(C21-D21)*B21))</f>
        <v>0</v>
      </c>
      <c r="R21" s="417">
        <f>IF(R4&lt;A21,0,IF((SUM(E21:Q21)+((C21-D21)*B21))&gt;(C21-D21),C21-D21-SUM(E21:Q21),(C21-D21)*B21))</f>
        <v>0</v>
      </c>
      <c r="S21" s="417">
        <f>IF(S4&lt;A21,0,IF((SUM(E21:R21)+((C21-D21)*B21))&gt;(C21-D21),C21-D21-SUM(E21:R21),(C21-D21)*B21))</f>
        <v>0</v>
      </c>
      <c r="T21" s="417">
        <f>IF(T4&lt;A21,0,IF((SUM(E21:S21)+((C21-D21)*B21))&gt;(C21-D21),C21-D21-SUM(E21:S21),(C21-D21)*B21))</f>
        <v>0</v>
      </c>
      <c r="U21" s="417">
        <f>IF(U4&lt;A21,0,IF((SUM(E21:T21)+((C21-D21)*B21))&gt;(C21-D21),C21-D21-SUM(E21:T21),(C21-D21)*B21))</f>
        <v>101268.44</v>
      </c>
      <c r="V21" s="417">
        <f>IF(V4&lt;A21,0,IF((SUM(E21:U21)+((C21-D21)*B21))&gt;(C21-D21),C21-D21-SUM(E21:U21),(C21-D21)*B21))</f>
        <v>101268.44</v>
      </c>
      <c r="W21" s="417">
        <f>IF(W4&lt;A21,0,IF((SUM(E21:V21)+((C21-D21)*B21))&gt;(C21-D21),C21-D21-SUM(E21:V21),(C21-D21)*B21))</f>
        <v>101268.44</v>
      </c>
      <c r="X21" s="417">
        <f>IF(X4&lt;A21,0,IF((SUM(E21:W21)+((C21-D21)*B21))&gt;(C21-D21),C21-D21-SUM(E21:W21),(C21-D21)*B21))</f>
        <v>101268.44</v>
      </c>
      <c r="Y21" s="417">
        <f>IF(Y4&lt;A21,0,IF((SUM(E21:X21)+((C21-D21)*B21))&gt;(C21-D21),C21-D21-SUM(E21:X21),(C21-D21)*B21))</f>
        <v>101268.44</v>
      </c>
      <c r="Z21" s="417">
        <f>IF(Z4&lt;A21,0,IF((SUM(E21:Y21)+((C21-D21)*B21))&gt;(C21-D21),C21-D21-SUM(E21:Y21),(C21-D21)*B21))</f>
        <v>0</v>
      </c>
      <c r="AA21" s="417">
        <f>IF(AA4&lt;A21,0,IF((SUM(E21:Z21)+((C21-D21)*B21))&gt;(C21-D21),C21-D21-SUM(E21:Z21),(C21-D21)*B21))</f>
        <v>0</v>
      </c>
      <c r="AB21" s="417">
        <f>IF(AB4&lt;A21,0,IF((SUM(E21:AA21)+((C21-D21)*B21))&gt;(C21-D21),C21-D21-SUM(E21:AA21),(C21-D21)*B21))</f>
        <v>0</v>
      </c>
      <c r="AC21" s="417">
        <f>IF(AC4&lt;A21,0,IF((SUM(E21:AB21)+((C21-D21)*B21))&gt;(C21-D21),C21-D21-SUM(E21:AB21),(C21-D21)*B21))</f>
        <v>0</v>
      </c>
      <c r="AD21" s="417">
        <f>IF(AD4&lt;A21,0,IF((SUM(E21:AC21)+((C21-D21)*B21))&gt;(C21-D21),C21-D21-SUM(E21:AC21),(C21-D21)*B21))</f>
        <v>0</v>
      </c>
      <c r="AE21" s="417">
        <f>IF(AE4&lt;A21,0,IF((SUM(E21:AD21)+((C21-D21)*B21))&gt;(C21-D21),C21-D21-SUM(E21:AD21),(C21-D21)*B21))</f>
        <v>0</v>
      </c>
      <c r="AF21" s="417">
        <f>IF(AF4&lt;A21,0,IF((SUM(E21:AE21)+((C21-D21)*B21))&gt;(C21-D21),C21-D21-SUM(E21:AE21),(C21-D21)*B21))</f>
        <v>0</v>
      </c>
      <c r="AG21" s="417">
        <f>IF(AG4&lt;A21,0,IF((SUM(E21:AF21)+((C21-D21)*B21))&gt;(C21-D21),C21-D21-SUM(E21:AF21),(C21-D21)*B21))</f>
        <v>0</v>
      </c>
      <c r="AH21" s="417">
        <f>IF(AH4&lt;A21,0,IF((SUM(E21:AG21)+((C21-D21)*B21))&gt;(C21-D21),C21-D21-SUM(E21:AG21),(C21-D21)*B21))</f>
        <v>0</v>
      </c>
    </row>
    <row r="22" spans="1:34" s="75" customFormat="1" ht="13.15" customHeight="1" outlineLevel="1" x14ac:dyDescent="0.2">
      <c r="A22" s="416">
        <v>18</v>
      </c>
      <c r="B22" s="374">
        <v>0.2</v>
      </c>
      <c r="C22" s="378">
        <f>SUMIF('14 - Investimentos'!B:B,'15 - Depreciação'!A2,'14 - Investimentos'!V:V)</f>
        <v>17119</v>
      </c>
      <c r="D22" s="417">
        <f>C22*B2</f>
        <v>5135.7</v>
      </c>
      <c r="E22" s="417">
        <f>IF(E4&lt;A22,0,(C22-D22)*B22)</f>
        <v>0</v>
      </c>
      <c r="F22" s="417">
        <f>IF(F4&lt;A22,0,IF((SUM(E22:E22)+((C22-D22)*B22))&gt;(C22-D22),C22-D22-SUM(E22:E22),(C22-D22)*B22))</f>
        <v>0</v>
      </c>
      <c r="G22" s="417">
        <f>IF(G4&lt;A22,0,IF((SUM(E22:F22)+((C22-D22)*B22))&gt;(C22-D22),C22-D22-SUM(E22:F22),(C22-D22)*B22))</f>
        <v>0</v>
      </c>
      <c r="H22" s="417">
        <f>IF(H4&lt;A22,0,IF((SUM(E22:G22)+((C22-D22)*B22))&gt;(C22-D22),C22-D22-SUM(E22:G22),(C22-D22)*B22))</f>
        <v>0</v>
      </c>
      <c r="I22" s="417">
        <f>IF(I4&lt;A22,0,IF((SUM(E22:H22)+((C22-D22)*B22))&gt;(C22-D22),C22-D22-SUM(E22:H22),(C22-D22)*B22))</f>
        <v>0</v>
      </c>
      <c r="J22" s="417">
        <f>IF(J4&lt;A22,0,IF((SUM(E22:I22)+((C22-D22)*B22))&gt;(C22-D22),C22-D22-SUM(E22:I22),(C22-D22)*B22))</f>
        <v>0</v>
      </c>
      <c r="K22" s="417">
        <f>IF(K4&lt;A22,0,IF((SUM(E22:J22)+((C22-D22)*B22))&gt;(C22-D22),C22-D22-SUM(E22:J22),(C22-D22)*B22))</f>
        <v>0</v>
      </c>
      <c r="L22" s="417">
        <f>IF(L4&lt;A22,0,IF((SUM(E22:K22)+((C22-D22)*B22))&gt;(C22-D22),C22-D22-SUM(E22:K22),(C22-D22)*B22))</f>
        <v>0</v>
      </c>
      <c r="M22" s="417">
        <f>IF(M4&lt;A22,0,IF((SUM(E22:L22)+((C22-D22)*B22))&gt;(C22-D22),C22-D22-SUM(E22:L22),(C22-D22)*B22))</f>
        <v>0</v>
      </c>
      <c r="N22" s="417">
        <f>IF(N4&lt;A22,0,IF((SUM(E22:M22)+((C22-D22)*B22))&gt;(C22-D22),C22-D22-SUM(E22:M22),(C22-D22)*B22))</f>
        <v>0</v>
      </c>
      <c r="O22" s="417">
        <f>IF(O4&lt;A22,0,IF((SUM(E22:N22)+((C22-D22)*B22))&gt;(C22-D22),C22-D22-SUM(E22:N22),(C22-D22)*B22))</f>
        <v>0</v>
      </c>
      <c r="P22" s="417">
        <f>IF(P4&lt;A22,0,IF((SUM(E22:O22)+((C22-D22)*B22))&gt;(C22-D22),C22-D22-SUM(E22:O22),(C22-D22)*B22))</f>
        <v>0</v>
      </c>
      <c r="Q22" s="417">
        <f>IF(Q4&lt;A22,0,IF((SUM(E22:P22)+((C22-D22)*B22))&gt;(C22-D22),C22-D22-SUM(E22:P22),(C22-D22)*B22))</f>
        <v>0</v>
      </c>
      <c r="R22" s="417">
        <f>IF(R4&lt;A22,0,IF((SUM(E22:Q22)+((C22-D22)*B22))&gt;(C22-D22),C22-D22-SUM(E22:Q22),(C22-D22)*B22))</f>
        <v>0</v>
      </c>
      <c r="S22" s="417">
        <f>IF(S4&lt;A22,0,IF((SUM(E22:R22)+((C22-D22)*B22))&gt;(C22-D22),C22-D22-SUM(E22:R22),(C22-D22)*B22))</f>
        <v>0</v>
      </c>
      <c r="T22" s="417">
        <f>IF(T4&lt;A22,0,IF((SUM(E22:S22)+((C22-D22)*B22))&gt;(C22-D22),C22-D22-SUM(E22:S22),(C22-D22)*B22))</f>
        <v>0</v>
      </c>
      <c r="U22" s="417">
        <f>IF(U4&lt;A22,0,IF((SUM(E22:T22)+((C22-D22)*B22))&gt;(C22-D22),C22-D22-SUM(E22:T22),(C22-D22)*B22))</f>
        <v>0</v>
      </c>
      <c r="V22" s="417">
        <f>IF(V4&lt;A22,0,IF((SUM(E22:U22)+((C22-D22)*B22))&gt;(C22-D22),C22-D22-SUM(E22:U22),(C22-D22)*B22))</f>
        <v>2396.66</v>
      </c>
      <c r="W22" s="417">
        <f>IF(W4&lt;A22,0,IF((SUM(E22:V22)+((C22-D22)*B22))&gt;(C22-D22),C22-D22-SUM(E22:V22),(C22-D22)*B22))</f>
        <v>2396.66</v>
      </c>
      <c r="X22" s="417">
        <f>IF(X4&lt;A22,0,IF((SUM(E22:W22)+((C22-D22)*B22))&gt;(C22-D22),C22-D22-SUM(E22:W22),(C22-D22)*B22))</f>
        <v>2396.66</v>
      </c>
      <c r="Y22" s="417">
        <f>IF(Y4&lt;A22,0,IF((SUM(E22:X22)+((C22-D22)*B22))&gt;(C22-D22),C22-D22-SUM(E22:X22),(C22-D22)*B22))</f>
        <v>2396.66</v>
      </c>
      <c r="Z22" s="417">
        <f>IF(Z4&lt;A22,0,IF((SUM(E22:Y22)+((C22-D22)*B22))&gt;(C22-D22),C22-D22-SUM(E22:Y22),(C22-D22)*B22))</f>
        <v>2396.66</v>
      </c>
      <c r="AA22" s="417">
        <f>IF(AA4&lt;A22,0,IF((SUM(E22:Z22)+((C22-D22)*B22))&gt;(C22-D22),C22-D22-SUM(E22:Z22),(C22-D22)*B22))</f>
        <v>0</v>
      </c>
      <c r="AB22" s="417">
        <f>IF(AB4&lt;A22,0,IF((SUM(E22:AA22)+((C22-D22)*B22))&gt;(C22-D22),C22-D22-SUM(E22:AA22),(C22-D22)*B22))</f>
        <v>0</v>
      </c>
      <c r="AC22" s="417">
        <f>IF(AC4&lt;A22,0,IF((SUM(E22:AB22)+((C22-D22)*B22))&gt;(C22-D22),C22-D22-SUM(E22:AB22),(C22-D22)*B22))</f>
        <v>0</v>
      </c>
      <c r="AD22" s="417">
        <f>IF(AD4&lt;A22,0,IF((SUM(E22:AC22)+((C22-D22)*B22))&gt;(C22-D22),C22-D22-SUM(E22:AC22),(C22-D22)*B22))</f>
        <v>0</v>
      </c>
      <c r="AE22" s="417">
        <f>IF(AE4&lt;A22,0,IF((SUM(E22:AD22)+((C22-D22)*B22))&gt;(C22-D22),C22-D22-SUM(E22:AD22),(C22-D22)*B22))</f>
        <v>0</v>
      </c>
      <c r="AF22" s="417">
        <f>IF(AF4&lt;A22,0,IF((SUM(E22:AE22)+((C22-D22)*B22))&gt;(C22-D22),C22-D22-SUM(E22:AE22),(C22-D22)*B22))</f>
        <v>0</v>
      </c>
      <c r="AG22" s="417">
        <f>IF(AG4&lt;A22,0,IF((SUM(E22:AF22)+((C22-D22)*B22))&gt;(C22-D22),C22-D22-SUM(E22:AF22),(C22-D22)*B22))</f>
        <v>0</v>
      </c>
      <c r="AH22" s="417">
        <f>IF(AH4&lt;A22,0,IF((SUM(E22:AG22)+((C22-D22)*B22))&gt;(C22-D22),C22-D22-SUM(E22:AG22),(C22-D22)*B22))</f>
        <v>0</v>
      </c>
    </row>
    <row r="23" spans="1:34" s="75" customFormat="1" ht="13.15" customHeight="1" outlineLevel="1" x14ac:dyDescent="0.2">
      <c r="A23" s="416">
        <v>19</v>
      </c>
      <c r="B23" s="374">
        <v>0.2</v>
      </c>
      <c r="C23" s="378">
        <f>SUMIF('14 - Investimentos'!B:B,'15 - Depreciação'!A2,'14 - Investimentos'!W:W)</f>
        <v>0</v>
      </c>
      <c r="D23" s="417">
        <f>C23*B2</f>
        <v>0</v>
      </c>
      <c r="E23" s="417">
        <f>IF(E4&lt;A23,0,(C23-D23)*B23)</f>
        <v>0</v>
      </c>
      <c r="F23" s="417">
        <f>IF(F4&lt;A23,0,IF((SUM(E23:E23)+((C23-D23)*B23))&gt;(C23-D23),C23-D23-SUM(E23:E23),(C23-D23)*B23))</f>
        <v>0</v>
      </c>
      <c r="G23" s="417">
        <f>IF(G4&lt;A23,0,IF((SUM(E23:F23)+((C23-D23)*B23))&gt;(C23-D23),C23-D23-SUM(E23:F23),(C23-D23)*B23))</f>
        <v>0</v>
      </c>
      <c r="H23" s="417">
        <f>IF(H4&lt;A23,0,IF((SUM(E23:G23)+((C23-D23)*B23))&gt;(C23-D23),C23-D23-SUM(E23:G23),(C23-D23)*B23))</f>
        <v>0</v>
      </c>
      <c r="I23" s="417">
        <f>IF(I4&lt;A23,0,IF((SUM(E23:H23)+((C23-D23)*B23))&gt;(C23-D23),C23-D23-SUM(E23:H23),(C23-D23)*B23))</f>
        <v>0</v>
      </c>
      <c r="J23" s="417">
        <f>IF(J4&lt;A23,0,IF((SUM(E23:I23)+((C23-D23)*B23))&gt;(C23-D23),C23-D23-SUM(E23:I23),(C23-D23)*B23))</f>
        <v>0</v>
      </c>
      <c r="K23" s="417">
        <f>IF(K4&lt;A23,0,IF((SUM(E23:J23)+((C23-D23)*B23))&gt;(C23-D23),C23-D23-SUM(E23:J23),(C23-D23)*B23))</f>
        <v>0</v>
      </c>
      <c r="L23" s="417">
        <f>IF(L4&lt;A23,0,IF((SUM(E23:K23)+((C23-D23)*B23))&gt;(C23-D23),C23-D23-SUM(E23:K23),(C23-D23)*B23))</f>
        <v>0</v>
      </c>
      <c r="M23" s="417">
        <f>IF(M4&lt;A23,0,IF((SUM(E23:L23)+((C23-D23)*B23))&gt;(C23-D23),C23-D23-SUM(E23:L23),(C23-D23)*B23))</f>
        <v>0</v>
      </c>
      <c r="N23" s="417">
        <f>IF(N4&lt;A23,0,IF((SUM(E23:M23)+((C23-D23)*B23))&gt;(C23-D23),C23-D23-SUM(E23:M23),(C23-D23)*B23))</f>
        <v>0</v>
      </c>
      <c r="O23" s="417">
        <f>IF(O4&lt;A23,0,IF((SUM(E23:N23)+((C23-D23)*B23))&gt;(C23-D23),C23-D23-SUM(E23:N23),(C23-D23)*B23))</f>
        <v>0</v>
      </c>
      <c r="P23" s="417">
        <f>IF(P4&lt;A23,0,IF((SUM(E23:O23)+((C23-D23)*B23))&gt;(C23-D23),C23-D23-SUM(E23:O23),(C23-D23)*B23))</f>
        <v>0</v>
      </c>
      <c r="Q23" s="417">
        <f>IF(Q4&lt;A23,0,IF((SUM(E23:P23)+((C23-D23)*B23))&gt;(C23-D23),C23-D23-SUM(E23:P23),(C23-D23)*B23))</f>
        <v>0</v>
      </c>
      <c r="R23" s="417">
        <f>IF(R4&lt;A23,0,IF((SUM(E23:Q23)+((C23-D23)*B23))&gt;(C23-D23),C23-D23-SUM(E23:Q23),(C23-D23)*B23))</f>
        <v>0</v>
      </c>
      <c r="S23" s="417">
        <f>IF(S4&lt;A23,0,IF((SUM(E23:R23)+((C23-D23)*B23))&gt;(C23-D23),C23-D23-SUM(E23:R23),(C23-D23)*B23))</f>
        <v>0</v>
      </c>
      <c r="T23" s="417">
        <f>IF(T4&lt;A23,0,IF((SUM(E23:S23)+((C23-D23)*B23))&gt;(C23-D23),C23-D23-SUM(E23:S23),(C23-D23)*B23))</f>
        <v>0</v>
      </c>
      <c r="U23" s="417">
        <f>IF(U4&lt;A23,0,IF((SUM(E23:T23)+((C23-D23)*B23))&gt;(C23-D23),C23-D23-SUM(E23:T23),(C23-D23)*B23))</f>
        <v>0</v>
      </c>
      <c r="V23" s="417">
        <f>IF(V4&lt;A23,0,IF((SUM(E23:U23)+((C23-D23)*B23))&gt;(C23-D23),C23-D23-SUM(E23:U23),(C23-D23)*B23))</f>
        <v>0</v>
      </c>
      <c r="W23" s="417">
        <f>IF(W4&lt;A23,0,IF((SUM(E23:V23)+((C23-D23)*B23))&gt;(C23-D23),C23-D23-SUM(E23:V23),(C23-D23)*B23))</f>
        <v>0</v>
      </c>
      <c r="X23" s="417">
        <f>IF(X4&lt;A23,0,IF((SUM(E23:W23)+((C23-D23)*B23))&gt;(C23-D23),C23-D23-SUM(E23:W23),(C23-D23)*B23))</f>
        <v>0</v>
      </c>
      <c r="Y23" s="417">
        <f>IF(Y4&lt;A23,0,IF((SUM(E23:X23)+((C23-D23)*B23))&gt;(C23-D23),C23-D23-SUM(E23:X23),(C23-D23)*B23))</f>
        <v>0</v>
      </c>
      <c r="Z23" s="417">
        <f>IF(Z4&lt;A23,0,IF((SUM(E23:Y23)+((C23-D23)*B23))&gt;(C23-D23),C23-D23-SUM(E23:Y23),(C23-D23)*B23))</f>
        <v>0</v>
      </c>
      <c r="AA23" s="417">
        <f>IF(AA4&lt;A23,0,IF((SUM(E23:Z23)+((C23-D23)*B23))&gt;(C23-D23),C23-D23-SUM(E23:Z23),(C23-D23)*B23))</f>
        <v>0</v>
      </c>
      <c r="AB23" s="417">
        <f>IF(AB4&lt;A23,0,IF((SUM(E23:AA23)+((C23-D23)*B23))&gt;(C23-D23),C23-D23-SUM(E23:AA23),(C23-D23)*B23))</f>
        <v>0</v>
      </c>
      <c r="AC23" s="417">
        <f>IF(AC4&lt;A23,0,IF((SUM(E23:AB23)+((C23-D23)*B23))&gt;(C23-D23),C23-D23-SUM(E23:AB23),(C23-D23)*B23))</f>
        <v>0</v>
      </c>
      <c r="AD23" s="417">
        <f>IF(AD4&lt;A23,0,IF((SUM(E23:AC23)+((C23-D23)*B23))&gt;(C23-D23),C23-D23-SUM(E23:AC23),(C23-D23)*B23))</f>
        <v>0</v>
      </c>
      <c r="AE23" s="417">
        <f>IF(AE4&lt;A23,0,IF((SUM(E23:AD23)+((C23-D23)*B23))&gt;(C23-D23),C23-D23-SUM(E23:AD23),(C23-D23)*B23))</f>
        <v>0</v>
      </c>
      <c r="AF23" s="417">
        <f>IF(AF4&lt;A23,0,IF((SUM(E23:AE23)+((C23-D23)*B23))&gt;(C23-D23),C23-D23-SUM(E23:AE23),(C23-D23)*B23))</f>
        <v>0</v>
      </c>
      <c r="AG23" s="417">
        <f>IF(AG4&lt;A23,0,IF((SUM(E23:AF23)+((C23-D23)*B23))&gt;(C23-D23),C23-D23-SUM(E23:AF23),(C23-D23)*B23))</f>
        <v>0</v>
      </c>
      <c r="AH23" s="417">
        <f>IF(AH4&lt;A23,0,IF((SUM(E23:AG23)+((C23-D23)*B23))&gt;(C23-D23),C23-D23-SUM(E23:AG23),(C23-D23)*B23))</f>
        <v>0</v>
      </c>
    </row>
    <row r="24" spans="1:34" s="75" customFormat="1" ht="13.15" customHeight="1" outlineLevel="1" x14ac:dyDescent="0.2">
      <c r="A24" s="416">
        <v>20</v>
      </c>
      <c r="B24" s="374">
        <v>0.2</v>
      </c>
      <c r="C24" s="378">
        <f>SUMIF('14 - Investimentos'!B:B,'15 - Depreciação'!A2,'14 - Investimentos'!X:X)</f>
        <v>812500</v>
      </c>
      <c r="D24" s="417">
        <f>C24*B2</f>
        <v>243750</v>
      </c>
      <c r="E24" s="417">
        <f>IF(E4&lt;A24,0,(C24-D24)*B24)</f>
        <v>0</v>
      </c>
      <c r="F24" s="417">
        <f>IF(F4&lt;A24,0,IF((SUM(E24:E24)+((C24-D24)*B24))&gt;(C24-D24),C24-D24-SUM(E24:E24),(C24-D24)*B24))</f>
        <v>0</v>
      </c>
      <c r="G24" s="417">
        <f>IF(G4&lt;A24,0,IF((SUM(E24:F24)+((C24-D24)*B24))&gt;(C24-D24),C24-D24-SUM(E24:F24),(C24-D24)*B24))</f>
        <v>0</v>
      </c>
      <c r="H24" s="417">
        <f>IF(H4&lt;A24,0,IF((SUM(E24:G24)+((C24-D24)*B24))&gt;(C24-D24),C24-D24-SUM(E24:G24),(C24-D24)*B24))</f>
        <v>0</v>
      </c>
      <c r="I24" s="417">
        <f>IF(I4&lt;A24,0,IF((SUM(E24:H24)+((C24-D24)*B24))&gt;(C24-D24),C24-D24-SUM(E24:H24),(C24-D24)*B24))</f>
        <v>0</v>
      </c>
      <c r="J24" s="417">
        <f>IF(J4&lt;A24,0,IF((SUM(E24:I24)+((C24-D24)*B24))&gt;(C24-D24),C24-D24-SUM(E24:I24),(C24-D24)*B24))</f>
        <v>0</v>
      </c>
      <c r="K24" s="417">
        <f>IF(K4&lt;A24,0,IF((SUM(E24:J24)+((C24-D24)*B24))&gt;(C24-D24),C24-D24-SUM(E24:J24),(C24-D24)*B24))</f>
        <v>0</v>
      </c>
      <c r="L24" s="417">
        <f>IF(L4&lt;A24,0,IF((SUM(E24:K24)+((C24-D24)*B24))&gt;(C24-D24),C24-D24-SUM(E24:K24),(C24-D24)*B24))</f>
        <v>0</v>
      </c>
      <c r="M24" s="417">
        <f>IF(M4&lt;A24,0,IF((SUM(E24:L24)+((C24-D24)*B24))&gt;(C24-D24),C24-D24-SUM(E24:L24),(C24-D24)*B24))</f>
        <v>0</v>
      </c>
      <c r="N24" s="417">
        <f>IF(N4&lt;A24,0,IF((SUM(E24:M24)+((C24-D24)*B24))&gt;(C24-D24),C24-D24-SUM(E24:M24),(C24-D24)*B24))</f>
        <v>0</v>
      </c>
      <c r="O24" s="417">
        <f>IF(O4&lt;A24,0,IF((SUM(E24:N24)+((C24-D24)*B24))&gt;(C24-D24),C24-D24-SUM(E24:N24),(C24-D24)*B24))</f>
        <v>0</v>
      </c>
      <c r="P24" s="417">
        <f>IF(P4&lt;A24,0,IF((SUM(E24:O24)+((C24-D24)*B24))&gt;(C24-D24),C24-D24-SUM(E24:O24),(C24-D24)*B24))</f>
        <v>0</v>
      </c>
      <c r="Q24" s="417">
        <f>IF(Q4&lt;A24,0,IF((SUM(E24:P24)+((C24-D24)*B24))&gt;(C24-D24),C24-D24-SUM(E24:P24),(C24-D24)*B24))</f>
        <v>0</v>
      </c>
      <c r="R24" s="417">
        <f>IF(R4&lt;A24,0,IF((SUM(E24:Q24)+((C24-D24)*B24))&gt;(C24-D24),C24-D24-SUM(E24:Q24),(C24-D24)*B24))</f>
        <v>0</v>
      </c>
      <c r="S24" s="417">
        <f>IF(S4&lt;A24,0,IF((SUM(E24:R24)+((C24-D24)*B24))&gt;(C24-D24),C24-D24-SUM(E24:R24),(C24-D24)*B24))</f>
        <v>0</v>
      </c>
      <c r="T24" s="417">
        <f>IF(T4&lt;A24,0,IF((SUM(E24:S24)+((C24-D24)*B24))&gt;(C24-D24),C24-D24-SUM(E24:S24),(C24-D24)*B24))</f>
        <v>0</v>
      </c>
      <c r="U24" s="417">
        <f>IF(U4&lt;A24,0,IF((SUM(E24:T24)+((C24-D24)*B24))&gt;(C24-D24),C24-D24-SUM(E24:T24),(C24-D24)*B24))</f>
        <v>0</v>
      </c>
      <c r="V24" s="417">
        <f>IF(V4&lt;A24,0,IF((SUM(E24:U24)+((C24-D24)*B24))&gt;(C24-D24),C24-D24-SUM(E24:U24),(C24-D24)*B24))</f>
        <v>0</v>
      </c>
      <c r="W24" s="417">
        <f>IF(W4&lt;A24,0,IF((SUM(E24:V24)+((C24-D24)*B24))&gt;(C24-D24),C24-D24-SUM(E24:V24),(C24-D24)*B24))</f>
        <v>0</v>
      </c>
      <c r="X24" s="417">
        <f>IF(X4&lt;A24,0,IF((SUM(E24:W24)+((C24-D24)*B24))&gt;(C24-D24),C24-D24-SUM(E24:W24),(C24-D24)*B24))</f>
        <v>113750</v>
      </c>
      <c r="Y24" s="417">
        <f>IF(Y4&lt;A24,0,IF((SUM(E24:X24)+((C24-D24)*B24))&gt;(C24-D24),C24-D24-SUM(E24:X24),(C24-D24)*B24))</f>
        <v>113750</v>
      </c>
      <c r="Z24" s="417">
        <f>IF(Z4&lt;A24,0,IF((SUM(E24:Y24)+((C24-D24)*B24))&gt;(C24-D24),C24-D24-SUM(E24:Y24),(C24-D24)*B24))</f>
        <v>113750</v>
      </c>
      <c r="AA24" s="417">
        <f>IF(AA4&lt;A24,0,IF((SUM(E24:Z24)+((C24-D24)*B24))&gt;(C24-D24),C24-D24-SUM(E24:Z24),(C24-D24)*B24))</f>
        <v>113750</v>
      </c>
      <c r="AB24" s="417">
        <f>IF(AB4&lt;A24,0,IF((SUM(E24:AA24)+((C24-D24)*B24))&gt;(C24-D24),C24-D24-SUM(E24:AA24),(C24-D24)*B24))</f>
        <v>113750</v>
      </c>
      <c r="AC24" s="417">
        <f>IF(AC4&lt;A24,0,IF((SUM(E24:AB24)+((C24-D24)*B24))&gt;(C24-D24),C24-D24-SUM(E24:AB24),(C24-D24)*B24))</f>
        <v>0</v>
      </c>
      <c r="AD24" s="417">
        <f>IF(AD4&lt;A24,0,IF((SUM(E24:AC24)+((C24-D24)*B24))&gt;(C24-D24),C24-D24-SUM(E24:AC24),(C24-D24)*B24))</f>
        <v>0</v>
      </c>
      <c r="AE24" s="417">
        <f>IF(AE4&lt;A24,0,IF((SUM(E24:AD24)+((C24-D24)*B24))&gt;(C24-D24),C24-D24-SUM(E24:AD24),(C24-D24)*B24))</f>
        <v>0</v>
      </c>
      <c r="AF24" s="417">
        <f>IF(AF4&lt;A24,0,IF((SUM(E24:AE24)+((C24-D24)*B24))&gt;(C24-D24),C24-D24-SUM(E24:AE24),(C24-D24)*B24))</f>
        <v>0</v>
      </c>
      <c r="AG24" s="417">
        <f>IF(AG4&lt;A24,0,IF((SUM(E24:AF24)+((C24-D24)*B24))&gt;(C24-D24),C24-D24-SUM(E24:AF24),(C24-D24)*B24))</f>
        <v>0</v>
      </c>
      <c r="AH24" s="417">
        <f>IF(AH4&lt;A24,0,IF((SUM(E24:AG24)+((C24-D24)*B24))&gt;(C24-D24),C24-D24-SUM(E24:AG24),(C24-D24)*B24))</f>
        <v>0</v>
      </c>
    </row>
    <row r="25" spans="1:34" s="75" customFormat="1" ht="13.15" customHeight="1" outlineLevel="1" x14ac:dyDescent="0.2">
      <c r="A25" s="416">
        <v>21</v>
      </c>
      <c r="B25" s="374">
        <v>0.2</v>
      </c>
      <c r="C25" s="378">
        <f>SUMIF('14 - Investimentos'!B:B,'15 - Depreciação'!A2,'14 - Investimentos'!Y:Y)</f>
        <v>723346</v>
      </c>
      <c r="D25" s="417">
        <f>C25*B2</f>
        <v>217003.8</v>
      </c>
      <c r="E25" s="417">
        <f>IF(E4&lt;A25,0,(C25-D25)*B25)</f>
        <v>0</v>
      </c>
      <c r="F25" s="417">
        <f>IF(F4&lt;A25,0,IF((SUM(E25:E25)+((C25-D25)*B25))&gt;(C25-D25),C25-D25-SUM(E25:E25),(C25-D25)*B25))</f>
        <v>0</v>
      </c>
      <c r="G25" s="417">
        <f>IF(G4&lt;A25,0,IF((SUM(E25:F25)+((C25-D25)*B25))&gt;(C25-D25),C25-D25-SUM(E25:F25),(C25-D25)*B25))</f>
        <v>0</v>
      </c>
      <c r="H25" s="417">
        <f>IF(H4&lt;A25,0,IF((SUM(E25:G25)+((C25-D25)*B25))&gt;(C25-D25),C25-D25-SUM(E25:G25),(C25-D25)*B25))</f>
        <v>0</v>
      </c>
      <c r="I25" s="417">
        <f>IF(I4&lt;A25,0,IF((SUM(E25:H25)+((C25-D25)*B25))&gt;(C25-D25),C25-D25-SUM(E25:H25),(C25-D25)*B25))</f>
        <v>0</v>
      </c>
      <c r="J25" s="417">
        <f>IF(J4&lt;A25,0,IF((SUM(E25:I25)+((C25-D25)*B25))&gt;(C25-D25),C25-D25-SUM(E25:I25),(C25-D25)*B25))</f>
        <v>0</v>
      </c>
      <c r="K25" s="417">
        <f>IF(K4&lt;A25,0,IF((SUM(E25:J25)+((C25-D25)*B25))&gt;(C25-D25),C25-D25-SUM(E25:J25),(C25-D25)*B25))</f>
        <v>0</v>
      </c>
      <c r="L25" s="417">
        <f>IF(L4&lt;A25,0,IF((SUM(E25:K25)+((C25-D25)*B25))&gt;(C25-D25),C25-D25-SUM(E25:K25),(C25-D25)*B25))</f>
        <v>0</v>
      </c>
      <c r="M25" s="417">
        <f>IF(M4&lt;A25,0,IF((SUM(E25:L25)+((C25-D25)*B25))&gt;(C25-D25),C25-D25-SUM(E25:L25),(C25-D25)*B25))</f>
        <v>0</v>
      </c>
      <c r="N25" s="417">
        <f>IF(N4&lt;A25,0,IF((SUM(E25:M25)+((C25-D25)*B25))&gt;(C25-D25),C25-D25-SUM(E25:M25),(C25-D25)*B25))</f>
        <v>0</v>
      </c>
      <c r="O25" s="417">
        <f>IF(O4&lt;A25,0,IF((SUM(E25:N25)+((C25-D25)*B25))&gt;(C25-D25),C25-D25-SUM(E25:N25),(C25-D25)*B25))</f>
        <v>0</v>
      </c>
      <c r="P25" s="417">
        <f>IF(P4&lt;A25,0,IF((SUM(E25:O25)+((C25-D25)*B25))&gt;(C25-D25),C25-D25-SUM(E25:O25),(C25-D25)*B25))</f>
        <v>0</v>
      </c>
      <c r="Q25" s="417">
        <f>IF(Q4&lt;A25,0,IF((SUM(E25:P25)+((C25-D25)*B25))&gt;(C25-D25),C25-D25-SUM(E25:P25),(C25-D25)*B25))</f>
        <v>0</v>
      </c>
      <c r="R25" s="417">
        <f>IF(R4&lt;A25,0,IF((SUM(E25:Q25)+((C25-D25)*B25))&gt;(C25-D25),C25-D25-SUM(E25:Q25),(C25-D25)*B25))</f>
        <v>0</v>
      </c>
      <c r="S25" s="417">
        <f>IF(S4&lt;A25,0,IF((SUM(E25:R25)+((C25-D25)*B25))&gt;(C25-D25),C25-D25-SUM(E25:R25),(C25-D25)*B25))</f>
        <v>0</v>
      </c>
      <c r="T25" s="417">
        <f>IF(T4&lt;A25,0,IF((SUM(E25:S25)+((C25-D25)*B25))&gt;(C25-D25),C25-D25-SUM(E25:S25),(C25-D25)*B25))</f>
        <v>0</v>
      </c>
      <c r="U25" s="417">
        <f>IF(U4&lt;A25,0,IF((SUM(E25:T25)+((C25-D25)*B25))&gt;(C25-D25),C25-D25-SUM(E25:T25),(C25-D25)*B25))</f>
        <v>0</v>
      </c>
      <c r="V25" s="417">
        <f>IF(V4&lt;A25,0,IF((SUM(E25:U25)+((C25-D25)*B25))&gt;(C25-D25),C25-D25-SUM(E25:U25),(C25-D25)*B25))</f>
        <v>0</v>
      </c>
      <c r="W25" s="417">
        <f>IF(W4&lt;A25,0,IF((SUM(E25:V25)+((C25-D25)*B25))&gt;(C25-D25),C25-D25-SUM(E25:V25),(C25-D25)*B25))</f>
        <v>0</v>
      </c>
      <c r="X25" s="417">
        <f>IF(X4&lt;A25,0,IF((SUM(E25:W25)+((C25-D25)*B25))&gt;(C25-D25),C25-D25-SUM(E25:W25),(C25-D25)*B25))</f>
        <v>0</v>
      </c>
      <c r="Y25" s="417">
        <f>IF(Y4&lt;A25,0,IF((SUM(E25:X25)+((C25-D25)*B25))&gt;(C25-D25),C25-D25-SUM(E25:X25),(C25-D25)*B25))</f>
        <v>101268.44</v>
      </c>
      <c r="Z25" s="417">
        <f>IF(Z4&lt;A25,0,IF((SUM(E25:Y25)+((C25-D25)*B25))&gt;(C25-D25),C25-D25-SUM(E25:Y25),(C25-D25)*B25))</f>
        <v>101268.44</v>
      </c>
      <c r="AA25" s="417">
        <f>IF(AA4&lt;A25,0,IF((SUM(E25:Z25)+((C25-D25)*B25))&gt;(C25-D25),C25-D25-SUM(E25:Z25),(C25-D25)*B25))</f>
        <v>101268.44</v>
      </c>
      <c r="AB25" s="417">
        <f>IF(AB4&lt;A25,0,IF((SUM(E25:AA25)+((C25-D25)*B25))&gt;(C25-D25),C25-D25-SUM(E25:AA25),(C25-D25)*B25))</f>
        <v>101268.44</v>
      </c>
      <c r="AC25" s="417">
        <f>IF(AC4&lt;A25,0,IF((SUM(E25:AB25)+((C25-D25)*B25))&gt;(C25-D25),C25-D25-SUM(E25:AB25),(C25-D25)*B25))</f>
        <v>101268.44</v>
      </c>
      <c r="AD25" s="417">
        <f>IF(AD4&lt;A25,0,IF((SUM(E25:AC25)+((C25-D25)*B25))&gt;(C25-D25),C25-D25-SUM(E25:AC25),(C25-D25)*B25))</f>
        <v>0</v>
      </c>
      <c r="AE25" s="417">
        <f>IF(AE4&lt;A25,0,IF((SUM(E25:AD25)+((C25-D25)*B25))&gt;(C25-D25),C25-D25-SUM(E25:AD25),(C25-D25)*B25))</f>
        <v>0</v>
      </c>
      <c r="AF25" s="417">
        <f>IF(AF4&lt;A25,0,IF((SUM(E25:AE25)+((C25-D25)*B25))&gt;(C25-D25),C25-D25-SUM(E25:AE25),(C25-D25)*B25))</f>
        <v>0</v>
      </c>
      <c r="AG25" s="417">
        <f>IF(AG4&lt;A25,0,IF((SUM(E25:AF25)+((C25-D25)*B25))&gt;(C25-D25),C25-D25-SUM(E25:AF25),(C25-D25)*B25))</f>
        <v>0</v>
      </c>
      <c r="AH25" s="417">
        <f>IF(AH4&lt;A25,0,IF((SUM(E25:AG25)+((C25-D25)*B25))&gt;(C25-D25),C25-D25-SUM(E25:AG25),(C25-D25)*B25))</f>
        <v>0</v>
      </c>
    </row>
    <row r="26" spans="1:34" s="75" customFormat="1" ht="13.15" customHeight="1" outlineLevel="1" x14ac:dyDescent="0.2">
      <c r="A26" s="416">
        <v>22</v>
      </c>
      <c r="B26" s="374">
        <v>0.2</v>
      </c>
      <c r="C26" s="378">
        <f>SUMIF('14 - Investimentos'!B:B,'15 - Depreciação'!A2,'14 - Investimentos'!Z:Z)</f>
        <v>20944547.219999999</v>
      </c>
      <c r="D26" s="417">
        <f>C26*B2</f>
        <v>6283364.1659999993</v>
      </c>
      <c r="E26" s="417">
        <f>IF(E4&lt;A26,0,(C26-D26)*B26)</f>
        <v>0</v>
      </c>
      <c r="F26" s="417">
        <f>IF(F4&lt;A26,0,IF((SUM(E26:E26)+((C26-D26)*B26))&gt;(C26-D26),C26-D26-SUM(E26:E26),(C26-D26)*B26))</f>
        <v>0</v>
      </c>
      <c r="G26" s="417">
        <f>IF(G4&lt;A26,0,IF((SUM(E26:F26)+((C26-D26)*B26))&gt;(C26-D26),C26-D26-SUM(E26:F26),(C26-D26)*B26))</f>
        <v>0</v>
      </c>
      <c r="H26" s="417">
        <f>IF(H4&lt;A26,0,IF((SUM(E26:G26)+((C26-D26)*B26))&gt;(C26-D26),C26-D26-SUM(E26:G26),(C26-D26)*B26))</f>
        <v>0</v>
      </c>
      <c r="I26" s="417">
        <f>IF(I4&lt;A26,0,IF((SUM(E26:H26)+((C26-D26)*B26))&gt;(C26-D26),C26-D26-SUM(E26:H26),(C26-D26)*B26))</f>
        <v>0</v>
      </c>
      <c r="J26" s="417">
        <f>IF(J4&lt;A26,0,IF((SUM(E26:I26)+((C26-D26)*B26))&gt;(C26-D26),C26-D26-SUM(E26:I26),(C26-D26)*B26))</f>
        <v>0</v>
      </c>
      <c r="K26" s="417">
        <f>IF(K4&lt;A26,0,IF((SUM(E26:J26)+((C26-D26)*B26))&gt;(C26-D26),C26-D26-SUM(E26:J26),(C26-D26)*B26))</f>
        <v>0</v>
      </c>
      <c r="L26" s="417">
        <f>IF(L4&lt;A26,0,IF((SUM(E26:K26)+((C26-D26)*B26))&gt;(C26-D26),C26-D26-SUM(E26:K26),(C26-D26)*B26))</f>
        <v>0</v>
      </c>
      <c r="M26" s="417">
        <f>IF(M4&lt;A26,0,IF((SUM(E26:L26)+((C26-D26)*B26))&gt;(C26-D26),C26-D26-SUM(E26:L26),(C26-D26)*B26))</f>
        <v>0</v>
      </c>
      <c r="N26" s="417">
        <f>IF(N4&lt;A26,0,IF((SUM(E26:M26)+((C26-D26)*B26))&gt;(C26-D26),C26-D26-SUM(E26:M26),(C26-D26)*B26))</f>
        <v>0</v>
      </c>
      <c r="O26" s="417">
        <f>IF(O4&lt;A26,0,IF((SUM(E26:N26)+((C26-D26)*B26))&gt;(C26-D26),C26-D26-SUM(E26:N26),(C26-D26)*B26))</f>
        <v>0</v>
      </c>
      <c r="P26" s="417">
        <f>IF(P4&lt;A26,0,IF((SUM(E26:O26)+((C26-D26)*B26))&gt;(C26-D26),C26-D26-SUM(E26:O26),(C26-D26)*B26))</f>
        <v>0</v>
      </c>
      <c r="Q26" s="417">
        <f>IF(Q4&lt;A26,0,IF((SUM(E26:P26)+((C26-D26)*B26))&gt;(C26-D26),C26-D26-SUM(E26:P26),(C26-D26)*B26))</f>
        <v>0</v>
      </c>
      <c r="R26" s="417">
        <f>IF(R4&lt;A26,0,IF((SUM(E26:Q26)+((C26-D26)*B26))&gt;(C26-D26),C26-D26-SUM(E26:Q26),(C26-D26)*B26))</f>
        <v>0</v>
      </c>
      <c r="S26" s="417">
        <f>IF(S4&lt;A26,0,IF((SUM(E26:R26)+((C26-D26)*B26))&gt;(C26-D26),C26-D26-SUM(E26:R26),(C26-D26)*B26))</f>
        <v>0</v>
      </c>
      <c r="T26" s="417">
        <f>IF(T4&lt;A26,0,IF((SUM(E26:S26)+((C26-D26)*B26))&gt;(C26-D26),C26-D26-SUM(E26:S26),(C26-D26)*B26))</f>
        <v>0</v>
      </c>
      <c r="U26" s="417">
        <f>IF(U4&lt;A26,0,IF((SUM(E26:T26)+((C26-D26)*B26))&gt;(C26-D26),C26-D26-SUM(E26:T26),(C26-D26)*B26))</f>
        <v>0</v>
      </c>
      <c r="V26" s="417">
        <f>IF(V4&lt;A26,0,IF((SUM(E26:U26)+((C26-D26)*B26))&gt;(C26-D26),C26-D26-SUM(E26:U26),(C26-D26)*B26))</f>
        <v>0</v>
      </c>
      <c r="W26" s="417">
        <f>IF(W4&lt;A26,0,IF((SUM(E26:V26)+((C26-D26)*B26))&gt;(C26-D26),C26-D26-SUM(E26:V26),(C26-D26)*B26))</f>
        <v>0</v>
      </c>
      <c r="X26" s="417">
        <f>IF(X4&lt;A26,0,IF((SUM(E26:W26)+((C26-D26)*B26))&gt;(C26-D26),C26-D26-SUM(E26:W26),(C26-D26)*B26))</f>
        <v>0</v>
      </c>
      <c r="Y26" s="417">
        <f>IF(Y4&lt;A26,0,IF((SUM(E26:X26)+((C26-D26)*B26))&gt;(C26-D26),C26-D26-SUM(E26:X26),(C26-D26)*B26))</f>
        <v>0</v>
      </c>
      <c r="Z26" s="417">
        <f>IF(Z4&lt;A26,0,IF((SUM(E26:Y26)+((C26-D26)*B26))&gt;(C26-D26),C26-D26-SUM(E26:Y26),(C26-D26)*B26))</f>
        <v>2932236.6107999999</v>
      </c>
      <c r="AA26" s="417">
        <f>IF(AA4&lt;A26,0,IF((SUM(E26:Z26)+((C26-D26)*B26))&gt;(C26-D26),C26-D26-SUM(E26:Z26),(C26-D26)*B26))</f>
        <v>2932236.6107999999</v>
      </c>
      <c r="AB26" s="417">
        <f>IF(AB4&lt;A26,0,IF((SUM(E26:AA26)+((C26-D26)*B26))&gt;(C26-D26),C26-D26-SUM(E26:AA26),(C26-D26)*B26))</f>
        <v>2932236.6107999999</v>
      </c>
      <c r="AC26" s="417">
        <f>IF(AC4&lt;A26,0,IF((SUM(E26:AB26)+((C26-D26)*B26))&gt;(C26-D26),C26-D26-SUM(E26:AB26),(C26-D26)*B26))</f>
        <v>2932236.6107999999</v>
      </c>
      <c r="AD26" s="417">
        <f>IF(AD4&lt;A26,0,IF((SUM(E26:AC26)+((C26-D26)*B26))&gt;(C26-D26),C26-D26-SUM(E26:AC26),(C26-D26)*B26))</f>
        <v>2932236.6107999999</v>
      </c>
      <c r="AE26" s="417">
        <f>IF(AE4&lt;A26,0,IF((SUM(E26:AD26)+((C26-D26)*B26))&gt;(C26-D26),C26-D26-SUM(E26:AD26),(C26-D26)*B26))</f>
        <v>0</v>
      </c>
      <c r="AF26" s="417">
        <f>IF(AF4&lt;A26,0,IF((SUM(E26:AE26)+((C26-D26)*B26))&gt;(C26-D26),C26-D26-SUM(E26:AE26),(C26-D26)*B26))</f>
        <v>0</v>
      </c>
      <c r="AG26" s="417">
        <f>IF(AG4&lt;A26,0,IF((SUM(E26:AF26)+((C26-D26)*B26))&gt;(C26-D26),C26-D26-SUM(E26:AF26),(C26-D26)*B26))</f>
        <v>0</v>
      </c>
      <c r="AH26" s="417">
        <f>IF(AH4&lt;A26,0,IF((SUM(E26:AG26)+((C26-D26)*B26))&gt;(C26-D26),C26-D26-SUM(E26:AG26),(C26-D26)*B26))</f>
        <v>0</v>
      </c>
    </row>
    <row r="27" spans="1:34" s="75" customFormat="1" ht="13.15" customHeight="1" outlineLevel="1" x14ac:dyDescent="0.2">
      <c r="A27" s="416">
        <v>23</v>
      </c>
      <c r="B27" s="374">
        <v>0.2</v>
      </c>
      <c r="C27" s="378">
        <f>SUMIF('14 - Investimentos'!B:B,'15 - Depreciação'!A2,'14 - Investimentos'!AA:AA)</f>
        <v>0</v>
      </c>
      <c r="D27" s="417">
        <f>C27*B2</f>
        <v>0</v>
      </c>
      <c r="E27" s="417">
        <f>IF(E4&lt;A27,0,(C27-D27)*B27)</f>
        <v>0</v>
      </c>
      <c r="F27" s="417">
        <f>IF(F4&lt;A27,0,IF((SUM(E27:E27)+((C27-D27)*B27))&gt;(C27-D27),C27-D27-SUM(E27:E27),(C27-D27)*B27))</f>
        <v>0</v>
      </c>
      <c r="G27" s="417">
        <f>IF(G4&lt;A27,0,IF((SUM(E27:F27)+((C27-D27)*B27))&gt;(C27-D27),C27-D27-SUM(E27:F27),(C27-D27)*B27))</f>
        <v>0</v>
      </c>
      <c r="H27" s="417">
        <f>IF(H4&lt;A27,0,IF((SUM(E27:G27)+((C27-D27)*B27))&gt;(C27-D27),C27-D27-SUM(E27:G27),(C27-D27)*B27))</f>
        <v>0</v>
      </c>
      <c r="I27" s="417">
        <f>IF(I4&lt;A27,0,IF((SUM(E27:H27)+((C27-D27)*B27))&gt;(C27-D27),C27-D27-SUM(E27:H27),(C27-D27)*B27))</f>
        <v>0</v>
      </c>
      <c r="J27" s="417">
        <f>IF(J4&lt;A27,0,IF((SUM(E27:I27)+((C27-D27)*B27))&gt;(C27-D27),C27-D27-SUM(E27:I27),(C27-D27)*B27))</f>
        <v>0</v>
      </c>
      <c r="K27" s="417">
        <f>IF(K4&lt;A27,0,IF((SUM(E27:J27)+((C27-D27)*B27))&gt;(C27-D27),C27-D27-SUM(E27:J27),(C27-D27)*B27))</f>
        <v>0</v>
      </c>
      <c r="L27" s="417">
        <f>IF(L4&lt;A27,0,IF((SUM(E27:K27)+((C27-D27)*B27))&gt;(C27-D27),C27-D27-SUM(E27:K27),(C27-D27)*B27))</f>
        <v>0</v>
      </c>
      <c r="M27" s="417">
        <f>IF(M4&lt;A27,0,IF((SUM(E27:L27)+((C27-D27)*B27))&gt;(C27-D27),C27-D27-SUM(E27:L27),(C27-D27)*B27))</f>
        <v>0</v>
      </c>
      <c r="N27" s="417">
        <f>IF(N4&lt;A27,0,IF((SUM(E27:M27)+((C27-D27)*B27))&gt;(C27-D27),C27-D27-SUM(E27:M27),(C27-D27)*B27))</f>
        <v>0</v>
      </c>
      <c r="O27" s="417">
        <f>IF(O4&lt;A27,0,IF((SUM(E27:N27)+((C27-D27)*B27))&gt;(C27-D27),C27-D27-SUM(E27:N27),(C27-D27)*B27))</f>
        <v>0</v>
      </c>
      <c r="P27" s="417">
        <f>IF(P4&lt;A27,0,IF((SUM(E27:O27)+((C27-D27)*B27))&gt;(C27-D27),C27-D27-SUM(E27:O27),(C27-D27)*B27))</f>
        <v>0</v>
      </c>
      <c r="Q27" s="417">
        <f>IF(Q4&lt;A27,0,IF((SUM(E27:P27)+((C27-D27)*B27))&gt;(C27-D27),C27-D27-SUM(E27:P27),(C27-D27)*B27))</f>
        <v>0</v>
      </c>
      <c r="R27" s="417">
        <f>IF(R4&lt;A27,0,IF((SUM(E27:Q27)+((C27-D27)*B27))&gt;(C27-D27),C27-D27-SUM(E27:Q27),(C27-D27)*B27))</f>
        <v>0</v>
      </c>
      <c r="S27" s="417">
        <f>IF(S4&lt;A27,0,IF((SUM(E27:R27)+((C27-D27)*B27))&gt;(C27-D27),C27-D27-SUM(E27:R27),(C27-D27)*B27))</f>
        <v>0</v>
      </c>
      <c r="T27" s="417">
        <f>IF(T4&lt;A27,0,IF((SUM(E27:S27)+((C27-D27)*B27))&gt;(C27-D27),C27-D27-SUM(E27:S27),(C27-D27)*B27))</f>
        <v>0</v>
      </c>
      <c r="U27" s="417">
        <f>IF(U4&lt;A27,0,IF((SUM(E27:T27)+((C27-D27)*B27))&gt;(C27-D27),C27-D27-SUM(E27:T27),(C27-D27)*B27))</f>
        <v>0</v>
      </c>
      <c r="V27" s="417">
        <f>IF(V4&lt;A27,0,IF((SUM(E27:U27)+((C27-D27)*B27))&gt;(C27-D27),C27-D27-SUM(E27:U27),(C27-D27)*B27))</f>
        <v>0</v>
      </c>
      <c r="W27" s="417">
        <f>IF(W4&lt;A27,0,IF((SUM(E27:V27)+((C27-D27)*B27))&gt;(C27-D27),C27-D27-SUM(E27:V27),(C27-D27)*B27))</f>
        <v>0</v>
      </c>
      <c r="X27" s="417">
        <f>IF(X4&lt;A27,0,IF((SUM(E27:W27)+((C27-D27)*B27))&gt;(C27-D27),C27-D27-SUM(E27:W27),(C27-D27)*B27))</f>
        <v>0</v>
      </c>
      <c r="Y27" s="417">
        <f>IF(Y4&lt;A27,0,IF((SUM(E27:X27)+((C27-D27)*B27))&gt;(C27-D27),C27-D27-SUM(E27:X27),(C27-D27)*B27))</f>
        <v>0</v>
      </c>
      <c r="Z27" s="417">
        <f>IF(Z4&lt;A27,0,IF((SUM(E27:Y27)+((C27-D27)*B27))&gt;(C27-D27),C27-D27-SUM(E27:Y27),(C27-D27)*B27))</f>
        <v>0</v>
      </c>
      <c r="AA27" s="417">
        <f>IF(AA4&lt;A27,0,IF((SUM(E27:Z27)+((C27-D27)*B27))&gt;(C27-D27),C27-D27-SUM(E27:Z27),(C27-D27)*B27))</f>
        <v>0</v>
      </c>
      <c r="AB27" s="417">
        <f>IF(AB4&lt;A27,0,IF((SUM(E27:AA27)+((C27-D27)*B27))&gt;(C27-D27),C27-D27-SUM(E27:AA27),(C27-D27)*B27))</f>
        <v>0</v>
      </c>
      <c r="AC27" s="417">
        <f>IF(AC4&lt;A27,0,IF((SUM(E27:AB27)+((C27-D27)*B27))&gt;(C27-D27),C27-D27-SUM(E27:AB27),(C27-D27)*B27))</f>
        <v>0</v>
      </c>
      <c r="AD27" s="417">
        <f>IF(AD4&lt;A27,0,IF((SUM(E27:AC27)+((C27-D27)*B27))&gt;(C27-D27),C27-D27-SUM(E27:AC27),(C27-D27)*B27))</f>
        <v>0</v>
      </c>
      <c r="AE27" s="417">
        <f>IF(AE4&lt;A27,0,IF((SUM(E27:AD27)+((C27-D27)*B27))&gt;(C27-D27),C27-D27-SUM(E27:AD27),(C27-D27)*B27))</f>
        <v>0</v>
      </c>
      <c r="AF27" s="417">
        <f>IF(AF4&lt;A27,0,IF((SUM(E27:AE27)+((C27-D27)*B27))&gt;(C27-D27),C27-D27-SUM(E27:AE27),(C27-D27)*B27))</f>
        <v>0</v>
      </c>
      <c r="AG27" s="417">
        <f>IF(AG4&lt;A27,0,IF((SUM(E27:AF27)+((C27-D27)*B27))&gt;(C27-D27),C27-D27-SUM(E27:AF27),(C27-D27)*B27))</f>
        <v>0</v>
      </c>
      <c r="AH27" s="417">
        <f>IF(AH4&lt;A27,0,IF((SUM(E27:AG27)+((C27-D27)*B27))&gt;(C27-D27),C27-D27-SUM(E27:AG27),(C27-D27)*B27))</f>
        <v>0</v>
      </c>
    </row>
    <row r="28" spans="1:34" s="75" customFormat="1" ht="13.15" customHeight="1" outlineLevel="1" x14ac:dyDescent="0.2">
      <c r="A28" s="416">
        <v>24</v>
      </c>
      <c r="B28" s="374">
        <v>0.2</v>
      </c>
      <c r="C28" s="378">
        <f>SUMIF('14 - Investimentos'!B:B,'15 - Depreciação'!A2,'14 - Investimentos'!AB:AB)</f>
        <v>0</v>
      </c>
      <c r="D28" s="417">
        <f>C28*B2</f>
        <v>0</v>
      </c>
      <c r="E28" s="417">
        <f>IF(E4&lt;A28,0,(C28-D28)*B28)</f>
        <v>0</v>
      </c>
      <c r="F28" s="417">
        <f>IF(F4&lt;A28,0,IF((SUM(E28:E28)+((C28-D28)*B28))&gt;(C28-D28),C28-D28-SUM(E28:E28),(C28-D28)*B28))</f>
        <v>0</v>
      </c>
      <c r="G28" s="417">
        <f>IF(G4&lt;A28,0,IF((SUM(E28:F28)+((C28-D28)*B28))&gt;(C28-D28),C28-D28-SUM(E28:F28),(C28-D28)*B28))</f>
        <v>0</v>
      </c>
      <c r="H28" s="417">
        <f>IF(H4&lt;A28,0,IF((SUM(E28:G28)+((C28-D28)*B28))&gt;(C28-D28),C28-D28-SUM(E28:G28),(C28-D28)*B28))</f>
        <v>0</v>
      </c>
      <c r="I28" s="417">
        <f>IF(I4&lt;A28,0,IF((SUM(E28:H28)+((C28-D28)*B28))&gt;(C28-D28),C28-D28-SUM(E28:H28),(C28-D28)*B28))</f>
        <v>0</v>
      </c>
      <c r="J28" s="417">
        <f>IF(J4&lt;A28,0,IF((SUM(E28:I28)+((C28-D28)*B28))&gt;(C28-D28),C28-D28-SUM(E28:I28),(C28-D28)*B28))</f>
        <v>0</v>
      </c>
      <c r="K28" s="417">
        <f>IF(K4&lt;A28,0,IF((SUM(E28:J28)+((C28-D28)*B28))&gt;(C28-D28),C28-D28-SUM(E28:J28),(C28-D28)*B28))</f>
        <v>0</v>
      </c>
      <c r="L28" s="417">
        <f>IF(L4&lt;A28,0,IF((SUM(E28:K28)+((C28-D28)*B28))&gt;(C28-D28),C28-D28-SUM(E28:K28),(C28-D28)*B28))</f>
        <v>0</v>
      </c>
      <c r="M28" s="417">
        <f>IF(M4&lt;A28,0,IF((SUM(E28:L28)+((C28-D28)*B28))&gt;(C28-D28),C28-D28-SUM(E28:L28),(C28-D28)*B28))</f>
        <v>0</v>
      </c>
      <c r="N28" s="417">
        <f>IF(N4&lt;A28,0,IF((SUM(E28:M28)+((C28-D28)*B28))&gt;(C28-D28),C28-D28-SUM(E28:M28),(C28-D28)*B28))</f>
        <v>0</v>
      </c>
      <c r="O28" s="417">
        <f>IF(O4&lt;A28,0,IF((SUM(E28:N28)+((C28-D28)*B28))&gt;(C28-D28),C28-D28-SUM(E28:N28),(C28-D28)*B28))</f>
        <v>0</v>
      </c>
      <c r="P28" s="417">
        <f>IF(P4&lt;A28,0,IF((SUM(E28:O28)+((C28-D28)*B28))&gt;(C28-D28),C28-D28-SUM(E28:O28),(C28-D28)*B28))</f>
        <v>0</v>
      </c>
      <c r="Q28" s="417">
        <f>IF(Q4&lt;A28,0,IF((SUM(E28:P28)+((C28-D28)*B28))&gt;(C28-D28),C28-D28-SUM(E28:P28),(C28-D28)*B28))</f>
        <v>0</v>
      </c>
      <c r="R28" s="417">
        <f>IF(R4&lt;A28,0,IF((SUM(E28:Q28)+((C28-D28)*B28))&gt;(C28-D28),C28-D28-SUM(E28:Q28),(C28-D28)*B28))</f>
        <v>0</v>
      </c>
      <c r="S28" s="417">
        <f>IF(S4&lt;A28,0,IF((SUM(E28:R28)+((C28-D28)*B28))&gt;(C28-D28),C28-D28-SUM(E28:R28),(C28-D28)*B28))</f>
        <v>0</v>
      </c>
      <c r="T28" s="417">
        <f>IF(T4&lt;A28,0,IF((SUM(E28:S28)+((C28-D28)*B28))&gt;(C28-D28),C28-D28-SUM(E28:S28),(C28-D28)*B28))</f>
        <v>0</v>
      </c>
      <c r="U28" s="417">
        <f>IF(U4&lt;A28,0,IF((SUM(E28:T28)+((C28-D28)*B28))&gt;(C28-D28),C28-D28-SUM(E28:T28),(C28-D28)*B28))</f>
        <v>0</v>
      </c>
      <c r="V28" s="417">
        <f>IF(V4&lt;A28,0,IF((SUM(E28:U28)+((C28-D28)*B28))&gt;(C28-D28),C28-D28-SUM(E28:U28),(C28-D28)*B28))</f>
        <v>0</v>
      </c>
      <c r="W28" s="417">
        <f>IF(W4&lt;A28,0,IF((SUM(E28:V28)+((C28-D28)*B28))&gt;(C28-D28),C28-D28-SUM(E28:V28),(C28-D28)*B28))</f>
        <v>0</v>
      </c>
      <c r="X28" s="417">
        <f>IF(X4&lt;A28,0,IF((SUM(E28:W28)+((C28-D28)*B28))&gt;(C28-D28),C28-D28-SUM(E28:W28),(C28-D28)*B28))</f>
        <v>0</v>
      </c>
      <c r="Y28" s="417">
        <f>IF(Y4&lt;A28,0,IF((SUM(E28:X28)+((C28-D28)*B28))&gt;(C28-D28),C28-D28-SUM(E28:X28),(C28-D28)*B28))</f>
        <v>0</v>
      </c>
      <c r="Z28" s="417">
        <f>IF(Z4&lt;A28,0,IF((SUM(E28:Y28)+((C28-D28)*B28))&gt;(C28-D28),C28-D28-SUM(E28:Y28),(C28-D28)*B28))</f>
        <v>0</v>
      </c>
      <c r="AA28" s="417">
        <f>IF(AA4&lt;A28,0,IF((SUM(E28:Z28)+((C28-D28)*B28))&gt;(C28-D28),C28-D28-SUM(E28:Z28),(C28-D28)*B28))</f>
        <v>0</v>
      </c>
      <c r="AB28" s="417">
        <f>IF(AB4&lt;A28,0,IF((SUM(E28:AA28)+((C28-D28)*B28))&gt;(C28-D28),C28-D28-SUM(E28:AA28),(C28-D28)*B28))</f>
        <v>0</v>
      </c>
      <c r="AC28" s="417">
        <f>IF(AC4&lt;A28,0,IF((SUM(E28:AB28)+((C28-D28)*B28))&gt;(C28-D28),C28-D28-SUM(E28:AB28),(C28-D28)*B28))</f>
        <v>0</v>
      </c>
      <c r="AD28" s="417">
        <f>IF(AD4&lt;A28,0,IF((SUM(E28:AC28)+((C28-D28)*B28))&gt;(C28-D28),C28-D28-SUM(E28:AC28),(C28-D28)*B28))</f>
        <v>0</v>
      </c>
      <c r="AE28" s="417">
        <f>IF(AE4&lt;A28,0,IF((SUM(E28:AD28)+((C28-D28)*B28))&gt;(C28-D28),C28-D28-SUM(E28:AD28),(C28-D28)*B28))</f>
        <v>0</v>
      </c>
      <c r="AF28" s="417">
        <f>IF(AF4&lt;A28,0,IF((SUM(E28:AE28)+((C28-D28)*B28))&gt;(C28-D28),C28-D28-SUM(E28:AE28),(C28-D28)*B28))</f>
        <v>0</v>
      </c>
      <c r="AG28" s="417">
        <f>IF(AG4&lt;A28,0,IF((SUM(E28:AF28)+((C28-D28)*B28))&gt;(C28-D28),C28-D28-SUM(E28:AF28),(C28-D28)*B28))</f>
        <v>0</v>
      </c>
      <c r="AH28" s="417">
        <f>IF(AH4&lt;A28,0,IF((SUM(E28:AG28)+((C28-D28)*B28))&gt;(C28-D28),C28-D28-SUM(E28:AG28),(C28-D28)*B28))</f>
        <v>0</v>
      </c>
    </row>
    <row r="29" spans="1:34" s="75" customFormat="1" ht="13.15" customHeight="1" outlineLevel="1" x14ac:dyDescent="0.2">
      <c r="A29" s="416">
        <v>25</v>
      </c>
      <c r="B29" s="374">
        <v>0.2</v>
      </c>
      <c r="C29" s="378">
        <f>SUMIF('14 - Investimentos'!B:B,'15 - Depreciação'!A2,'14 - Investimentos'!AC:AC)</f>
        <v>723346</v>
      </c>
      <c r="D29" s="417">
        <f>C29*B2</f>
        <v>217003.8</v>
      </c>
      <c r="E29" s="417">
        <f>IF(E4&lt;A29,0,(C29-D29)*B29)</f>
        <v>0</v>
      </c>
      <c r="F29" s="417">
        <f>IF(F4&lt;A29,0,IF((SUM(E29:E29)+((C29-D29)*B29))&gt;(C29-D29),C29-D29-SUM(E29:E29),(C29-D29)*B29))</f>
        <v>0</v>
      </c>
      <c r="G29" s="417">
        <f>IF(G4&lt;A29,0,IF((SUM(E29:F29)+((C29-D29)*B29))&gt;(C29-D29),C29-D29-SUM(E29:F29),(C29-D29)*B29))</f>
        <v>0</v>
      </c>
      <c r="H29" s="417">
        <f>IF(H4&lt;A29,0,IF((SUM(E29:G29)+((C29-D29)*B29))&gt;(C29-D29),C29-D29-SUM(E29:G29),(C29-D29)*B29))</f>
        <v>0</v>
      </c>
      <c r="I29" s="417">
        <f>IF(I4&lt;A29,0,IF((SUM(E29:H29)+((C29-D29)*B29))&gt;(C29-D29),C29-D29-SUM(E29:H29),(C29-D29)*B29))</f>
        <v>0</v>
      </c>
      <c r="J29" s="417">
        <f>IF(J4&lt;A29,0,IF((SUM(E29:I29)+((C29-D29)*B29))&gt;(C29-D29),C29-D29-SUM(E29:I29),(C29-D29)*B29))</f>
        <v>0</v>
      </c>
      <c r="K29" s="417">
        <f>IF(K4&lt;A29,0,IF((SUM(E29:J29)+((C29-D29)*B29))&gt;(C29-D29),C29-D29-SUM(E29:J29),(C29-D29)*B29))</f>
        <v>0</v>
      </c>
      <c r="L29" s="417">
        <f>IF(L4&lt;A29,0,IF((SUM(E29:K29)+((C29-D29)*B29))&gt;(C29-D29),C29-D29-SUM(E29:K29),(C29-D29)*B29))</f>
        <v>0</v>
      </c>
      <c r="M29" s="417">
        <f>IF(M4&lt;A29,0,IF((SUM(E29:L29)+((C29-D29)*B29))&gt;(C29-D29),C29-D29-SUM(E29:L29),(C29-D29)*B29))</f>
        <v>0</v>
      </c>
      <c r="N29" s="417">
        <f>IF(N4&lt;A29,0,IF((SUM(E29:M29)+((C29-D29)*B29))&gt;(C29-D29),C29-D29-SUM(E29:M29),(C29-D29)*B29))</f>
        <v>0</v>
      </c>
      <c r="O29" s="417">
        <f>IF(O4&lt;A29,0,IF((SUM(E29:N29)+((C29-D29)*B29))&gt;(C29-D29),C29-D29-SUM(E29:N29),(C29-D29)*B29))</f>
        <v>0</v>
      </c>
      <c r="P29" s="417">
        <f>IF(P4&lt;A29,0,IF((SUM(E29:O29)+((C29-D29)*B29))&gt;(C29-D29),C29-D29-SUM(E29:O29),(C29-D29)*B29))</f>
        <v>0</v>
      </c>
      <c r="Q29" s="417">
        <f>IF(Q4&lt;A29,0,IF((SUM(E29:P29)+((C29-D29)*B29))&gt;(C29-D29),C29-D29-SUM(E29:P29),(C29-D29)*B29))</f>
        <v>0</v>
      </c>
      <c r="R29" s="417">
        <f>IF(R4&lt;A29,0,IF((SUM(E29:Q29)+((C29-D29)*B29))&gt;(C29-D29),C29-D29-SUM(E29:Q29),(C29-D29)*B29))</f>
        <v>0</v>
      </c>
      <c r="S29" s="417">
        <f>IF(S4&lt;A29,0,IF((SUM(E29:R29)+((C29-D29)*B29))&gt;(C29-D29),C29-D29-SUM(E29:R29),(C29-D29)*B29))</f>
        <v>0</v>
      </c>
      <c r="T29" s="417">
        <f>IF(T4&lt;A29,0,IF((SUM(E29:S29)+((C29-D29)*B29))&gt;(C29-D29),C29-D29-SUM(E29:S29),(C29-D29)*B29))</f>
        <v>0</v>
      </c>
      <c r="U29" s="417">
        <f>IF(U4&lt;A29,0,IF((SUM(E29:T29)+((C29-D29)*B29))&gt;(C29-D29),C29-D29-SUM(E29:T29),(C29-D29)*B29))</f>
        <v>0</v>
      </c>
      <c r="V29" s="417">
        <f>IF(V4&lt;A29,0,IF((SUM(E29:U29)+((C29-D29)*B29))&gt;(C29-D29),C29-D29-SUM(E29:U29),(C29-D29)*B29))</f>
        <v>0</v>
      </c>
      <c r="W29" s="417">
        <f>IF(W4&lt;A29,0,IF((SUM(E29:V29)+((C29-D29)*B29))&gt;(C29-D29),C29-D29-SUM(E29:V29),(C29-D29)*B29))</f>
        <v>0</v>
      </c>
      <c r="X29" s="417">
        <f>IF(X4&lt;A29,0,IF((SUM(E29:W29)+((C29-D29)*B29))&gt;(C29-D29),C29-D29-SUM(E29:W29),(C29-D29)*B29))</f>
        <v>0</v>
      </c>
      <c r="Y29" s="417">
        <f>IF(Y4&lt;A29,0,IF((SUM(E29:X29)+((C29-D29)*B29))&gt;(C29-D29),C29-D29-SUM(E29:X29),(C29-D29)*B29))</f>
        <v>0</v>
      </c>
      <c r="Z29" s="417">
        <f>IF(Z4&lt;A29,0,IF((SUM(E29:Y29)+((C29-D29)*B29))&gt;(C29-D29),C29-D29-SUM(E29:Y29),(C29-D29)*B29))</f>
        <v>0</v>
      </c>
      <c r="AA29" s="417">
        <f>IF(AA4&lt;A29,0,IF((SUM(E29:Z29)+((C29-D29)*B29))&gt;(C29-D29),C29-D29-SUM(E29:Z29),(C29-D29)*B29))</f>
        <v>0</v>
      </c>
      <c r="AB29" s="417">
        <f>IF(AB4&lt;A29,0,IF((SUM(E29:AA29)+((C29-D29)*B29))&gt;(C29-D29),C29-D29-SUM(E29:AA29),(C29-D29)*B29))</f>
        <v>0</v>
      </c>
      <c r="AC29" s="417">
        <f>IF(AC4&lt;A29,0,IF((SUM(E29:AB29)+((C29-D29)*B29))&gt;(C29-D29),C29-D29-SUM(E29:AB29),(C29-D29)*B29))</f>
        <v>101268.44</v>
      </c>
      <c r="AD29" s="417">
        <f>IF(AD4&lt;A29,0,IF((SUM(E29:AC29)+((C29-D29)*B29))&gt;(C29-D29),C29-D29-SUM(E29:AC29),(C29-D29)*B29))</f>
        <v>101268.44</v>
      </c>
      <c r="AE29" s="417">
        <f>IF(AE4&lt;A29,0,IF((SUM(E29:AD29)+((C29-D29)*B29))&gt;(C29-D29),C29-D29-SUM(E29:AD29),(C29-D29)*B29))</f>
        <v>101268.44</v>
      </c>
      <c r="AF29" s="417">
        <f>IF(AF4&lt;A29,0,IF((SUM(E29:AE29)+((C29-D29)*B29))&gt;(C29-D29),C29-D29-SUM(E29:AE29),(C29-D29)*B29))</f>
        <v>101268.44</v>
      </c>
      <c r="AG29" s="417">
        <f>IF(AG4&lt;A29,0,IF((SUM(E29:AF29)+((C29-D29)*B29))&gt;(C29-D29),C29-D29-SUM(E29:AF29),(C29-D29)*B29))</f>
        <v>101268.44</v>
      </c>
      <c r="AH29" s="417">
        <f>IF(AH4&lt;A29,0,IF((SUM(E29:AG29)+((C29-D29)*B29))&gt;(C29-D29),C29-D29-SUM(E29:AG29),(C29-D29)*B29))</f>
        <v>0</v>
      </c>
    </row>
    <row r="30" spans="1:34" s="75" customFormat="1" ht="13.15" customHeight="1" outlineLevel="1" x14ac:dyDescent="0.2">
      <c r="A30" s="416">
        <v>26</v>
      </c>
      <c r="B30" s="374">
        <v>0.2</v>
      </c>
      <c r="C30" s="378">
        <f>SUMIF('14 - Investimentos'!B:B,'15 - Depreciação'!A2,'14 - Investimentos'!AD:AD)</f>
        <v>17119</v>
      </c>
      <c r="D30" s="417">
        <f>C30*B2</f>
        <v>5135.7</v>
      </c>
      <c r="E30" s="417">
        <f>IF(E4&lt;A30,0,(C30-D30)*B30)</f>
        <v>0</v>
      </c>
      <c r="F30" s="417">
        <f>IF(F4&lt;A30,0,IF((SUM(E30:E30)+((C30-D30)*B30))&gt;(C30-D30),C30-D30-SUM(E30:E30),(C30-D30)*B30))</f>
        <v>0</v>
      </c>
      <c r="G30" s="417">
        <f>IF(G4&lt;A30,0,IF((SUM(E30:F30)+((C30-D30)*B30))&gt;(C30-D30),C30-D30-SUM(E30:F30),(C30-D30)*B30))</f>
        <v>0</v>
      </c>
      <c r="H30" s="417">
        <f>IF(H4&lt;A30,0,IF((SUM(E30:G30)+((C30-D30)*B30))&gt;(C30-D30),C30-D30-SUM(E30:G30),(C30-D30)*B30))</f>
        <v>0</v>
      </c>
      <c r="I30" s="417">
        <f>IF(I4&lt;A30,0,IF((SUM(E30:H30)+((C30-D30)*B30))&gt;(C30-D30),C30-D30-SUM(E30:H30),(C30-D30)*B30))</f>
        <v>0</v>
      </c>
      <c r="J30" s="417">
        <f>IF(J4&lt;A30,0,IF((SUM(E30:I30)+((C30-D30)*B30))&gt;(C30-D30),C30-D30-SUM(E30:I30),(C30-D30)*B30))</f>
        <v>0</v>
      </c>
      <c r="K30" s="417">
        <f>IF(K4&lt;A30,0,IF((SUM(E30:J30)+((C30-D30)*B30))&gt;(C30-D30),C30-D30-SUM(E30:J30),(C30-D30)*B30))</f>
        <v>0</v>
      </c>
      <c r="L30" s="417">
        <f>IF(L4&lt;A30,0,IF((SUM(E30:K30)+((C30-D30)*B30))&gt;(C30-D30),C30-D30-SUM(E30:K30),(C30-D30)*B30))</f>
        <v>0</v>
      </c>
      <c r="M30" s="417">
        <f>IF(M4&lt;A30,0,IF((SUM(E30:L30)+((C30-D30)*B30))&gt;(C30-D30),C30-D30-SUM(E30:L30),(C30-D30)*B30))</f>
        <v>0</v>
      </c>
      <c r="N30" s="417">
        <f>IF(N4&lt;A30,0,IF((SUM(E30:M30)+((C30-D30)*B30))&gt;(C30-D30),C30-D30-SUM(E30:M30),(C30-D30)*B30))</f>
        <v>0</v>
      </c>
      <c r="O30" s="417">
        <f>IF(O4&lt;A30,0,IF((SUM(E30:N30)+((C30-D30)*B30))&gt;(C30-D30),C30-D30-SUM(E30:N30),(C30-D30)*B30))</f>
        <v>0</v>
      </c>
      <c r="P30" s="417">
        <f>IF(P4&lt;A30,0,IF((SUM(E30:O30)+((C30-D30)*B30))&gt;(C30-D30),C30-D30-SUM(E30:O30),(C30-D30)*B30))</f>
        <v>0</v>
      </c>
      <c r="Q30" s="417">
        <f>IF(Q4&lt;A30,0,IF((SUM(E30:P30)+((C30-D30)*B30))&gt;(C30-D30),C30-D30-SUM(E30:P30),(C30-D30)*B30))</f>
        <v>0</v>
      </c>
      <c r="R30" s="417">
        <f>IF(R4&lt;A30,0,IF((SUM(E30:Q30)+((C30-D30)*B30))&gt;(C30-D30),C30-D30-SUM(E30:Q30),(C30-D30)*B30))</f>
        <v>0</v>
      </c>
      <c r="S30" s="417">
        <f>IF(S4&lt;A30,0,IF((SUM(E30:R30)+((C30-D30)*B30))&gt;(C30-D30),C30-D30-SUM(E30:R30),(C30-D30)*B30))</f>
        <v>0</v>
      </c>
      <c r="T30" s="417">
        <f>IF(T4&lt;A30,0,IF((SUM(E30:S30)+((C30-D30)*B30))&gt;(C30-D30),C30-D30-SUM(E30:S30),(C30-D30)*B30))</f>
        <v>0</v>
      </c>
      <c r="U30" s="417">
        <f>IF(U4&lt;A30,0,IF((SUM(E30:T30)+((C30-D30)*B30))&gt;(C30-D30),C30-D30-SUM(E30:T30),(C30-D30)*B30))</f>
        <v>0</v>
      </c>
      <c r="V30" s="417">
        <f>IF(V4&lt;A30,0,IF((SUM(E30:U30)+((C30-D30)*B30))&gt;(C30-D30),C30-D30-SUM(E30:U30),(C30-D30)*B30))</f>
        <v>0</v>
      </c>
      <c r="W30" s="417">
        <f>IF(W4&lt;A30,0,IF((SUM(E30:V30)+((C30-D30)*B30))&gt;(C30-D30),C30-D30-SUM(E30:V30),(C30-D30)*B30))</f>
        <v>0</v>
      </c>
      <c r="X30" s="417">
        <f>IF(X4&lt;A30,0,IF((SUM(E30:W30)+((C30-D30)*B30))&gt;(C30-D30),C30-D30-SUM(E30:W30),(C30-D30)*B30))</f>
        <v>0</v>
      </c>
      <c r="Y30" s="417">
        <f>IF(Y4&lt;A30,0,IF((SUM(E30:X30)+((C30-D30)*B30))&gt;(C30-D30),C30-D30-SUM(E30:X30),(C30-D30)*B30))</f>
        <v>0</v>
      </c>
      <c r="Z30" s="417">
        <f>IF(Z4&lt;A30,0,IF((SUM(E30:Y30)+((C30-D30)*B30))&gt;(C30-D30),C30-D30-SUM(E30:Y30),(C30-D30)*B30))</f>
        <v>0</v>
      </c>
      <c r="AA30" s="417">
        <f>IF(AA4&lt;A30,0,IF((SUM(E30:Z30)+((C30-D30)*B30))&gt;(C30-D30),C30-D30-SUM(E30:Z30),(C30-D30)*B30))</f>
        <v>0</v>
      </c>
      <c r="AB30" s="417">
        <f>IF(AB4&lt;A30,0,IF((SUM(E30:AA30)+((C30-D30)*B30))&gt;(C30-D30),C30-D30-SUM(E30:AA30),(C30-D30)*B30))</f>
        <v>0</v>
      </c>
      <c r="AC30" s="417">
        <f>IF(AC4&lt;A30,0,IF((SUM(E30:AB30)+((C30-D30)*B30))&gt;(C30-D30),C30-D30-SUM(E30:AB30),(C30-D30)*B30))</f>
        <v>0</v>
      </c>
      <c r="AD30" s="417">
        <f>IF(AD4&lt;A30,0,IF((SUM(E30:AC30)+((C30-D30)*B30))&gt;(C30-D30),C30-D30-SUM(E30:AC30),(C30-D30)*B30))</f>
        <v>2396.66</v>
      </c>
      <c r="AE30" s="417">
        <f>IF(AE4&lt;A30,0,IF((SUM(E30:AD30)+((C30-D30)*B30))&gt;(C30-D30),C30-D30-SUM(E30:AD30),(C30-D30)*B30))</f>
        <v>2396.66</v>
      </c>
      <c r="AF30" s="417">
        <f>IF(AF4&lt;A30,0,IF((SUM(E30:AE30)+((C30-D30)*B30))&gt;(C30-D30),C30-D30-SUM(E30:AE30),(C30-D30)*B30))</f>
        <v>2396.66</v>
      </c>
      <c r="AG30" s="417">
        <f>IF(AG4&lt;A30,0,IF((SUM(E30:AF30)+((C30-D30)*B30))&gt;(C30-D30),C30-D30-SUM(E30:AF30),(C30-D30)*B30))</f>
        <v>2396.66</v>
      </c>
      <c r="AH30" s="417">
        <f>IF(AH4&lt;A30,0,IF((SUM(E30:AG30)+((C30-D30)*B30))&gt;(C30-D30),C30-D30-SUM(E30:AG30),(C30-D30)*B30))</f>
        <v>2396.66</v>
      </c>
    </row>
    <row r="31" spans="1:34" s="75" customFormat="1" ht="13.15" customHeight="1" outlineLevel="1" x14ac:dyDescent="0.2">
      <c r="A31" s="416">
        <v>27</v>
      </c>
      <c r="B31" s="374">
        <v>0.2</v>
      </c>
      <c r="C31" s="378">
        <f>SUMIF('14 - Investimentos'!B:B,'15 - Depreciação'!A2,'14 - Investimentos'!AE:AE)</f>
        <v>812500</v>
      </c>
      <c r="D31" s="417">
        <f>C31*B2</f>
        <v>243750</v>
      </c>
      <c r="E31" s="417">
        <f>IF(E4&lt;A31,0,(C31-D31)*B31)</f>
        <v>0</v>
      </c>
      <c r="F31" s="417">
        <f>IF(F4&lt;A31,0,IF((SUM(E31:E31)+((C31-D31)*B31))&gt;(C31-D31),C31-D31-SUM(E31:E31),(C31-D31)*B31))</f>
        <v>0</v>
      </c>
      <c r="G31" s="417">
        <f>IF(G4&lt;A31,0,IF((SUM(E31:F31)+((C31-D31)*B31))&gt;(C31-D31),C31-D31-SUM(E31:F31),(C31-D31)*B31))</f>
        <v>0</v>
      </c>
      <c r="H31" s="417">
        <f>IF(H4&lt;A31,0,IF((SUM(E31:G31)+((C31-D31)*B31))&gt;(C31-D31),C31-D31-SUM(E31:G31),(C31-D31)*B31))</f>
        <v>0</v>
      </c>
      <c r="I31" s="417">
        <f>IF(I4&lt;A31,0,IF((SUM(E31:H31)+((C31-D31)*B31))&gt;(C31-D31),C31-D31-SUM(E31:H31),(C31-D31)*B31))</f>
        <v>0</v>
      </c>
      <c r="J31" s="417">
        <f>IF(J4&lt;A31,0,IF((SUM(E31:I31)+((C31-D31)*B31))&gt;(C31-D31),C31-D31-SUM(E31:I31),(C31-D31)*B31))</f>
        <v>0</v>
      </c>
      <c r="K31" s="417">
        <f>IF(K4&lt;A31,0,IF((SUM(E31:J31)+((C31-D31)*B31))&gt;(C31-D31),C31-D31-SUM(E31:J31),(C31-D31)*B31))</f>
        <v>0</v>
      </c>
      <c r="L31" s="417">
        <f>IF(L4&lt;A31,0,IF((SUM(E31:K31)+((C31-D31)*B31))&gt;(C31-D31),C31-D31-SUM(E31:K31),(C31-D31)*B31))</f>
        <v>0</v>
      </c>
      <c r="M31" s="417">
        <f>IF(M4&lt;A31,0,IF((SUM(E31:L31)+((C31-D31)*B31))&gt;(C31-D31),C31-D31-SUM(E31:L31),(C31-D31)*B31))</f>
        <v>0</v>
      </c>
      <c r="N31" s="417">
        <f>IF(N4&lt;A31,0,IF((SUM(E31:M31)+((C31-D31)*B31))&gt;(C31-D31),C31-D31-SUM(E31:M31),(C31-D31)*B31))</f>
        <v>0</v>
      </c>
      <c r="O31" s="417">
        <f>IF(O4&lt;A31,0,IF((SUM(E31:N31)+((C31-D31)*B31))&gt;(C31-D31),C31-D31-SUM(E31:N31),(C31-D31)*B31))</f>
        <v>0</v>
      </c>
      <c r="P31" s="417">
        <f>IF(P4&lt;A31,0,IF((SUM(E31:O31)+((C31-D31)*B31))&gt;(C31-D31),C31-D31-SUM(E31:O31),(C31-D31)*B31))</f>
        <v>0</v>
      </c>
      <c r="Q31" s="417">
        <f>IF(Q4&lt;A31,0,IF((SUM(E31:P31)+((C31-D31)*B31))&gt;(C31-D31),C31-D31-SUM(E31:P31),(C31-D31)*B31))</f>
        <v>0</v>
      </c>
      <c r="R31" s="417">
        <f>IF(R4&lt;A31,0,IF((SUM(E31:Q31)+((C31-D31)*B31))&gt;(C31-D31),C31-D31-SUM(E31:Q31),(C31-D31)*B31))</f>
        <v>0</v>
      </c>
      <c r="S31" s="417">
        <f>IF(S4&lt;A31,0,IF((SUM(E31:R31)+((C31-D31)*B31))&gt;(C31-D31),C31-D31-SUM(E31:R31),(C31-D31)*B31))</f>
        <v>0</v>
      </c>
      <c r="T31" s="417">
        <f>IF(T4&lt;A31,0,IF((SUM(E31:S31)+((C31-D31)*B31))&gt;(C31-D31),C31-D31-SUM(E31:S31),(C31-D31)*B31))</f>
        <v>0</v>
      </c>
      <c r="U31" s="417">
        <f>IF(U4&lt;A31,0,IF((SUM(E31:T31)+((C31-D31)*B31))&gt;(C31-D31),C31-D31-SUM(E31:T31),(C31-D31)*B31))</f>
        <v>0</v>
      </c>
      <c r="V31" s="417">
        <f>IF(V4&lt;A31,0,IF((SUM(E31:U31)+((C31-D31)*B31))&gt;(C31-D31),C31-D31-SUM(E31:U31),(C31-D31)*B31))</f>
        <v>0</v>
      </c>
      <c r="W31" s="417">
        <f>IF(W4&lt;A31,0,IF((SUM(E31:V31)+((C31-D31)*B31))&gt;(C31-D31),C31-D31-SUM(E31:V31),(C31-D31)*B31))</f>
        <v>0</v>
      </c>
      <c r="X31" s="417">
        <f>IF(X4&lt;A31,0,IF((SUM(E31:W31)+((C31-D31)*B31))&gt;(C31-D31),C31-D31-SUM(E31:W31),(C31-D31)*B31))</f>
        <v>0</v>
      </c>
      <c r="Y31" s="417">
        <f>IF(Y4&lt;A31,0,IF((SUM(E31:X31)+((C31-D31)*B31))&gt;(C31-D31),C31-D31-SUM(E31:X31),(C31-D31)*B31))</f>
        <v>0</v>
      </c>
      <c r="Z31" s="417">
        <f>IF(Z4&lt;A31,0,IF((SUM(E31:Y31)+((C31-D31)*B31))&gt;(C31-D31),C31-D31-SUM(E31:Y31),(C31-D31)*B31))</f>
        <v>0</v>
      </c>
      <c r="AA31" s="417">
        <f>IF(AA4&lt;A31,0,IF((SUM(E31:Z31)+((C31-D31)*B31))&gt;(C31-D31),C31-D31-SUM(E31:Z31),(C31-D31)*B31))</f>
        <v>0</v>
      </c>
      <c r="AB31" s="417">
        <f>IF(AB4&lt;A31,0,IF((SUM(E31:AA31)+((C31-D31)*B31))&gt;(C31-D31),C31-D31-SUM(E31:AA31),(C31-D31)*B31))</f>
        <v>0</v>
      </c>
      <c r="AC31" s="417">
        <f>IF(AC4&lt;A31,0,IF((SUM(E31:AB31)+((C31-D31)*B31))&gt;(C31-D31),C31-D31-SUM(E31:AB31),(C31-D31)*B31))</f>
        <v>0</v>
      </c>
      <c r="AD31" s="417">
        <f>IF(AD4&lt;A31,0,IF((SUM(E31:AC31)+((C31-D31)*B31))&gt;(C31-D31),C31-D31-SUM(E31:AC31),(C31-D31)*B31))</f>
        <v>0</v>
      </c>
      <c r="AE31" s="417">
        <f>IF(AE4&lt;A31,0,IF((SUM(E31:AD31)+((C31-D31)*B31))&gt;(C31-D31),C31-D31-SUM(E31:AD31),(C31-D31)*B31))</f>
        <v>113750</v>
      </c>
      <c r="AF31" s="417">
        <f>IF(AF4&lt;A31,0,IF((SUM(E31:AE31)+((C31-D31)*B31))&gt;(C31-D31),C31-D31-SUM(E31:AE31),(C31-D31)*B31))</f>
        <v>113750</v>
      </c>
      <c r="AG31" s="417">
        <f>IF(AG4&lt;A31,0,IF((SUM(E31:AF31)+((C31-D31)*B31))&gt;(C31-D31),C31-D31-SUM(E31:AF31),(C31-D31)*B31))</f>
        <v>113750</v>
      </c>
      <c r="AH31" s="417">
        <f>IF(AH4&lt;A31,0,IF((SUM(E31:AG31)+((C31-D31)*B31))&gt;(C31-D31),C31-D31-SUM(E31:AG31),(C31-D31)*B31))</f>
        <v>113750</v>
      </c>
    </row>
    <row r="32" spans="1:34" s="75" customFormat="1" ht="13.15" customHeight="1" outlineLevel="1" x14ac:dyDescent="0.2">
      <c r="A32" s="416">
        <v>28</v>
      </c>
      <c r="B32" s="374">
        <v>0.2</v>
      </c>
      <c r="C32" s="378">
        <f>SUMIF('14 - Investimentos'!B:B,'15 - Depreciação'!A2,'14 - Investimentos'!AE:AE)</f>
        <v>812500</v>
      </c>
      <c r="D32" s="417">
        <f>C32*B2</f>
        <v>243750</v>
      </c>
      <c r="E32" s="417">
        <f>IF(E4&lt;A32,0,(C32-D32)*B32)</f>
        <v>0</v>
      </c>
      <c r="F32" s="417">
        <f>IF(F4&lt;A32,0,IF((SUM(E32:E32)+((C32-D32)*B32))&gt;(C32-D32),C32-D32-SUM(E32:E32),(C32-D32)*B32))</f>
        <v>0</v>
      </c>
      <c r="G32" s="417">
        <f>IF(G4&lt;A32,0,IF((SUM(E32:F32)+((C32-D32)*B32))&gt;(C32-D32),C32-D32-SUM(E32:F32),(C32-D32)*B32))</f>
        <v>0</v>
      </c>
      <c r="H32" s="417">
        <f>IF(H4&lt;A32,0,IF((SUM(E32:G32)+((C32-D32)*B32))&gt;(C32-D32),C32-D32-SUM(E32:G32),(C32-D32)*B32))</f>
        <v>0</v>
      </c>
      <c r="I32" s="417">
        <f>IF(I4&lt;A32,0,IF((SUM(E32:H32)+((C32-D32)*B32))&gt;(C32-D32),C32-D32-SUM(E32:H32),(C32-D32)*B32))</f>
        <v>0</v>
      </c>
      <c r="J32" s="417">
        <f>IF(J4&lt;A32,0,IF((SUM(E32:I32)+((C32-D32)*B32))&gt;(C32-D32),C32-D32-SUM(E32:I32),(C32-D32)*B32))</f>
        <v>0</v>
      </c>
      <c r="K32" s="417">
        <f>IF(K4&lt;A32,0,IF((SUM(E32:J32)+((C32-D32)*B32))&gt;(C32-D32),C32-D32-SUM(E32:J32),(C32-D32)*B32))</f>
        <v>0</v>
      </c>
      <c r="L32" s="417">
        <f>IF(L4&lt;A32,0,IF((SUM(E32:K32)+((C32-D32)*B32))&gt;(C32-D32),C32-D32-SUM(E32:K32),(C32-D32)*B32))</f>
        <v>0</v>
      </c>
      <c r="M32" s="417">
        <f>IF(M4&lt;A32,0,IF((SUM(E32:L32)+((C32-D32)*B32))&gt;(C32-D32),C32-D32-SUM(E32:L32),(C32-D32)*B32))</f>
        <v>0</v>
      </c>
      <c r="N32" s="417">
        <f>IF(N4&lt;A32,0,IF((SUM(E32:M32)+((C32-D32)*B32))&gt;(C32-D32),C32-D32-SUM(E32:M32),(C32-D32)*B32))</f>
        <v>0</v>
      </c>
      <c r="O32" s="417">
        <f>IF(O4&lt;A32,0,IF((SUM(E32:N32)+((C32-D32)*B32))&gt;(C32-D32),C32-D32-SUM(E32:N32),(C32-D32)*B32))</f>
        <v>0</v>
      </c>
      <c r="P32" s="417">
        <f>IF(P4&lt;A32,0,IF((SUM(E32:O32)+((C32-D32)*B32))&gt;(C32-D32),C32-D32-SUM(E32:O32),(C32-D32)*B32))</f>
        <v>0</v>
      </c>
      <c r="Q32" s="417">
        <f>IF(Q4&lt;A32,0,IF((SUM(E32:P32)+((C32-D32)*B32))&gt;(C32-D32),C32-D32-SUM(E32:P32),(C32-D32)*B32))</f>
        <v>0</v>
      </c>
      <c r="R32" s="417">
        <f>IF(R4&lt;A32,0,IF((SUM(E32:Q32)+((C32-D32)*B32))&gt;(C32-D32),C32-D32-SUM(E32:Q32),(C32-D32)*B32))</f>
        <v>0</v>
      </c>
      <c r="S32" s="417">
        <f>IF(S4&lt;A32,0,IF((SUM(E32:R32)+((C32-D32)*B32))&gt;(C32-D32),C32-D32-SUM(E32:R32),(C32-D32)*B32))</f>
        <v>0</v>
      </c>
      <c r="T32" s="417">
        <f>IF(T4&lt;A32,0,IF((SUM(E32:S32)+((C32-D32)*B32))&gt;(C32-D32),C32-D32-SUM(E32:S32),(C32-D32)*B32))</f>
        <v>0</v>
      </c>
      <c r="U32" s="417">
        <f>IF(U4&lt;A32,0,IF((SUM(E32:T32)+((C32-D32)*B32))&gt;(C32-D32),C32-D32-SUM(E32:T32),(C32-D32)*B32))</f>
        <v>0</v>
      </c>
      <c r="V32" s="417">
        <f>IF(V4&lt;A32,0,IF((SUM(E32:U32)+((C32-D32)*B32))&gt;(C32-D32),C32-D32-SUM(E32:U32),(C32-D32)*B32))</f>
        <v>0</v>
      </c>
      <c r="W32" s="417">
        <f>IF(W4&lt;A32,0,IF((SUM(E32:V32)+((C32-D32)*B32))&gt;(C32-D32),C32-D32-SUM(E32:V32),(C32-D32)*B32))</f>
        <v>0</v>
      </c>
      <c r="X32" s="417">
        <f>IF(X4&lt;A32,0,IF((SUM(E32:W32)+((C32-D32)*B32))&gt;(C32-D32),C32-D32-SUM(E32:W32),(C32-D32)*B32))</f>
        <v>0</v>
      </c>
      <c r="Y32" s="417">
        <f>IF(Y4&lt;A32,0,IF((SUM(E32:X32)+((C32-D32)*B32))&gt;(C32-D32),C32-D32-SUM(E32:X32),(C32-D32)*B32))</f>
        <v>0</v>
      </c>
      <c r="Z32" s="417">
        <f>IF(Z4&lt;A32,0,IF((SUM(E32:Y32)+((C32-D32)*B32))&gt;(C32-D32),C32-D32-SUM(E32:Y32),(C32-D32)*B32))</f>
        <v>0</v>
      </c>
      <c r="AA32" s="417">
        <f>IF(AA4&lt;A32,0,IF((SUM(E32:Z32)+((C32-D32)*B32))&gt;(C32-D32),C32-D32-SUM(E32:Z32),(C32-D32)*B32))</f>
        <v>0</v>
      </c>
      <c r="AB32" s="417">
        <f>IF(AB4&lt;A32,0,IF((SUM(E32:AA32)+((C32-D32)*B32))&gt;(C32-D32),C32-D32-SUM(E32:AA32),(C32-D32)*B32))</f>
        <v>0</v>
      </c>
      <c r="AC32" s="417">
        <f>IF(AC4&lt;A32,0,IF((SUM(E32:AB32)+((C32-D32)*B32))&gt;(C32-D32),C32-D32-SUM(E32:AB32),(C32-D32)*B32))</f>
        <v>0</v>
      </c>
      <c r="AD32" s="417">
        <f>IF(AD4&lt;A32,0,IF((SUM(E32:AC32)+((C32-D32)*B32))&gt;(C32-D32),C32-D32-SUM(E32:AC32),(C32-D32)*B32))</f>
        <v>0</v>
      </c>
      <c r="AE32" s="417">
        <f>IF(AE4&lt;A32,0,IF((SUM(E32:AD32)+((C32-D32)*B32))&gt;(C32-D32),C32-D32-SUM(E32:AD32),(C32-D32)*B32))</f>
        <v>0</v>
      </c>
      <c r="AF32" s="417">
        <f>IF(AF4&lt;A32,0,IF((SUM(E32:AE32)+((C32-D32)*B32))&gt;(C32-D32),C32-D32-SUM(E32:AE32),(C32-D32)*B32))</f>
        <v>113750</v>
      </c>
      <c r="AG32" s="417">
        <f>IF(AG4&lt;A32,0,IF((SUM(E32:AF32)+((C32-D32)*B32))&gt;(C32-D32),C32-D32-SUM(E32:AF32),(C32-D32)*B32))</f>
        <v>113750</v>
      </c>
      <c r="AH32" s="417">
        <f>IF(AH4&lt;A32,0,IF((SUM(E32:AG32)+((C32-D32)*B32))&gt;(C32-D32),C32-D32-SUM(E32:AG32),(C32-D32)*B32))</f>
        <v>113750</v>
      </c>
    </row>
    <row r="33" spans="1:34" s="75" customFormat="1" ht="13.15" customHeight="1" outlineLevel="1" x14ac:dyDescent="0.2">
      <c r="A33" s="416">
        <v>29</v>
      </c>
      <c r="B33" s="374">
        <v>0.2</v>
      </c>
      <c r="C33" s="378">
        <f>SUMIF('14 - Investimentos'!B:B,'15 - Depreciação'!A2,'14 - Investimentos'!AF:AF)</f>
        <v>0</v>
      </c>
      <c r="D33" s="417">
        <f>C33*B2</f>
        <v>0</v>
      </c>
      <c r="E33" s="417">
        <f>IF(E4&lt;A33,0,(C33-D33)*B33)</f>
        <v>0</v>
      </c>
      <c r="F33" s="417">
        <f>IF(F4&lt;A33,0,IF((SUM(E33:E33)+((C33-D33)*B33))&gt;(C33-D33),C33-D33-SUM(E33:E33),(C33-D33)*B33))</f>
        <v>0</v>
      </c>
      <c r="G33" s="417">
        <f>IF(G4&lt;A33,0,IF((SUM(E33:F33)+((C33-D33)*B33))&gt;(C33-D33),C33-D33-SUM(E33:F33),(C33-D33)*B33))</f>
        <v>0</v>
      </c>
      <c r="H33" s="417">
        <f>IF(H4&lt;A33,0,IF((SUM(E33:G33)+((C33-D33)*B33))&gt;(C33-D33),C33-D33-SUM(E33:G33),(C33-D33)*B33))</f>
        <v>0</v>
      </c>
      <c r="I33" s="417">
        <f>IF(I4&lt;A33,0,IF((SUM(E33:H33)+((C33-D33)*B33))&gt;(C33-D33),C33-D33-SUM(E33:H33),(C33-D33)*B33))</f>
        <v>0</v>
      </c>
      <c r="J33" s="417">
        <f>IF(J4&lt;A33,0,IF((SUM(E33:I33)+((C33-D33)*B33))&gt;(C33-D33),C33-D33-SUM(E33:I33),(C33-D33)*B33))</f>
        <v>0</v>
      </c>
      <c r="K33" s="417">
        <f>IF(K4&lt;A33,0,IF((SUM(E33:J33)+((C33-D33)*B33))&gt;(C33-D33),C33-D33-SUM(E33:J33),(C33-D33)*B33))</f>
        <v>0</v>
      </c>
      <c r="L33" s="417">
        <f>IF(L4&lt;A33,0,IF((SUM(E33:K33)+((C33-D33)*B33))&gt;(C33-D33),C33-D33-SUM(E33:K33),(C33-D33)*B33))</f>
        <v>0</v>
      </c>
      <c r="M33" s="417">
        <f>IF(M4&lt;A33,0,IF((SUM(E33:L33)+((C33-D33)*B33))&gt;(C33-D33),C33-D33-SUM(E33:L33),(C33-D33)*B33))</f>
        <v>0</v>
      </c>
      <c r="N33" s="417">
        <f>IF(N4&lt;A33,0,IF((SUM(E33:M33)+((C33-D33)*B33))&gt;(C33-D33),C33-D33-SUM(E33:M33),(C33-D33)*B33))</f>
        <v>0</v>
      </c>
      <c r="O33" s="417">
        <f>IF(O4&lt;A33,0,IF((SUM(E33:N33)+((C33-D33)*B33))&gt;(C33-D33),C33-D33-SUM(E33:N33),(C33-D33)*B33))</f>
        <v>0</v>
      </c>
      <c r="P33" s="417">
        <f>IF(P4&lt;A33,0,IF((SUM(E33:O33)+((C33-D33)*B33))&gt;(C33-D33),C33-D33-SUM(E33:O33),(C33-D33)*B33))</f>
        <v>0</v>
      </c>
      <c r="Q33" s="417">
        <f>IF(Q4&lt;A33,0,IF((SUM(E33:P33)+((C33-D33)*B33))&gt;(C33-D33),C33-D33-SUM(E33:P33),(C33-D33)*B33))</f>
        <v>0</v>
      </c>
      <c r="R33" s="417">
        <f>IF(R4&lt;A33,0,IF((SUM(E33:Q33)+((C33-D33)*B33))&gt;(C33-D33),C33-D33-SUM(E33:Q33),(C33-D33)*B33))</f>
        <v>0</v>
      </c>
      <c r="S33" s="417">
        <f>IF(S4&lt;A33,0,IF((SUM(E33:R33)+((C33-D33)*B33))&gt;(C33-D33),C33-D33-SUM(E33:R33),(C33-D33)*B33))</f>
        <v>0</v>
      </c>
      <c r="T33" s="417">
        <f>IF(T4&lt;A33,0,IF((SUM(E33:S33)+((C33-D33)*B33))&gt;(C33-D33),C33-D33-SUM(E33:S33),(C33-D33)*B33))</f>
        <v>0</v>
      </c>
      <c r="U33" s="417">
        <f>IF(U4&lt;A33,0,IF((SUM(E33:T33)+((C33-D33)*B33))&gt;(C33-D33),C33-D33-SUM(E33:T33),(C33-D33)*B33))</f>
        <v>0</v>
      </c>
      <c r="V33" s="417">
        <f>IF(V4&lt;A33,0,IF((SUM(E33:U33)+((C33-D33)*B33))&gt;(C33-D33),C33-D33-SUM(E33:U33),(C33-D33)*B33))</f>
        <v>0</v>
      </c>
      <c r="W33" s="417">
        <f>IF(W4&lt;A33,0,IF((SUM(E33:V33)+((C33-D33)*B33))&gt;(C33-D33),C33-D33-SUM(E33:V33),(C33-D33)*B33))</f>
        <v>0</v>
      </c>
      <c r="X33" s="417">
        <f>IF(X4&lt;A33,0,IF((SUM(E33:W33)+((C33-D33)*B33))&gt;(C33-D33),C33-D33-SUM(E33:W33),(C33-D33)*B33))</f>
        <v>0</v>
      </c>
      <c r="Y33" s="417">
        <f>IF(Y4&lt;A33,0,IF((SUM(E33:X33)+((C33-D33)*B33))&gt;(C33-D33),C33-D33-SUM(E33:X33),(C33-D33)*B33))</f>
        <v>0</v>
      </c>
      <c r="Z33" s="417">
        <f>IF(Z4&lt;A33,0,IF((SUM(E33:Y33)+((C33-D33)*B33))&gt;(C33-D33),C33-D33-SUM(E33:Y33),(C33-D33)*B33))</f>
        <v>0</v>
      </c>
      <c r="AA33" s="417">
        <f>IF(AA4&lt;A33,0,IF((SUM(E33:Z33)+((C33-D33)*B33))&gt;(C33-D33),C33-D33-SUM(E33:Z33),(C33-D33)*B33))</f>
        <v>0</v>
      </c>
      <c r="AB33" s="417">
        <f>IF(AB4&lt;A33,0,IF((SUM(E33:AA33)+((C33-D33)*B33))&gt;(C33-D33),C33-D33-SUM(E33:AA33),(C33-D33)*B33))</f>
        <v>0</v>
      </c>
      <c r="AC33" s="417">
        <f>IF(AC4&lt;A33,0,IF((SUM(E33:AB33)+((C33-D33)*B33))&gt;(C33-D33),C33-D33-SUM(E33:AB33),(C33-D33)*B33))</f>
        <v>0</v>
      </c>
      <c r="AD33" s="417">
        <f>IF(AD4&lt;A33,0,IF((SUM(E33:AC33)+((C33-D33)*B33))&gt;(C33-D33),C33-D33-SUM(E33:AC33),(C33-D33)*B33))</f>
        <v>0</v>
      </c>
      <c r="AE33" s="417">
        <f>IF(AE4&lt;A33,0,IF((SUM(E33:AD33)+((C33-D33)*B33))&gt;(C33-D33),C33-D33-SUM(E33:AD33),(C33-D33)*B33))</f>
        <v>0</v>
      </c>
      <c r="AF33" s="417">
        <f>IF(AF4&lt;A33,0,IF((SUM(E33:AE33)+((C33-D33)*B33))&gt;(C33-D33),C33-D33-SUM(E33:AE33),(C33-D33)*B33))</f>
        <v>0</v>
      </c>
      <c r="AG33" s="417">
        <f>IF(AG4&lt;A33,0,IF((SUM(E33:AF33)+((C33-D33)*B33))&gt;(C33-D33),C33-D33-SUM(E33:AF33),(C33-D33)*B33))</f>
        <v>0</v>
      </c>
      <c r="AH33" s="417">
        <f>IF(AH4&lt;A33,0,IF((SUM(E33:AG33)+((C33-D33)*B33))&gt;(C33-D33),C33-D33-SUM(E33:AG33),(C33-D33)*B33))</f>
        <v>0</v>
      </c>
    </row>
    <row r="34" spans="1:34" s="75" customFormat="1" ht="13.15" customHeight="1" outlineLevel="1" x14ac:dyDescent="0.2">
      <c r="A34" s="416">
        <v>30</v>
      </c>
      <c r="B34" s="374">
        <v>0.2</v>
      </c>
      <c r="C34" s="378">
        <f>SUMIF('14 - Investimentos'!B:B,'15 - Depreciação'!A2,'14 - Investimentos'!AG:AG)</f>
        <v>21650774.219999999</v>
      </c>
      <c r="D34" s="417">
        <f>C34*B2</f>
        <v>6495232.2659999998</v>
      </c>
      <c r="E34" s="417">
        <f>IF(E4&lt;A34,0,(C34-D34)*B34)</f>
        <v>0</v>
      </c>
      <c r="F34" s="417">
        <f>IF(F4&lt;A34,0,IF((SUM(E34:E34)+((C34-D34)*B34))&gt;(C34-D34),C34-D34-SUM(E34:E34),(C34-D34)*B34))</f>
        <v>0</v>
      </c>
      <c r="G34" s="417">
        <f>IF(G4&lt;A34,0,IF((SUM(E34:F34)+((C34-D34)*B34))&gt;(C34-D34),C34-D34-SUM(E34:F34),(C34-D34)*B34))</f>
        <v>0</v>
      </c>
      <c r="H34" s="417">
        <f>IF(H4&lt;A34,0,IF((SUM(E34:G34)+((C34-D34)*B34))&gt;(C34-D34),C34-D34-SUM(E34:G34),(C34-D34)*B34))</f>
        <v>0</v>
      </c>
      <c r="I34" s="417">
        <f>IF(I4&lt;A34,0,IF((SUM(E34:H34)+((C34-D34)*B34))&gt;(C34-D34),C34-D34-SUM(E34:H34),(C34-D34)*B34))</f>
        <v>0</v>
      </c>
      <c r="J34" s="417">
        <f>IF(J4&lt;A34,0,IF((SUM(E34:I34)+((C34-D34)*B34))&gt;(C34-D34),C34-D34-SUM(E34:I34),(C34-D34)*B34))</f>
        <v>0</v>
      </c>
      <c r="K34" s="417">
        <f>IF(K4&lt;A34,0,IF((SUM(E34:J34)+((C34-D34)*B34))&gt;(C34-D34),C34-D34-SUM(E34:J34),(C34-D34)*B34))</f>
        <v>0</v>
      </c>
      <c r="L34" s="417">
        <f>IF(L4&lt;A34,0,IF((SUM(E34:K34)+((C34-D34)*B34))&gt;(C34-D34),C34-D34-SUM(E34:K34),(C34-D34)*B34))</f>
        <v>0</v>
      </c>
      <c r="M34" s="417">
        <f>IF(M4&lt;A34,0,IF((SUM(E34:L34)+((C34-D34)*B34))&gt;(C34-D34),C34-D34-SUM(E34:L34),(C34-D34)*B34))</f>
        <v>0</v>
      </c>
      <c r="N34" s="417">
        <f>IF(N4&lt;A34,0,IF((SUM(E34:M34)+((C34-D34)*B34))&gt;(C34-D34),C34-D34-SUM(E34:M34),(C34-D34)*B34))</f>
        <v>0</v>
      </c>
      <c r="O34" s="417">
        <f>IF(O4&lt;A34,0,IF((SUM(E34:N34)+((C34-D34)*B34))&gt;(C34-D34),C34-D34-SUM(E34:N34),(C34-D34)*B34))</f>
        <v>0</v>
      </c>
      <c r="P34" s="417">
        <f>IF(P4&lt;A34,0,IF((SUM(E34:O34)+((C34-D34)*B34))&gt;(C34-D34),C34-D34-SUM(E34:O34),(C34-D34)*B34))</f>
        <v>0</v>
      </c>
      <c r="Q34" s="417">
        <f>IF(Q4&lt;A34,0,IF((SUM(E34:P34)+((C34-D34)*B34))&gt;(C34-D34),C34-D34-SUM(E34:P34),(C34-D34)*B34))</f>
        <v>0</v>
      </c>
      <c r="R34" s="417">
        <f>IF(R4&lt;A34,0,IF((SUM(E34:Q34)+((C34-D34)*B34))&gt;(C34-D34),C34-D34-SUM(E34:Q34),(C34-D34)*B34))</f>
        <v>0</v>
      </c>
      <c r="S34" s="417">
        <f>IF(S4&lt;A34,0,IF((SUM(E34:R34)+((C34-D34)*B34))&gt;(C34-D34),C34-D34-SUM(E34:R34),(C34-D34)*B34))</f>
        <v>0</v>
      </c>
      <c r="T34" s="417">
        <f>IF(T4&lt;A34,0,IF((SUM(E34:S34)+((C34-D34)*B34))&gt;(C34-D34),C34-D34-SUM(E34:S34),(C34-D34)*B34))</f>
        <v>0</v>
      </c>
      <c r="U34" s="417">
        <f>IF(U4&lt;A34,0,IF((SUM(E34:T34)+((C34-D34)*B34))&gt;(C34-D34),C34-D34-SUM(E34:T34),(C34-D34)*B34))</f>
        <v>0</v>
      </c>
      <c r="V34" s="417">
        <f>IF(V4&lt;A34,0,IF((SUM(E34:U34)+((C34-D34)*B34))&gt;(C34-D34),C34-D34-SUM(E34:U34),(C34-D34)*B34))</f>
        <v>0</v>
      </c>
      <c r="W34" s="417">
        <f>IF(W4&lt;A34,0,IF((SUM(E34:V34)+((C34-D34)*B34))&gt;(C34-D34),C34-D34-SUM(E34:V34),(C34-D34)*B34))</f>
        <v>0</v>
      </c>
      <c r="X34" s="417">
        <f>IF(X4&lt;A34,0,IF((SUM(E34:W34)+((C34-D34)*B34))&gt;(C34-D34),C34-D34-SUM(E34:W34),(C34-D34)*B34))</f>
        <v>0</v>
      </c>
      <c r="Y34" s="417">
        <f>IF(Y4&lt;A34,0,IF((SUM(E34:X34)+((C34-D34)*B34))&gt;(C34-D34),C34-D34-SUM(E34:X34),(C34-D34)*B34))</f>
        <v>0</v>
      </c>
      <c r="Z34" s="417">
        <f>IF(Z4&lt;A34,0,IF((SUM(E34:Y34)+((C34-D34)*B34))&gt;(C34-D34),C34-D34-SUM(E34:Y34),(C34-D34)*B34))</f>
        <v>0</v>
      </c>
      <c r="AA34" s="417">
        <f>IF(AA4&lt;A34,0,IF((SUM(E34:Z34)+((C34-D34)*B34))&gt;(C34-D34),C34-D34-SUM(E34:Z34),(C34-D34)*B34))</f>
        <v>0</v>
      </c>
      <c r="AB34" s="417">
        <f>IF(AB4&lt;A34,0,IF((SUM(E34:AA34)+((C34-D34)*B34))&gt;(C34-D34),C34-D34-SUM(E34:AA34),(C34-D34)*B34))</f>
        <v>0</v>
      </c>
      <c r="AC34" s="417">
        <f>IF(AC4&lt;A34,0,IF((SUM(E34:AB34)+((C34-D34)*B34))&gt;(C34-D34),C34-D34-SUM(E34:AB34),(C34-D34)*B34))</f>
        <v>0</v>
      </c>
      <c r="AD34" s="417">
        <f>IF(AD4&lt;A34,0,IF((SUM(E34:AC34)+((C34-D34)*B34))&gt;(C34-D34),C34-D34-SUM(E34:AC34),(C34-D34)*B34))</f>
        <v>0</v>
      </c>
      <c r="AE34" s="417">
        <f>IF(AE4&lt;A34,0,IF((SUM(E34:AD34)+((C34-D34)*B34))&gt;(C34-D34),C34-D34-SUM(E34:AD34),(C34-D34)*B34))</f>
        <v>0</v>
      </c>
      <c r="AF34" s="417">
        <f>IF(AF4&lt;A34,0,IF((SUM(E34:AE34)+((C34-D34)*B34))&gt;(C34-D34),C34-D34-SUM(E34:AE34),(C34-D34)*B34))</f>
        <v>0</v>
      </c>
      <c r="AG34" s="417">
        <f>IF(AG4&lt;A34,0,IF((SUM(E34:AF34)+((C34-D34)*B34))&gt;(C34-D34),C34-D34-SUM(E34:AF34),(C34-D34)*B34))</f>
        <v>0</v>
      </c>
      <c r="AH34" s="417">
        <f>IF(AH4&lt;A34,0,IF((SUM(E34:AG34)+((C34-D34)*B34))&gt;(C34-D34),C34-D34-SUM(E34:AG34),(C34-D34)*B34))</f>
        <v>3031108.3908000002</v>
      </c>
    </row>
    <row r="35" spans="1:34" s="75" customFormat="1" ht="13.15" customHeight="1" x14ac:dyDescent="0.2">
      <c r="A35" s="375" t="s">
        <v>71</v>
      </c>
      <c r="B35" s="379"/>
      <c r="C35" s="380">
        <f>SUM(C5:C34)</f>
        <v>114505371.09999999</v>
      </c>
      <c r="D35" s="376"/>
      <c r="E35" s="380">
        <f>SUM(E5:E34)</f>
        <v>2968370.7508000005</v>
      </c>
      <c r="F35" s="380">
        <f t="shared" ref="F35:AH35" si="0">SUM(F5:F34)</f>
        <v>2968370.7508000005</v>
      </c>
      <c r="G35" s="380">
        <f t="shared" si="0"/>
        <v>2968370.7508000005</v>
      </c>
      <c r="H35" s="380">
        <f t="shared" si="0"/>
        <v>2968370.7508000005</v>
      </c>
      <c r="I35" s="380">
        <f t="shared" si="0"/>
        <v>3069639.1908000004</v>
      </c>
      <c r="J35" s="380">
        <f t="shared" si="0"/>
        <v>217415.09999999817</v>
      </c>
      <c r="K35" s="380">
        <f t="shared" si="0"/>
        <v>217415.10000000003</v>
      </c>
      <c r="L35" s="380">
        <f t="shared" si="0"/>
        <v>3198267.4108000002</v>
      </c>
      <c r="M35" s="380">
        <f t="shared" si="0"/>
        <v>3299535.8508000001</v>
      </c>
      <c r="N35" s="380">
        <f t="shared" si="0"/>
        <v>3200664.0708000003</v>
      </c>
      <c r="O35" s="380">
        <f t="shared" si="0"/>
        <v>3084517.4108000002</v>
      </c>
      <c r="P35" s="380">
        <f t="shared" si="0"/>
        <v>3084517.4108000002</v>
      </c>
      <c r="Q35" s="380">
        <f t="shared" si="0"/>
        <v>318683.53999999817</v>
      </c>
      <c r="R35" s="380">
        <f t="shared" si="0"/>
        <v>219811.76</v>
      </c>
      <c r="S35" s="380">
        <f t="shared" si="0"/>
        <v>3147255.0508000003</v>
      </c>
      <c r="T35" s="380">
        <f t="shared" si="0"/>
        <v>3147255.0508000003</v>
      </c>
      <c r="U35" s="380">
        <f t="shared" si="0"/>
        <v>3248523.4908000003</v>
      </c>
      <c r="V35" s="380">
        <f t="shared" si="0"/>
        <v>3035901.7108000005</v>
      </c>
      <c r="W35" s="380">
        <f t="shared" si="0"/>
        <v>3033505.0508000003</v>
      </c>
      <c r="X35" s="380">
        <f t="shared" si="0"/>
        <v>217415.1</v>
      </c>
      <c r="Y35" s="380">
        <f t="shared" si="0"/>
        <v>318683.54000000004</v>
      </c>
      <c r="Z35" s="380">
        <f t="shared" si="0"/>
        <v>3149651.7108</v>
      </c>
      <c r="AA35" s="380">
        <f t="shared" si="0"/>
        <v>3147255.0507999999</v>
      </c>
      <c r="AB35" s="380">
        <f t="shared" si="0"/>
        <v>3147255.0507999999</v>
      </c>
      <c r="AC35" s="380">
        <f t="shared" si="0"/>
        <v>3134773.4907999998</v>
      </c>
      <c r="AD35" s="380">
        <f t="shared" si="0"/>
        <v>3035901.7108</v>
      </c>
      <c r="AE35" s="380">
        <f t="shared" si="0"/>
        <v>217415.1</v>
      </c>
      <c r="AF35" s="380">
        <f t="shared" si="0"/>
        <v>331165.09999999998</v>
      </c>
      <c r="AG35" s="380">
        <f t="shared" si="0"/>
        <v>331165.09999999998</v>
      </c>
      <c r="AH35" s="380">
        <f t="shared" si="0"/>
        <v>3261005.0508000003</v>
      </c>
    </row>
    <row r="36" spans="1:34" s="75" customFormat="1" ht="13.15" customHeight="1" x14ac:dyDescent="0.2">
      <c r="A36" s="415"/>
      <c r="B36" s="78"/>
      <c r="C36" s="78"/>
      <c r="D36" s="414"/>
      <c r="E36" s="414"/>
      <c r="F36" s="414"/>
      <c r="G36" s="414"/>
      <c r="H36" s="414"/>
      <c r="I36" s="414"/>
      <c r="J36" s="414"/>
      <c r="K36" s="414"/>
      <c r="L36" s="414"/>
      <c r="M36" s="414"/>
      <c r="N36" s="414"/>
      <c r="O36" s="414"/>
      <c r="P36" s="414"/>
      <c r="Q36" s="414"/>
      <c r="R36" s="414"/>
      <c r="S36" s="414"/>
      <c r="T36" s="414"/>
      <c r="U36" s="414"/>
      <c r="V36" s="414"/>
      <c r="W36" s="414"/>
      <c r="X36" s="414"/>
      <c r="Y36" s="414"/>
      <c r="Z36" s="414"/>
      <c r="AA36" s="414"/>
      <c r="AB36" s="414"/>
      <c r="AC36" s="414"/>
      <c r="AD36" s="414"/>
      <c r="AE36" s="414"/>
      <c r="AF36" s="414"/>
      <c r="AG36" s="414"/>
      <c r="AH36" s="415"/>
    </row>
    <row r="37" spans="1:34" s="75" customFormat="1" ht="13.15" customHeight="1" x14ac:dyDescent="0.2">
      <c r="A37" s="373" t="s">
        <v>1082</v>
      </c>
      <c r="B37" s="373" t="s">
        <v>1117</v>
      </c>
      <c r="C37" s="78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4"/>
      <c r="T37" s="414"/>
      <c r="U37" s="414"/>
      <c r="V37" s="414"/>
      <c r="W37" s="414"/>
      <c r="X37" s="414"/>
      <c r="Y37" s="414"/>
      <c r="Z37" s="414"/>
      <c r="AA37" s="414"/>
      <c r="AB37" s="414"/>
      <c r="AC37" s="414"/>
      <c r="AD37" s="414"/>
      <c r="AE37" s="414"/>
      <c r="AF37" s="414"/>
      <c r="AG37" s="414"/>
      <c r="AH37" s="415"/>
    </row>
    <row r="38" spans="1:34" s="75" customFormat="1" ht="13.15" customHeight="1" x14ac:dyDescent="0.2">
      <c r="A38" s="523" t="s">
        <v>1091</v>
      </c>
      <c r="B38" s="374">
        <v>0</v>
      </c>
      <c r="C38" s="78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414"/>
      <c r="U38" s="414"/>
      <c r="V38" s="414"/>
      <c r="W38" s="414"/>
      <c r="X38" s="414"/>
      <c r="Y38" s="414"/>
      <c r="Z38" s="414"/>
      <c r="AA38" s="414"/>
      <c r="AB38" s="414"/>
      <c r="AC38" s="414"/>
      <c r="AD38" s="414"/>
      <c r="AE38" s="414"/>
      <c r="AF38" s="414"/>
      <c r="AG38" s="414"/>
      <c r="AH38" s="415"/>
    </row>
    <row r="39" spans="1:34" s="75" customFormat="1" ht="13.15" customHeight="1" x14ac:dyDescent="0.2">
      <c r="A39" s="415"/>
      <c r="B39" s="78"/>
      <c r="C39" s="78"/>
      <c r="D39" s="414"/>
      <c r="E39" s="414"/>
      <c r="F39" s="414"/>
      <c r="G39" s="414"/>
      <c r="H39" s="414"/>
      <c r="I39" s="414"/>
      <c r="J39" s="414"/>
      <c r="K39" s="414"/>
      <c r="L39" s="414"/>
      <c r="M39" s="414"/>
      <c r="N39" s="414"/>
      <c r="O39" s="414"/>
      <c r="P39" s="414"/>
      <c r="Q39" s="414"/>
      <c r="R39" s="414"/>
      <c r="S39" s="414"/>
      <c r="T39" s="414"/>
      <c r="U39" s="414"/>
      <c r="V39" s="414"/>
      <c r="W39" s="414"/>
      <c r="X39" s="414"/>
      <c r="Y39" s="414"/>
      <c r="Z39" s="414"/>
      <c r="AA39" s="414"/>
      <c r="AB39" s="414"/>
      <c r="AC39" s="414"/>
      <c r="AD39" s="414"/>
      <c r="AE39" s="414"/>
      <c r="AF39" s="414"/>
      <c r="AG39" s="414"/>
      <c r="AH39" s="415"/>
    </row>
    <row r="40" spans="1:34" s="78" customFormat="1" ht="13.15" customHeight="1" x14ac:dyDescent="0.2">
      <c r="A40" s="375" t="s">
        <v>744</v>
      </c>
      <c r="B40" s="375" t="s">
        <v>1118</v>
      </c>
      <c r="C40" s="375" t="s">
        <v>1119</v>
      </c>
      <c r="D40" s="376" t="s">
        <v>1117</v>
      </c>
      <c r="E40" s="377">
        <v>1</v>
      </c>
      <c r="F40" s="377">
        <v>2</v>
      </c>
      <c r="G40" s="377">
        <v>3</v>
      </c>
      <c r="H40" s="377">
        <v>4</v>
      </c>
      <c r="I40" s="377">
        <v>5</v>
      </c>
      <c r="J40" s="377">
        <v>6</v>
      </c>
      <c r="K40" s="377">
        <v>7</v>
      </c>
      <c r="L40" s="377">
        <v>8</v>
      </c>
      <c r="M40" s="377">
        <v>9</v>
      </c>
      <c r="N40" s="377">
        <v>10</v>
      </c>
      <c r="O40" s="377">
        <v>11</v>
      </c>
      <c r="P40" s="377">
        <v>12</v>
      </c>
      <c r="Q40" s="377">
        <v>13</v>
      </c>
      <c r="R40" s="377">
        <v>14</v>
      </c>
      <c r="S40" s="377">
        <v>15</v>
      </c>
      <c r="T40" s="377">
        <v>16</v>
      </c>
      <c r="U40" s="377">
        <v>17</v>
      </c>
      <c r="V40" s="377">
        <v>18</v>
      </c>
      <c r="W40" s="377">
        <v>19</v>
      </c>
      <c r="X40" s="377">
        <v>20</v>
      </c>
      <c r="Y40" s="377">
        <v>21</v>
      </c>
      <c r="Z40" s="377">
        <v>22</v>
      </c>
      <c r="AA40" s="377">
        <v>23</v>
      </c>
      <c r="AB40" s="377">
        <v>24</v>
      </c>
      <c r="AC40" s="377">
        <v>25</v>
      </c>
      <c r="AD40" s="377">
        <v>26</v>
      </c>
      <c r="AE40" s="377">
        <v>27</v>
      </c>
      <c r="AF40" s="377">
        <v>28</v>
      </c>
      <c r="AG40" s="377">
        <v>29</v>
      </c>
      <c r="AH40" s="377">
        <v>30</v>
      </c>
    </row>
    <row r="41" spans="1:34" s="75" customFormat="1" ht="13.15" customHeight="1" outlineLevel="1" x14ac:dyDescent="0.2">
      <c r="A41" s="416">
        <v>1</v>
      </c>
      <c r="B41" s="374">
        <v>0.2</v>
      </c>
      <c r="C41" s="378">
        <f>SUMIF('14 - Investimentos'!B:B,'15 - Depreciação'!A38,'14 - Investimentos'!E:E)</f>
        <v>1932108.6366666663</v>
      </c>
      <c r="D41" s="417">
        <f>C41*B38</f>
        <v>0</v>
      </c>
      <c r="E41" s="417">
        <f>IF(E40&lt;A41,0,(C41-D41)*B41)</f>
        <v>386421.72733333329</v>
      </c>
      <c r="F41" s="417">
        <f>IF(F40&lt;A41,0,IF((SUM(E41:E41)+((C41-D41)*B41))&gt;(C41-D41),C41-D41-SUM(E41:E41),(C41-D41)*B41))</f>
        <v>386421.72733333329</v>
      </c>
      <c r="G41" s="417">
        <f>IF(G40&lt;A41,0,IF((SUM(E41:F41)+((C41-D41)*B41))&gt;(C41-D41),C41-D41-SUM(E41:F41),(C41-D41)*B41))</f>
        <v>386421.72733333329</v>
      </c>
      <c r="H41" s="417">
        <f>IF(H40&lt;A41,0,IF((SUM(E41:G41)+((C41-D41)*B41))&gt;(C41-D41),C41-D41-SUM(E41:G41),(C41-D41)*B41))</f>
        <v>386421.72733333329</v>
      </c>
      <c r="I41" s="417">
        <f>IF(I40&lt;A41,0,IF((SUM(E41:H41)+((C41-D41)*B41))&gt;(C41-D41),C41-D41-SUM(E41:H41),(C41-D41)*B41))</f>
        <v>386421.72733333329</v>
      </c>
      <c r="J41" s="417">
        <f>IF(J40&lt;A41,0,IF((SUM(E41:I41)+((C41-D41)*B41))&gt;(C41-D41),C41-D41-SUM(E41:I41),(C41-D41)*B41))</f>
        <v>-2.3283064365386963E-10</v>
      </c>
      <c r="K41" s="417">
        <f>IF(K40&lt;A41,0,IF((SUM(E41:J41)+((C41-D41)*B41))&gt;(C41-D41),C41-D41-SUM(E41:J41),(C41-D41)*B41))</f>
        <v>0</v>
      </c>
      <c r="L41" s="417">
        <f>IF(L40&lt;A41,0,IF((SUM(E41:K41)+((C41-D41)*B41))&gt;(C41-D41),C41-D41-SUM(E41:K41),(C41-D41)*B41))</f>
        <v>0</v>
      </c>
      <c r="M41" s="417">
        <f>IF(M40&lt;A41,0,IF((SUM(E41:L41)+((C41-D41)*B41))&gt;(C41-D41),C41-D41-SUM(E41:L41),(C41-D41)*B41))</f>
        <v>0</v>
      </c>
      <c r="N41" s="417">
        <f>IF(N40&lt;A41,0,IF((SUM(E41:M41)+((C41-D41)*B41))&gt;(C41-D41),C41-D41-SUM(E41:M41),(C41-D41)*B41))</f>
        <v>0</v>
      </c>
      <c r="O41" s="417">
        <f>IF(O40&lt;A41,0,IF((SUM(E41:N41)+((C41-D41)*B41))&gt;(C41-D41),C41-D41-SUM(E41:N41),(C41-D41)*B41))</f>
        <v>0</v>
      </c>
      <c r="P41" s="417">
        <f>IF(P40&lt;A41,0,IF((SUM(E41:O41)+((C41-D41)*B41))&gt;(C41-D41),C41-D41-SUM(E41:O41),(C41-D41)*B41))</f>
        <v>0</v>
      </c>
      <c r="Q41" s="417">
        <f>IF(Q40&lt;A41,0,IF((SUM(E41:P41)+((C41-D41)*B41))&gt;(C41-D41),C41-D41-SUM(E41:P41),(C41-D41)*B41))</f>
        <v>0</v>
      </c>
      <c r="R41" s="417">
        <f>IF(R40&lt;A41,0,IF((SUM(E41:Q41)+((C41-D41)*B41))&gt;(C41-D41),C41-D41-SUM(E41:Q41),(C41-D41)*B41))</f>
        <v>0</v>
      </c>
      <c r="S41" s="417">
        <f>IF(S40&lt;A41,0,IF((SUM(E41:R41)+((C41-D41)*B41))&gt;(C41-D41),C41-D41-SUM(E41:R41),(C41-D41)*B41))</f>
        <v>0</v>
      </c>
      <c r="T41" s="417">
        <f>IF(T40&lt;A41,0,IF((SUM(E41:S41)+((C41-D41)*B41))&gt;(C41-D41),C41-D41-SUM(E41:S41),(C41-D41)*B41))</f>
        <v>0</v>
      </c>
      <c r="U41" s="417">
        <f>IF(U40&lt;A41,0,IF((SUM(E41:T41)+((C41-D41)*B41))&gt;(C41-D41),C41-D41-SUM(E41:T41),(C41-D41)*B41))</f>
        <v>0</v>
      </c>
      <c r="V41" s="417">
        <f>IF(V40&lt;A41,0,IF((SUM(E41:U41)+((C41-D41)*B41))&gt;(C41-D41),C41-D41-SUM(E41:U41),(C41-D41)*B41))</f>
        <v>0</v>
      </c>
      <c r="W41" s="417">
        <f>IF(W40&lt;A41,0,IF((SUM(E41:V41)+((C41-D41)*B41))&gt;(C41-D41),C41-D41-SUM(E41:V41),(C41-D41)*B41))</f>
        <v>0</v>
      </c>
      <c r="X41" s="417">
        <f>IF(X40&lt;A41,0,IF((SUM(E41:W41)+((C41-D41)*B41))&gt;(C41-D41),C41-D41-SUM(E41:W41),(C41-D41)*B41))</f>
        <v>0</v>
      </c>
      <c r="Y41" s="417">
        <f>IF(Y40&lt;A41,0,IF((SUM(E41:X41)+((C41-D41)*B41))&gt;(C41-D41),C41-D41-SUM(E41:X41),(C41-D41)*B41))</f>
        <v>0</v>
      </c>
      <c r="Z41" s="417">
        <f>IF(Z40&lt;A41,0,IF((SUM(E41:Y41)+((C41-D41)*B41))&gt;(C41-D41),C41-D41-SUM(E41:Y41),(C41-D41)*B41))</f>
        <v>0</v>
      </c>
      <c r="AA41" s="417">
        <f>IF(AA40&lt;A41,0,IF((SUM(E41:Z41)+((C41-D41)*B41))&gt;(C41-D41),C41-D41-SUM(E41:Z41),(C41-D41)*B41))</f>
        <v>0</v>
      </c>
      <c r="AB41" s="417">
        <f>IF(AB40&lt;A41,0,IF((SUM(E41:AA41)+((C41-D41)*B41))&gt;(C41-D41),C41-D41-SUM(E41:AA41),(C41-D41)*B41))</f>
        <v>0</v>
      </c>
      <c r="AC41" s="417">
        <f>IF(AC40&lt;A41,0,IF((SUM(E41:AB41)+((C41-D41)*B41))&gt;(C41-D41),C41-D41-SUM(E41:AB41),(C41-D41)*B41))</f>
        <v>0</v>
      </c>
      <c r="AD41" s="417">
        <f>IF(AD40&lt;A41,0,IF((SUM(E41:AC41)+((C41-D41)*B41))&gt;(C41-D41),C41-D41-SUM(E41:AC41),(C41-D41)*B41))</f>
        <v>0</v>
      </c>
      <c r="AE41" s="417">
        <f>IF(AE40&lt;A41,0,IF((SUM(E41:AD41)+((C41-D41)*B41))&gt;(C41-D41),C41-D41-SUM(E41:AD41),(C41-D41)*B41))</f>
        <v>0</v>
      </c>
      <c r="AF41" s="417">
        <f>IF(AF40&lt;A41,0,IF((SUM(E41:AE41)+((C41-D41)*B41))&gt;(C41-D41),C41-D41-SUM(E41:AE41),(C41-D41)*B41))</f>
        <v>0</v>
      </c>
      <c r="AG41" s="417">
        <f>IF(AG40&lt;A41,0,IF((SUM(E41:AF41)+((C41-D41)*B41))&gt;(C41-D41),C41-D41-SUM(E41:AF41),(C41-D41)*B41))</f>
        <v>0</v>
      </c>
      <c r="AH41" s="417">
        <f>IF(AH40&lt;A41,0,IF((SUM(E41:AG41)+((C41-D41)*B41))&gt;(C41-D41),C41-D41-SUM(E41:AG41),(C41-D41)*B41))</f>
        <v>0</v>
      </c>
    </row>
    <row r="42" spans="1:34" s="75" customFormat="1" ht="13.15" customHeight="1" outlineLevel="1" x14ac:dyDescent="0.2">
      <c r="A42" s="416">
        <v>2</v>
      </c>
      <c r="B42" s="374">
        <v>0.2</v>
      </c>
      <c r="C42" s="378">
        <f>SUMIF('14 - Investimentos'!B:B,'15 - Depreciação'!A38,'14 - Investimentos'!F:F)</f>
        <v>204277.96333333332</v>
      </c>
      <c r="D42" s="417">
        <f>C42*B38</f>
        <v>0</v>
      </c>
      <c r="E42" s="417">
        <f>IF(E40&lt;A42,0,(C42-D42)*B42)</f>
        <v>0</v>
      </c>
      <c r="F42" s="417">
        <f>IF(F40&lt;A42,0,IF((SUM(E42:E42)+((C42-D42)*B42))&gt;(C42-D42),C42-D42-SUM(E42:E42),(C42-D42)*B42))</f>
        <v>40855.592666666664</v>
      </c>
      <c r="G42" s="417">
        <f>IF(G40&lt;A42,0,IF((SUM(E42:F42)+((C42-D42)*B42))&gt;(C42-D42),C42-D42-SUM(E42:F42),(C42-D42)*B42))</f>
        <v>40855.592666666664</v>
      </c>
      <c r="H42" s="417">
        <f>IF(H40&lt;A42,0,IF((SUM(E42:G42)+((C42-D42)*B42))&gt;(C42-D42),C42-D42-SUM(E42:G42),(C42-D42)*B42))</f>
        <v>40855.592666666664</v>
      </c>
      <c r="I42" s="417">
        <f>IF(I40&lt;A42,0,IF((SUM(E42:H42)+((C42-D42)*B42))&gt;(C42-D42),C42-D42-SUM(E42:H42),(C42-D42)*B42))</f>
        <v>40855.592666666664</v>
      </c>
      <c r="J42" s="417">
        <f>IF(J40&lt;A42,0,IF((SUM(E42:I42)+((C42-D42)*B42))&gt;(C42-D42),C42-D42-SUM(E42:I42),(C42-D42)*B42))</f>
        <v>40855.592666666664</v>
      </c>
      <c r="K42" s="417">
        <f>IF(K40&lt;A42,0,IF((SUM(E42:J42)+((C42-D42)*B42))&gt;(C42-D42),C42-D42-SUM(E42:J42),(C42-D42)*B42))</f>
        <v>0</v>
      </c>
      <c r="L42" s="417">
        <f>IF(L40&lt;A42,0,IF((SUM(E42:K42)+((C42-D42)*B42))&gt;(C42-D42),C42-D42-SUM(E42:K42),(C42-D42)*B42))</f>
        <v>0</v>
      </c>
      <c r="M42" s="417">
        <f>IF(M40&lt;A42,0,IF((SUM(E42:L42)+((C42-D42)*B42))&gt;(C42-D42),C42-D42-SUM(E42:L42),(C42-D42)*B42))</f>
        <v>0</v>
      </c>
      <c r="N42" s="417">
        <f>IF(N40&lt;A42,0,IF((SUM(E42:M42)+((C42-D42)*B42))&gt;(C42-D42),C42-D42-SUM(E42:M42),(C42-D42)*B42))</f>
        <v>0</v>
      </c>
      <c r="O42" s="417">
        <f>IF(O40&lt;A42,0,IF((SUM(E42:N42)+((C42-D42)*B42))&gt;(C42-D42),C42-D42-SUM(E42:N42),(C42-D42)*B42))</f>
        <v>0</v>
      </c>
      <c r="P42" s="417">
        <f>IF(P40&lt;A42,0,IF((SUM(E42:O42)+((C42-D42)*B42))&gt;(C42-D42),C42-D42-SUM(E42:O42),(C42-D42)*B42))</f>
        <v>0</v>
      </c>
      <c r="Q42" s="417">
        <f>IF(Q40&lt;A42,0,IF((SUM(E42:P42)+((C42-D42)*B42))&gt;(C42-D42),C42-D42-SUM(E42:P42),(C42-D42)*B42))</f>
        <v>0</v>
      </c>
      <c r="R42" s="417">
        <f>IF(R40&lt;A42,0,IF((SUM(E42:Q42)+((C42-D42)*B42))&gt;(C42-D42),C42-D42-SUM(E42:Q42),(C42-D42)*B42))</f>
        <v>0</v>
      </c>
      <c r="S42" s="417">
        <f>IF(S40&lt;A42,0,IF((SUM(E42:R42)+((C42-D42)*B42))&gt;(C42-D42),C42-D42-SUM(E42:R42),(C42-D42)*B42))</f>
        <v>0</v>
      </c>
      <c r="T42" s="417">
        <f>IF(T40&lt;A42,0,IF((SUM(E42:S42)+((C42-D42)*B42))&gt;(C42-D42),C42-D42-SUM(E42:S42),(C42-D42)*B42))</f>
        <v>0</v>
      </c>
      <c r="U42" s="417">
        <f>IF(U40&lt;A42,0,IF((SUM(E42:T42)+((C42-D42)*B42))&gt;(C42-D42),C42-D42-SUM(E42:T42),(C42-D42)*B42))</f>
        <v>0</v>
      </c>
      <c r="V42" s="417">
        <f>IF(V40&lt;A42,0,IF((SUM(E42:U42)+((C42-D42)*B42))&gt;(C42-D42),C42-D42-SUM(E42:U42),(C42-D42)*B42))</f>
        <v>0</v>
      </c>
      <c r="W42" s="417">
        <f>IF(W40&lt;A42,0,IF((SUM(E42:V42)+((C42-D42)*B42))&gt;(C42-D42),C42-D42-SUM(E42:V42),(C42-D42)*B42))</f>
        <v>0</v>
      </c>
      <c r="X42" s="417">
        <f>IF(X40&lt;A42,0,IF((SUM(E42:W42)+((C42-D42)*B42))&gt;(C42-D42),C42-D42-SUM(E42:W42),(C42-D42)*B42))</f>
        <v>0</v>
      </c>
      <c r="Y42" s="417">
        <f>IF(Y40&lt;A42,0,IF((SUM(E42:X42)+((C42-D42)*B42))&gt;(C42-D42),C42-D42-SUM(E42:X42),(C42-D42)*B42))</f>
        <v>0</v>
      </c>
      <c r="Z42" s="417">
        <f>IF(Z40&lt;A42,0,IF((SUM(E42:Y42)+((C42-D42)*B42))&gt;(C42-D42),C42-D42-SUM(E42:Y42),(C42-D42)*B42))</f>
        <v>0</v>
      </c>
      <c r="AA42" s="417">
        <f>IF(AA40&lt;A42,0,IF((SUM(E42:Z42)+((C42-D42)*B42))&gt;(C42-D42),C42-D42-SUM(E42:Z42),(C42-D42)*B42))</f>
        <v>0</v>
      </c>
      <c r="AB42" s="417">
        <f>IF(AB40&lt;A42,0,IF((SUM(E42:AA42)+((C42-D42)*B42))&gt;(C42-D42),C42-D42-SUM(E42:AA42),(C42-D42)*B42))</f>
        <v>0</v>
      </c>
      <c r="AC42" s="417">
        <f>IF(AC40&lt;A42,0,IF((SUM(E42:AB42)+((C42-D42)*B42))&gt;(C42-D42),C42-D42-SUM(E42:AB42),(C42-D42)*B42))</f>
        <v>0</v>
      </c>
      <c r="AD42" s="417">
        <f>IF(AD40&lt;A42,0,IF((SUM(E42:AC42)+((C42-D42)*B42))&gt;(C42-D42),C42-D42-SUM(E42:AC42),(C42-D42)*B42))</f>
        <v>0</v>
      </c>
      <c r="AE42" s="417">
        <f>IF(AE40&lt;A42,0,IF((SUM(E42:AD42)+((C42-D42)*B42))&gt;(C42-D42),C42-D42-SUM(E42:AD42),(C42-D42)*B42))</f>
        <v>0</v>
      </c>
      <c r="AF42" s="417">
        <f>IF(AF40&lt;A42,0,IF((SUM(E42:AE42)+((C42-D42)*B42))&gt;(C42-D42),C42-D42-SUM(E42:AE42),(C42-D42)*B42))</f>
        <v>0</v>
      </c>
      <c r="AG42" s="417">
        <f>IF(AG40&lt;A42,0,IF((SUM(E42:AF42)+((C42-D42)*B42))&gt;(C42-D42),C42-D42-SUM(E42:AF42),(C42-D42)*B42))</f>
        <v>0</v>
      </c>
      <c r="AH42" s="417">
        <f>IF(AH40&lt;A42,0,IF((SUM(E42:AG42)+((C42-D42)*B42))&gt;(C42-D42),C42-D42-SUM(E42:AG42),(C42-D42)*B42))</f>
        <v>0</v>
      </c>
    </row>
    <row r="43" spans="1:34" s="75" customFormat="1" ht="13.15" customHeight="1" outlineLevel="1" x14ac:dyDescent="0.2">
      <c r="A43" s="416">
        <v>3</v>
      </c>
      <c r="B43" s="374">
        <v>0.2</v>
      </c>
      <c r="C43" s="378">
        <f>SUMIF('14 - Investimentos'!B:B,'15 - Depreciação'!A38,'14 - Investimentos'!G:G)</f>
        <v>845053.29666666675</v>
      </c>
      <c r="D43" s="417">
        <f>C43*B38</f>
        <v>0</v>
      </c>
      <c r="E43" s="417">
        <f>IF(E40&lt;A43,0,(C43-D43)*B43)</f>
        <v>0</v>
      </c>
      <c r="F43" s="417">
        <f>IF(F40&lt;A43,0,IF((SUM(E43:E43)+((C43-D43)*B43))&gt;(C43-D43),C43-D43-SUM(E43:E43),(C43-D43)*B43))</f>
        <v>0</v>
      </c>
      <c r="G43" s="417">
        <f>IF(G40&lt;A43,0,IF((SUM(E43:F43)+((C43-D43)*B43))&gt;(C43-D43),C43-D43-SUM(E43:F43),(C43-D43)*B43))</f>
        <v>169010.65933333337</v>
      </c>
      <c r="H43" s="417">
        <f>IF(H40&lt;A43,0,IF((SUM(E43:G43)+((C43-D43)*B43))&gt;(C43-D43),C43-D43-SUM(E43:G43),(C43-D43)*B43))</f>
        <v>169010.65933333337</v>
      </c>
      <c r="I43" s="417">
        <f>IF(I40&lt;A43,0,IF((SUM(E43:H43)+((C43-D43)*B43))&gt;(C43-D43),C43-D43-SUM(E43:H43),(C43-D43)*B43))</f>
        <v>169010.65933333337</v>
      </c>
      <c r="J43" s="417">
        <f>IF(J40&lt;A43,0,IF((SUM(E43:I43)+((C43-D43)*B43))&gt;(C43-D43),C43-D43-SUM(E43:I43),(C43-D43)*B43))</f>
        <v>169010.65933333337</v>
      </c>
      <c r="K43" s="417">
        <f>IF(K40&lt;A43,0,IF((SUM(E43:J43)+((C43-D43)*B43))&gt;(C43-D43),C43-D43-SUM(E43:J43),(C43-D43)*B43))</f>
        <v>169010.65933333337</v>
      </c>
      <c r="L43" s="417">
        <f>IF(L40&lt;A43,0,IF((SUM(E43:K43)+((C43-D43)*B43))&gt;(C43-D43),C43-D43-SUM(E43:K43),(C43-D43)*B43))</f>
        <v>-1.1641532182693481E-10</v>
      </c>
      <c r="M43" s="417">
        <f>IF(M40&lt;A43,0,IF((SUM(E43:L43)+((C43-D43)*B43))&gt;(C43-D43),C43-D43-SUM(E43:L43),(C43-D43)*B43))</f>
        <v>0</v>
      </c>
      <c r="N43" s="417">
        <f>IF(N40&lt;A43,0,IF((SUM(E43:M43)+((C43-D43)*B43))&gt;(C43-D43),C43-D43-SUM(E43:M43),(C43-D43)*B43))</f>
        <v>0</v>
      </c>
      <c r="O43" s="417">
        <f>IF(O40&lt;A43,0,IF((SUM(E43:N43)+((C43-D43)*B43))&gt;(C43-D43),C43-D43-SUM(E43:N43),(C43-D43)*B43))</f>
        <v>0</v>
      </c>
      <c r="P43" s="417">
        <f>IF(P40&lt;A43,0,IF((SUM(E43:O43)+((C43-D43)*B43))&gt;(C43-D43),C43-D43-SUM(E43:O43),(C43-D43)*B43))</f>
        <v>0</v>
      </c>
      <c r="Q43" s="417">
        <f>IF(Q40&lt;A43,0,IF((SUM(E43:P43)+((C43-D43)*B43))&gt;(C43-D43),C43-D43-SUM(E43:P43),(C43-D43)*B43))</f>
        <v>0</v>
      </c>
      <c r="R43" s="417">
        <f>IF(R40&lt;A43,0,IF((SUM(E43:Q43)+((C43-D43)*B43))&gt;(C43-D43),C43-D43-SUM(E43:Q43),(C43-D43)*B43))</f>
        <v>0</v>
      </c>
      <c r="S43" s="417">
        <f>IF(S40&lt;A43,0,IF((SUM(E43:R43)+((C43-D43)*B43))&gt;(C43-D43),C43-D43-SUM(E43:R43),(C43-D43)*B43))</f>
        <v>0</v>
      </c>
      <c r="T43" s="417">
        <f>IF(T40&lt;A43,0,IF((SUM(E43:S43)+((C43-D43)*B43))&gt;(C43-D43),C43-D43-SUM(E43:S43),(C43-D43)*B43))</f>
        <v>0</v>
      </c>
      <c r="U43" s="417">
        <f>IF(U40&lt;A43,0,IF((SUM(E43:T43)+((C43-D43)*B43))&gt;(C43-D43),C43-D43-SUM(E43:T43),(C43-D43)*B43))</f>
        <v>0</v>
      </c>
      <c r="V43" s="417">
        <f>IF(V40&lt;A43,0,IF((SUM(E43:U43)+((C43-D43)*B43))&gt;(C43-D43),C43-D43-SUM(E43:U43),(C43-D43)*B43))</f>
        <v>0</v>
      </c>
      <c r="W43" s="417">
        <f>IF(W40&lt;A43,0,IF((SUM(E43:V43)+((C43-D43)*B43))&gt;(C43-D43),C43-D43-SUM(E43:V43),(C43-D43)*B43))</f>
        <v>0</v>
      </c>
      <c r="X43" s="417">
        <f>IF(X40&lt;A43,0,IF((SUM(E43:W43)+((C43-D43)*B43))&gt;(C43-D43),C43-D43-SUM(E43:W43),(C43-D43)*B43))</f>
        <v>0</v>
      </c>
      <c r="Y43" s="417">
        <f>IF(Y40&lt;A43,0,IF((SUM(E43:X43)+((C43-D43)*B43))&gt;(C43-D43),C43-D43-SUM(E43:X43),(C43-D43)*B43))</f>
        <v>0</v>
      </c>
      <c r="Z43" s="417">
        <f>IF(Z40&lt;A43,0,IF((SUM(E43:Y43)+((C43-D43)*B43))&gt;(C43-D43),C43-D43-SUM(E43:Y43),(C43-D43)*B43))</f>
        <v>0</v>
      </c>
      <c r="AA43" s="417">
        <f>IF(AA40&lt;A43,0,IF((SUM(E43:Z43)+((C43-D43)*B43))&gt;(C43-D43),C43-D43-SUM(E43:Z43),(C43-D43)*B43))</f>
        <v>0</v>
      </c>
      <c r="AB43" s="417">
        <f>IF(AB40&lt;A43,0,IF((SUM(E43:AA43)+((C43-D43)*B43))&gt;(C43-D43),C43-D43-SUM(E43:AA43),(C43-D43)*B43))</f>
        <v>0</v>
      </c>
      <c r="AC43" s="417">
        <f>IF(AC40&lt;A43,0,IF((SUM(E43:AB43)+((C43-D43)*B43))&gt;(C43-D43),C43-D43-SUM(E43:AB43),(C43-D43)*B43))</f>
        <v>0</v>
      </c>
      <c r="AD43" s="417">
        <f>IF(AD40&lt;A43,0,IF((SUM(E43:AC43)+((C43-D43)*B43))&gt;(C43-D43),C43-D43-SUM(E43:AC43),(C43-D43)*B43))</f>
        <v>0</v>
      </c>
      <c r="AE43" s="417">
        <f>IF(AE40&lt;A43,0,IF((SUM(E43:AD43)+((C43-D43)*B43))&gt;(C43-D43),C43-D43-SUM(E43:AD43),(C43-D43)*B43))</f>
        <v>0</v>
      </c>
      <c r="AF43" s="417">
        <f>IF(AF40&lt;A43,0,IF((SUM(E43:AE43)+((C43-D43)*B43))&gt;(C43-D43),C43-D43-SUM(E43:AE43),(C43-D43)*B43))</f>
        <v>0</v>
      </c>
      <c r="AG43" s="417">
        <f>IF(AG40&lt;A43,0,IF((SUM(E43:AF43)+((C43-D43)*B43))&gt;(C43-D43),C43-D43-SUM(E43:AF43),(C43-D43)*B43))</f>
        <v>0</v>
      </c>
      <c r="AH43" s="417">
        <f>IF(AH40&lt;A43,0,IF((SUM(E43:AG43)+((C43-D43)*B43))&gt;(C43-D43),C43-D43-SUM(E43:AG43),(C43-D43)*B43))</f>
        <v>0</v>
      </c>
    </row>
    <row r="44" spans="1:34" s="75" customFormat="1" ht="13.15" customHeight="1" outlineLevel="1" x14ac:dyDescent="0.2">
      <c r="A44" s="416">
        <v>4</v>
      </c>
      <c r="B44" s="374">
        <v>0.2</v>
      </c>
      <c r="C44" s="378">
        <f>SUMIF('14 - Investimentos'!B:B,'15 - Depreciação'!A38,'14 - Investimentos'!H:H)</f>
        <v>293</v>
      </c>
      <c r="D44" s="417">
        <f>C44*B38</f>
        <v>0</v>
      </c>
      <c r="E44" s="417">
        <f>IF(E40&lt;A44,0,(C44-D44)*B44)</f>
        <v>0</v>
      </c>
      <c r="F44" s="417">
        <f>IF(F40&lt;A44,0,IF((SUM(E44:E44)+((C44-D44)*B44))&gt;(C44-D44),C44-D44-SUM(E44:E44),(C44-D44)*B44))</f>
        <v>0</v>
      </c>
      <c r="G44" s="417">
        <f>IF(G40&lt;A44,0,IF((SUM(E44:F44)+((C44-D44)*B44))&gt;(C44-D44),C44-D44-SUM(E44:F44),(C44-D44)*B44))</f>
        <v>0</v>
      </c>
      <c r="H44" s="417">
        <f>IF(H40&lt;A44,0,IF((SUM(E44:G44)+((C44-D44)*B44))&gt;(C44-D44),C44-D44-SUM(E44:G44),(C44-D44)*B44))</f>
        <v>58.6</v>
      </c>
      <c r="I44" s="417">
        <f>IF(I40&lt;A44,0,IF((SUM(E44:H44)+((C44-D44)*B44))&gt;(C44-D44),C44-D44-SUM(E44:H44),(C44-D44)*B44))</f>
        <v>58.6</v>
      </c>
      <c r="J44" s="417">
        <f>IF(J40&lt;A44,0,IF((SUM(E44:I44)+((C44-D44)*B44))&gt;(C44-D44),C44-D44-SUM(E44:I44),(C44-D44)*B44))</f>
        <v>58.6</v>
      </c>
      <c r="K44" s="417">
        <f>IF(K40&lt;A44,0,IF((SUM(E44:J44)+((C44-D44)*B44))&gt;(C44-D44),C44-D44-SUM(E44:J44),(C44-D44)*B44))</f>
        <v>58.6</v>
      </c>
      <c r="L44" s="417">
        <f>IF(L40&lt;A44,0,IF((SUM(E44:K44)+((C44-D44)*B44))&gt;(C44-D44),C44-D44-SUM(E44:K44),(C44-D44)*B44))</f>
        <v>58.6</v>
      </c>
      <c r="M44" s="417">
        <f>IF(M40&lt;A44,0,IF((SUM(E44:L44)+((C44-D44)*B44))&gt;(C44-D44),C44-D44-SUM(E44:L44),(C44-D44)*B44))</f>
        <v>0</v>
      </c>
      <c r="N44" s="417">
        <f>IF(N40&lt;A44,0,IF((SUM(E44:M44)+((C44-D44)*B44))&gt;(C44-D44),C44-D44-SUM(E44:M44),(C44-D44)*B44))</f>
        <v>0</v>
      </c>
      <c r="O44" s="417">
        <f>IF(O40&lt;A44,0,IF((SUM(E44:N44)+((C44-D44)*B44))&gt;(C44-D44),C44-D44-SUM(E44:N44),(C44-D44)*B44))</f>
        <v>0</v>
      </c>
      <c r="P44" s="417">
        <f>IF(P40&lt;A44,0,IF((SUM(E44:O44)+((C44-D44)*B44))&gt;(C44-D44),C44-D44-SUM(E44:O44),(C44-D44)*B44))</f>
        <v>0</v>
      </c>
      <c r="Q44" s="417">
        <f>IF(Q40&lt;A44,0,IF((SUM(E44:P44)+((C44-D44)*B44))&gt;(C44-D44),C44-D44-SUM(E44:P44),(C44-D44)*B44))</f>
        <v>0</v>
      </c>
      <c r="R44" s="417">
        <f>IF(R40&lt;A44,0,IF((SUM(E44:Q44)+((C44-D44)*B44))&gt;(C44-D44),C44-D44-SUM(E44:Q44),(C44-D44)*B44))</f>
        <v>0</v>
      </c>
      <c r="S44" s="417">
        <f>IF(S40&lt;A44,0,IF((SUM(E44:R44)+((C44-D44)*B44))&gt;(C44-D44),C44-D44-SUM(E44:R44),(C44-D44)*B44))</f>
        <v>0</v>
      </c>
      <c r="T44" s="417">
        <f>IF(T40&lt;A44,0,IF((SUM(E44:S44)+((C44-D44)*B44))&gt;(C44-D44),C44-D44-SUM(E44:S44),(C44-D44)*B44))</f>
        <v>0</v>
      </c>
      <c r="U44" s="417">
        <f>IF(U40&lt;A44,0,IF((SUM(E44:T44)+((C44-D44)*B44))&gt;(C44-D44),C44-D44-SUM(E44:T44),(C44-D44)*B44))</f>
        <v>0</v>
      </c>
      <c r="V44" s="417">
        <f>IF(V40&lt;A44,0,IF((SUM(E44:U44)+((C44-D44)*B44))&gt;(C44-D44),C44-D44-SUM(E44:U44),(C44-D44)*B44))</f>
        <v>0</v>
      </c>
      <c r="W44" s="417">
        <f>IF(W40&lt;A44,0,IF((SUM(E44:V44)+((C44-D44)*B44))&gt;(C44-D44),C44-D44-SUM(E44:V44),(C44-D44)*B44))</f>
        <v>0</v>
      </c>
      <c r="X44" s="417">
        <f>IF(X40&lt;A44,0,IF((SUM(E44:W44)+((C44-D44)*B44))&gt;(C44-D44),C44-D44-SUM(E44:W44),(C44-D44)*B44))</f>
        <v>0</v>
      </c>
      <c r="Y44" s="417">
        <f>IF(Y40&lt;A44,0,IF((SUM(E44:X44)+((C44-D44)*B44))&gt;(C44-D44),C44-D44-SUM(E44:X44),(C44-D44)*B44))</f>
        <v>0</v>
      </c>
      <c r="Z44" s="417">
        <f>IF(Z40&lt;A44,0,IF((SUM(E44:Y44)+((C44-D44)*B44))&gt;(C44-D44),C44-D44-SUM(E44:Y44),(C44-D44)*B44))</f>
        <v>0</v>
      </c>
      <c r="AA44" s="417">
        <f>IF(AA40&lt;A44,0,IF((SUM(E44:Z44)+((C44-D44)*B44))&gt;(C44-D44),C44-D44-SUM(E44:Z44),(C44-D44)*B44))</f>
        <v>0</v>
      </c>
      <c r="AB44" s="417">
        <f>IF(AB40&lt;A44,0,IF((SUM(E44:AA44)+((C44-D44)*B44))&gt;(C44-D44),C44-D44-SUM(E44:AA44),(C44-D44)*B44))</f>
        <v>0</v>
      </c>
      <c r="AC44" s="417">
        <f>IF(AC40&lt;A44,0,IF((SUM(E44:AB44)+((C44-D44)*B44))&gt;(C44-D44),C44-D44-SUM(E44:AB44),(C44-D44)*B44))</f>
        <v>0</v>
      </c>
      <c r="AD44" s="417">
        <f>IF(AD40&lt;A44,0,IF((SUM(E44:AC44)+((C44-D44)*B44))&gt;(C44-D44),C44-D44-SUM(E44:AC44),(C44-D44)*B44))</f>
        <v>0</v>
      </c>
      <c r="AE44" s="417">
        <f>IF(AE40&lt;A44,0,IF((SUM(E44:AD44)+((C44-D44)*B44))&gt;(C44-D44),C44-D44-SUM(E44:AD44),(C44-D44)*B44))</f>
        <v>0</v>
      </c>
      <c r="AF44" s="417">
        <f>IF(AF40&lt;A44,0,IF((SUM(E44:AE44)+((C44-D44)*B44))&gt;(C44-D44),C44-D44-SUM(E44:AE44),(C44-D44)*B44))</f>
        <v>0</v>
      </c>
      <c r="AG44" s="417">
        <f>IF(AG40&lt;A44,0,IF((SUM(E44:AF44)+((C44-D44)*B44))&gt;(C44-D44),C44-D44-SUM(E44:AF44),(C44-D44)*B44))</f>
        <v>0</v>
      </c>
      <c r="AH44" s="417">
        <f>IF(AH40&lt;A44,0,IF((SUM(E44:AG44)+((C44-D44)*B44))&gt;(C44-D44),C44-D44-SUM(E44:AG44),(C44-D44)*B44))</f>
        <v>0</v>
      </c>
    </row>
    <row r="45" spans="1:34" s="75" customFormat="1" ht="13.15" customHeight="1" outlineLevel="1" x14ac:dyDescent="0.2">
      <c r="A45" s="416">
        <v>5</v>
      </c>
      <c r="B45" s="374">
        <v>0.2</v>
      </c>
      <c r="C45" s="378">
        <f>SUMIF('14 - Investimentos'!B:B,'15 - Depreciação'!A38,'14 - Investimentos'!I:I)</f>
        <v>651262.96333333338</v>
      </c>
      <c r="D45" s="417">
        <f>C45*B38</f>
        <v>0</v>
      </c>
      <c r="E45" s="417">
        <f>IF(E40&lt;A45,0,(C45-D45)*B45)</f>
        <v>0</v>
      </c>
      <c r="F45" s="417">
        <f>IF(F40&lt;A45,0,IF((SUM(E45:E45)+((C45-D45)*B45))&gt;(C45-D45),C45-D45-SUM(E45:E45),(C45-D45)*B45))</f>
        <v>0</v>
      </c>
      <c r="G45" s="417">
        <f>IF(G40&lt;A45,0,IF((SUM(E45:F45)+((C45-D45)*B45))&gt;(C45-D45),C45-D45-SUM(E45:F45),(C45-D45)*B45))</f>
        <v>0</v>
      </c>
      <c r="H45" s="417">
        <f>IF(H40&lt;A45,0,IF((SUM(E45:G45)+((C45-D45)*B45))&gt;(C45-D45),C45-D45-SUM(E45:G45),(C45-D45)*B45))</f>
        <v>0</v>
      </c>
      <c r="I45" s="417">
        <f>IF(I40&lt;A45,0,IF((SUM(E45:H45)+((C45-D45)*B45))&gt;(C45-D45),C45-D45-SUM(E45:H45),(C45-D45)*B45))</f>
        <v>130252.59266666668</v>
      </c>
      <c r="J45" s="417">
        <f>IF(J40&lt;A45,0,IF((SUM(E45:I45)+((C45-D45)*B45))&gt;(C45-D45),C45-D45-SUM(E45:I45),(C45-D45)*B45))</f>
        <v>130252.59266666668</v>
      </c>
      <c r="K45" s="417">
        <f>IF(K40&lt;A45,0,IF((SUM(E45:J45)+((C45-D45)*B45))&gt;(C45-D45),C45-D45-SUM(E45:J45),(C45-D45)*B45))</f>
        <v>130252.59266666668</v>
      </c>
      <c r="L45" s="417">
        <f>IF(L40&lt;A45,0,IF((SUM(E45:K45)+((C45-D45)*B45))&gt;(C45-D45),C45-D45-SUM(E45:K45),(C45-D45)*B45))</f>
        <v>130252.59266666668</v>
      </c>
      <c r="M45" s="417">
        <f>IF(M40&lt;A45,0,IF((SUM(E45:L45)+((C45-D45)*B45))&gt;(C45-D45),C45-D45-SUM(E45:L45),(C45-D45)*B45))</f>
        <v>130252.59266666668</v>
      </c>
      <c r="N45" s="417">
        <f>IF(N40&lt;A45,0,IF((SUM(E45:M45)+((C45-D45)*B45))&gt;(C45-D45),C45-D45-SUM(E45:M45),(C45-D45)*B45))</f>
        <v>0</v>
      </c>
      <c r="O45" s="417">
        <f>IF(O40&lt;A45,0,IF((SUM(E45:N45)+((C45-D45)*B45))&gt;(C45-D45),C45-D45-SUM(E45:N45),(C45-D45)*B45))</f>
        <v>0</v>
      </c>
      <c r="P45" s="417">
        <f>IF(P40&lt;A45,0,IF((SUM(E45:O45)+((C45-D45)*B45))&gt;(C45-D45),C45-D45-SUM(E45:O45),(C45-D45)*B45))</f>
        <v>0</v>
      </c>
      <c r="Q45" s="417">
        <f>IF(Q40&lt;A45,0,IF((SUM(E45:P45)+((C45-D45)*B45))&gt;(C45-D45),C45-D45-SUM(E45:P45),(C45-D45)*B45))</f>
        <v>0</v>
      </c>
      <c r="R45" s="417">
        <f>IF(R40&lt;A45,0,IF((SUM(E45:Q45)+((C45-D45)*B45))&gt;(C45-D45),C45-D45-SUM(E45:Q45),(C45-D45)*B45))</f>
        <v>0</v>
      </c>
      <c r="S45" s="417">
        <f>IF(S40&lt;A45,0,IF((SUM(E45:R45)+((C45-D45)*B45))&gt;(C45-D45),C45-D45-SUM(E45:R45),(C45-D45)*B45))</f>
        <v>0</v>
      </c>
      <c r="T45" s="417">
        <f>IF(T40&lt;A45,0,IF((SUM(E45:S45)+((C45-D45)*B45))&gt;(C45-D45),C45-D45-SUM(E45:S45),(C45-D45)*B45))</f>
        <v>0</v>
      </c>
      <c r="U45" s="417">
        <f>IF(U40&lt;A45,0,IF((SUM(E45:T45)+((C45-D45)*B45))&gt;(C45-D45),C45-D45-SUM(E45:T45),(C45-D45)*B45))</f>
        <v>0</v>
      </c>
      <c r="V45" s="417">
        <f>IF(V40&lt;A45,0,IF((SUM(E45:U45)+((C45-D45)*B45))&gt;(C45-D45),C45-D45-SUM(E45:U45),(C45-D45)*B45))</f>
        <v>0</v>
      </c>
      <c r="W45" s="417">
        <f>IF(W40&lt;A45,0,IF((SUM(E45:V45)+((C45-D45)*B45))&gt;(C45-D45),C45-D45-SUM(E45:V45),(C45-D45)*B45))</f>
        <v>0</v>
      </c>
      <c r="X45" s="417">
        <f>IF(X40&lt;A45,0,IF((SUM(E45:W45)+((C45-D45)*B45))&gt;(C45-D45),C45-D45-SUM(E45:W45),(C45-D45)*B45))</f>
        <v>0</v>
      </c>
      <c r="Y45" s="417">
        <f>IF(Y40&lt;A45,0,IF((SUM(E45:X45)+((C45-D45)*B45))&gt;(C45-D45),C45-D45-SUM(E45:X45),(C45-D45)*B45))</f>
        <v>0</v>
      </c>
      <c r="Z45" s="417">
        <f>IF(Z40&lt;A45,0,IF((SUM(E45:Y45)+((C45-D45)*B45))&gt;(C45-D45),C45-D45-SUM(E45:Y45),(C45-D45)*B45))</f>
        <v>0</v>
      </c>
      <c r="AA45" s="417">
        <f>IF(AA40&lt;A45,0,IF((SUM(E45:Z45)+((C45-D45)*B45))&gt;(C45-D45),C45-D45-SUM(E45:Z45),(C45-D45)*B45))</f>
        <v>0</v>
      </c>
      <c r="AB45" s="417">
        <f>IF(AB40&lt;A45,0,IF((SUM(E45:AA45)+((C45-D45)*B45))&gt;(C45-D45),C45-D45-SUM(E45:AA45),(C45-D45)*B45))</f>
        <v>0</v>
      </c>
      <c r="AC45" s="417">
        <f>IF(AC40&lt;A45,0,IF((SUM(E45:AB45)+((C45-D45)*B45))&gt;(C45-D45),C45-D45-SUM(E45:AB45),(C45-D45)*B45))</f>
        <v>0</v>
      </c>
      <c r="AD45" s="417">
        <f>IF(AD40&lt;A45,0,IF((SUM(E45:AC45)+((C45-D45)*B45))&gt;(C45-D45),C45-D45-SUM(E45:AC45),(C45-D45)*B45))</f>
        <v>0</v>
      </c>
      <c r="AE45" s="417">
        <f>IF(AE40&lt;A45,0,IF((SUM(E45:AD45)+((C45-D45)*B45))&gt;(C45-D45),C45-D45-SUM(E45:AD45),(C45-D45)*B45))</f>
        <v>0</v>
      </c>
      <c r="AF45" s="417">
        <f>IF(AF40&lt;A45,0,IF((SUM(E45:AE45)+((C45-D45)*B45))&gt;(C45-D45),C45-D45-SUM(E45:AE45),(C45-D45)*B45))</f>
        <v>0</v>
      </c>
      <c r="AG45" s="417">
        <f>IF(AG40&lt;A45,0,IF((SUM(E45:AF45)+((C45-D45)*B45))&gt;(C45-D45),C45-D45-SUM(E45:AF45),(C45-D45)*B45))</f>
        <v>0</v>
      </c>
      <c r="AH45" s="417">
        <f>IF(AH40&lt;A45,0,IF((SUM(E45:AG45)+((C45-D45)*B45))&gt;(C45-D45),C45-D45-SUM(E45:AG45),(C45-D45)*B45))</f>
        <v>0</v>
      </c>
    </row>
    <row r="46" spans="1:34" s="75" customFormat="1" ht="13.15" customHeight="1" outlineLevel="1" x14ac:dyDescent="0.2">
      <c r="A46" s="416">
        <v>6</v>
      </c>
      <c r="B46" s="374">
        <v>0.2</v>
      </c>
      <c r="C46" s="378">
        <f>SUMIF('14 - Investimentos'!B:B,'15 - Depreciação'!A38,'14 - Investimentos'!J:J)</f>
        <v>1302898.1866666668</v>
      </c>
      <c r="D46" s="417">
        <f>C46*B38</f>
        <v>0</v>
      </c>
      <c r="E46" s="417">
        <f>IF(E40&lt;A46,0,(C46-D46)*B46)</f>
        <v>0</v>
      </c>
      <c r="F46" s="417">
        <f>IF(F40&lt;A46,0,IF((SUM(E46:E46)+((C46-D46)*B46))&gt;(C46-D46),C46-D46-SUM(E46:E46),(C46-D46)*B46))</f>
        <v>0</v>
      </c>
      <c r="G46" s="417">
        <f>IF(G40&lt;A46,0,IF((SUM(E46:F46)+((C46-D46)*B46))&gt;(C46-D46),C46-D46-SUM(E46:F46),(C46-D46)*B46))</f>
        <v>0</v>
      </c>
      <c r="H46" s="417">
        <f>IF(H40&lt;A46,0,IF((SUM(E46:G46)+((C46-D46)*B46))&gt;(C46-D46),C46-D46-SUM(E46:G46),(C46-D46)*B46))</f>
        <v>0</v>
      </c>
      <c r="I46" s="417">
        <f>IF(I40&lt;A46,0,IF((SUM(E46:H46)+((C46-D46)*B46))&gt;(C46-D46),C46-D46-SUM(E46:H46),(C46-D46)*B46))</f>
        <v>0</v>
      </c>
      <c r="J46" s="417">
        <f>IF(J40&lt;A46,0,IF((SUM(E46:I46)+((C46-D46)*B46))&gt;(C46-D46),C46-D46-SUM(E46:I46),(C46-D46)*B46))</f>
        <v>260579.63733333338</v>
      </c>
      <c r="K46" s="417">
        <f>IF(K40&lt;A46,0,IF((SUM(E46:J46)+((C46-D46)*B46))&gt;(C46-D46),C46-D46-SUM(E46:J46),(C46-D46)*B46))</f>
        <v>260579.63733333338</v>
      </c>
      <c r="L46" s="417">
        <f>IF(L40&lt;A46,0,IF((SUM(E46:K46)+((C46-D46)*B46))&gt;(C46-D46),C46-D46-SUM(E46:K46),(C46-D46)*B46))</f>
        <v>260579.63733333338</v>
      </c>
      <c r="M46" s="417">
        <f>IF(M40&lt;A46,0,IF((SUM(E46:L46)+((C46-D46)*B46))&gt;(C46-D46),C46-D46-SUM(E46:L46),(C46-D46)*B46))</f>
        <v>260579.63733333338</v>
      </c>
      <c r="N46" s="417">
        <f>IF(N40&lt;A46,0,IF((SUM(E46:M46)+((C46-D46)*B46))&gt;(C46-D46),C46-D46-SUM(E46:M46),(C46-D46)*B46))</f>
        <v>260579.63733333338</v>
      </c>
      <c r="O46" s="417">
        <f>IF(O40&lt;A46,0,IF((SUM(E46:N46)+((C46-D46)*B46))&gt;(C46-D46),C46-D46-SUM(E46:N46),(C46-D46)*B46))</f>
        <v>-2.3283064365386963E-10</v>
      </c>
      <c r="P46" s="417">
        <f>IF(P40&lt;A46,0,IF((SUM(E46:O46)+((C46-D46)*B46))&gt;(C46-D46),C46-D46-SUM(E46:O46),(C46-D46)*B46))</f>
        <v>0</v>
      </c>
      <c r="Q46" s="417">
        <f>IF(Q40&lt;A46,0,IF((SUM(E46:P46)+((C46-D46)*B46))&gt;(C46-D46),C46-D46-SUM(E46:P46),(C46-D46)*B46))</f>
        <v>0</v>
      </c>
      <c r="R46" s="417">
        <f>IF(R40&lt;A46,0,IF((SUM(E46:Q46)+((C46-D46)*B46))&gt;(C46-D46),C46-D46-SUM(E46:Q46),(C46-D46)*B46))</f>
        <v>0</v>
      </c>
      <c r="S46" s="417">
        <f>IF(S40&lt;A46,0,IF((SUM(E46:R46)+((C46-D46)*B46))&gt;(C46-D46),C46-D46-SUM(E46:R46),(C46-D46)*B46))</f>
        <v>0</v>
      </c>
      <c r="T46" s="417">
        <f>IF(T40&lt;A46,0,IF((SUM(E46:S46)+((C46-D46)*B46))&gt;(C46-D46),C46-D46-SUM(E46:S46),(C46-D46)*B46))</f>
        <v>0</v>
      </c>
      <c r="U46" s="417">
        <f>IF(U40&lt;A46,0,IF((SUM(E46:T46)+((C46-D46)*B46))&gt;(C46-D46),C46-D46-SUM(E46:T46),(C46-D46)*B46))</f>
        <v>0</v>
      </c>
      <c r="V46" s="417">
        <f>IF(V40&lt;A46,0,IF((SUM(E46:U46)+((C46-D46)*B46))&gt;(C46-D46),C46-D46-SUM(E46:U46),(C46-D46)*B46))</f>
        <v>0</v>
      </c>
      <c r="W46" s="417">
        <f>IF(W40&lt;A46,0,IF((SUM(E46:V46)+((C46-D46)*B46))&gt;(C46-D46),C46-D46-SUM(E46:V46),(C46-D46)*B46))</f>
        <v>0</v>
      </c>
      <c r="X46" s="417">
        <f>IF(X40&lt;A46,0,IF((SUM(E46:W46)+((C46-D46)*B46))&gt;(C46-D46),C46-D46-SUM(E46:W46),(C46-D46)*B46))</f>
        <v>0</v>
      </c>
      <c r="Y46" s="417">
        <f>IF(Y40&lt;A46,0,IF((SUM(E46:X46)+((C46-D46)*B46))&gt;(C46-D46),C46-D46-SUM(E46:X46),(C46-D46)*B46))</f>
        <v>0</v>
      </c>
      <c r="Z46" s="417">
        <f>IF(Z40&lt;A46,0,IF((SUM(E46:Y46)+((C46-D46)*B46))&gt;(C46-D46),C46-D46-SUM(E46:Y46),(C46-D46)*B46))</f>
        <v>0</v>
      </c>
      <c r="AA46" s="417">
        <f>IF(AA40&lt;A46,0,IF((SUM(E46:Z46)+((C46-D46)*B46))&gt;(C46-D46),C46-D46-SUM(E46:Z46),(C46-D46)*B46))</f>
        <v>0</v>
      </c>
      <c r="AB46" s="417">
        <f>IF(AB40&lt;A46,0,IF((SUM(E46:AA46)+((C46-D46)*B46))&gt;(C46-D46),C46-D46-SUM(E46:AA46),(C46-D46)*B46))</f>
        <v>0</v>
      </c>
      <c r="AC46" s="417">
        <f>IF(AC40&lt;A46,0,IF((SUM(E46:AB46)+((C46-D46)*B46))&gt;(C46-D46),C46-D46-SUM(E46:AB46),(C46-D46)*B46))</f>
        <v>0</v>
      </c>
      <c r="AD46" s="417">
        <f>IF(AD40&lt;A46,0,IF((SUM(E46:AC46)+((C46-D46)*B46))&gt;(C46-D46),C46-D46-SUM(E46:AC46),(C46-D46)*B46))</f>
        <v>0</v>
      </c>
      <c r="AE46" s="417">
        <f>IF(AE40&lt;A46,0,IF((SUM(E46:AD46)+((C46-D46)*B46))&gt;(C46-D46),C46-D46-SUM(E46:AD46),(C46-D46)*B46))</f>
        <v>0</v>
      </c>
      <c r="AF46" s="417">
        <f>IF(AF40&lt;A46,0,IF((SUM(E46:AE46)+((C46-D46)*B46))&gt;(C46-D46),C46-D46-SUM(E46:AE46),(C46-D46)*B46))</f>
        <v>0</v>
      </c>
      <c r="AG46" s="417">
        <f>IF(AG40&lt;A46,0,IF((SUM(E46:AF46)+((C46-D46)*B46))&gt;(C46-D46),C46-D46-SUM(E46:AF46),(C46-D46)*B46))</f>
        <v>0</v>
      </c>
      <c r="AH46" s="417">
        <f>IF(AH40&lt;A46,0,IF((SUM(E46:AG46)+((C46-D46)*B46))&gt;(C46-D46),C46-D46-SUM(E46:AG46),(C46-D46)*B46))</f>
        <v>0</v>
      </c>
    </row>
    <row r="47" spans="1:34" s="75" customFormat="1" ht="13.15" customHeight="1" outlineLevel="1" x14ac:dyDescent="0.2">
      <c r="A47" s="416">
        <v>7</v>
      </c>
      <c r="B47" s="374">
        <v>0.2</v>
      </c>
      <c r="C47" s="378">
        <f>SUMIF('14 - Investimentos'!B:B,'15 - Depreciação'!A38,'14 - Investimentos'!K:K)</f>
        <v>204570.96333333332</v>
      </c>
      <c r="D47" s="417">
        <f>C47*B38</f>
        <v>0</v>
      </c>
      <c r="E47" s="417">
        <f>IF(E40&lt;A47,0,(C47-D47)*B47)</f>
        <v>0</v>
      </c>
      <c r="F47" s="417">
        <f>IF(F40&lt;A47,0,IF((SUM(E47:E47)+((C47-D47)*B47))&gt;(C47-D47),C47-D47-SUM(E47:E47),(C47-D47)*B47))</f>
        <v>0</v>
      </c>
      <c r="G47" s="417">
        <f>IF(G40&lt;A47,0,IF((SUM(E47:F47)+((C47-D47)*B47))&gt;(C47-D47),C47-D47-SUM(E47:F47),(C47-D47)*B47))</f>
        <v>0</v>
      </c>
      <c r="H47" s="417">
        <f>IF(H40&lt;A47,0,IF((SUM(E47:G47)+((C47-D47)*B47))&gt;(C47-D47),C47-D47-SUM(E47:G47),(C47-D47)*B47))</f>
        <v>0</v>
      </c>
      <c r="I47" s="417">
        <f>IF(I40&lt;A47,0,IF((SUM(E47:H47)+((C47-D47)*B47))&gt;(C47-D47),C47-D47-SUM(E47:H47),(C47-D47)*B47))</f>
        <v>0</v>
      </c>
      <c r="J47" s="417">
        <f>IF(J40&lt;A47,0,IF((SUM(E47:I47)+((C47-D47)*B47))&gt;(C47-D47),C47-D47-SUM(E47:I47),(C47-D47)*B47))</f>
        <v>0</v>
      </c>
      <c r="K47" s="417">
        <f>IF(K40&lt;A47,0,IF((SUM(E47:J47)+((C47-D47)*B47))&gt;(C47-D47),C47-D47-SUM(E47:J47),(C47-D47)*B47))</f>
        <v>40914.19266666667</v>
      </c>
      <c r="L47" s="417">
        <f>IF(L40&lt;A47,0,IF((SUM(E47:K47)+((C47-D47)*B47))&gt;(C47-D47),C47-D47-SUM(E47:K47),(C47-D47)*B47))</f>
        <v>40914.19266666667</v>
      </c>
      <c r="M47" s="417">
        <f>IF(M40&lt;A47,0,IF((SUM(E47:L47)+((C47-D47)*B47))&gt;(C47-D47),C47-D47-SUM(E47:L47),(C47-D47)*B47))</f>
        <v>40914.19266666667</v>
      </c>
      <c r="N47" s="417">
        <f>IF(N40&lt;A47,0,IF((SUM(E47:M47)+((C47-D47)*B47))&gt;(C47-D47),C47-D47-SUM(E47:M47),(C47-D47)*B47))</f>
        <v>40914.19266666667</v>
      </c>
      <c r="O47" s="417">
        <f>IF(O40&lt;A47,0,IF((SUM(E47:N47)+((C47-D47)*B47))&gt;(C47-D47),C47-D47-SUM(E47:N47),(C47-D47)*B47))</f>
        <v>40914.19266666667</v>
      </c>
      <c r="P47" s="417">
        <f>IF(P40&lt;A47,0,IF((SUM(E47:O47)+((C47-D47)*B47))&gt;(C47-D47),C47-D47-SUM(E47:O47),(C47-D47)*B47))</f>
        <v>-2.9103830456733704E-11</v>
      </c>
      <c r="Q47" s="417">
        <f>IF(Q40&lt;A47,0,IF((SUM(E47:P47)+((C47-D47)*B47))&gt;(C47-D47),C47-D47-SUM(E47:P47),(C47-D47)*B47))</f>
        <v>0</v>
      </c>
      <c r="R47" s="417">
        <f>IF(R40&lt;A47,0,IF((SUM(E47:Q47)+((C47-D47)*B47))&gt;(C47-D47),C47-D47-SUM(E47:Q47),(C47-D47)*B47))</f>
        <v>0</v>
      </c>
      <c r="S47" s="417">
        <f>IF(S40&lt;A47,0,IF((SUM(E47:R47)+((C47-D47)*B47))&gt;(C47-D47),C47-D47-SUM(E47:R47),(C47-D47)*B47))</f>
        <v>0</v>
      </c>
      <c r="T47" s="417">
        <f>IF(T40&lt;A47,0,IF((SUM(E47:S47)+((C47-D47)*B47))&gt;(C47-D47),C47-D47-SUM(E47:S47),(C47-D47)*B47))</f>
        <v>0</v>
      </c>
      <c r="U47" s="417">
        <f>IF(U40&lt;A47,0,IF((SUM(E47:T47)+((C47-D47)*B47))&gt;(C47-D47),C47-D47-SUM(E47:T47),(C47-D47)*B47))</f>
        <v>0</v>
      </c>
      <c r="V47" s="417">
        <f>IF(V40&lt;A47,0,IF((SUM(E47:U47)+((C47-D47)*B47))&gt;(C47-D47),C47-D47-SUM(E47:U47),(C47-D47)*B47))</f>
        <v>0</v>
      </c>
      <c r="W47" s="417">
        <f>IF(W40&lt;A47,0,IF((SUM(E47:V47)+((C47-D47)*B47))&gt;(C47-D47),C47-D47-SUM(E47:V47),(C47-D47)*B47))</f>
        <v>0</v>
      </c>
      <c r="X47" s="417">
        <f>IF(X40&lt;A47,0,IF((SUM(E47:W47)+((C47-D47)*B47))&gt;(C47-D47),C47-D47-SUM(E47:W47),(C47-D47)*B47))</f>
        <v>0</v>
      </c>
      <c r="Y47" s="417">
        <f>IF(Y40&lt;A47,0,IF((SUM(E47:X47)+((C47-D47)*B47))&gt;(C47-D47),C47-D47-SUM(E47:X47),(C47-D47)*B47))</f>
        <v>0</v>
      </c>
      <c r="Z47" s="417">
        <f>IF(Z40&lt;A47,0,IF((SUM(E47:Y47)+((C47-D47)*B47))&gt;(C47-D47),C47-D47-SUM(E47:Y47),(C47-D47)*B47))</f>
        <v>0</v>
      </c>
      <c r="AA47" s="417">
        <f>IF(AA40&lt;A47,0,IF((SUM(E47:Z47)+((C47-D47)*B47))&gt;(C47-D47),C47-D47-SUM(E47:Z47),(C47-D47)*B47))</f>
        <v>0</v>
      </c>
      <c r="AB47" s="417">
        <f>IF(AB40&lt;A47,0,IF((SUM(E47:AA47)+((C47-D47)*B47))&gt;(C47-D47),C47-D47-SUM(E47:AA47),(C47-D47)*B47))</f>
        <v>0</v>
      </c>
      <c r="AC47" s="417">
        <f>IF(AC40&lt;A47,0,IF((SUM(E47:AB47)+((C47-D47)*B47))&gt;(C47-D47),C47-D47-SUM(E47:AB47),(C47-D47)*B47))</f>
        <v>0</v>
      </c>
      <c r="AD47" s="417">
        <f>IF(AD40&lt;A47,0,IF((SUM(E47:AC47)+((C47-D47)*B47))&gt;(C47-D47),C47-D47-SUM(E47:AC47),(C47-D47)*B47))</f>
        <v>0</v>
      </c>
      <c r="AE47" s="417">
        <f>IF(AE40&lt;A47,0,IF((SUM(E47:AD47)+((C47-D47)*B47))&gt;(C47-D47),C47-D47-SUM(E47:AD47),(C47-D47)*B47))</f>
        <v>0</v>
      </c>
      <c r="AF47" s="417">
        <f>IF(AF40&lt;A47,0,IF((SUM(E47:AE47)+((C47-D47)*B47))&gt;(C47-D47),C47-D47-SUM(E47:AE47),(C47-D47)*B47))</f>
        <v>0</v>
      </c>
      <c r="AG47" s="417">
        <f>IF(AG40&lt;A47,0,IF((SUM(E47:AF47)+((C47-D47)*B47))&gt;(C47-D47),C47-D47-SUM(E47:AF47),(C47-D47)*B47))</f>
        <v>0</v>
      </c>
      <c r="AH47" s="417">
        <f>IF(AH40&lt;A47,0,IF((SUM(E47:AG47)+((C47-D47)*B47))&gt;(C47-D47),C47-D47-SUM(E47:AG47),(C47-D47)*B47))</f>
        <v>0</v>
      </c>
    </row>
    <row r="48" spans="1:34" s="75" customFormat="1" ht="13.15" customHeight="1" outlineLevel="1" x14ac:dyDescent="0.2">
      <c r="A48" s="416">
        <v>8</v>
      </c>
      <c r="B48" s="374">
        <v>0.2</v>
      </c>
      <c r="C48" s="378">
        <f>SUMIF('14 - Investimentos'!B:B,'15 - Depreciação'!A38,'14 - Investimentos'!L:L)</f>
        <v>1437292.7466666668</v>
      </c>
      <c r="D48" s="417">
        <f>C48*B38</f>
        <v>0</v>
      </c>
      <c r="E48" s="417">
        <f>IF(E40&lt;A48,0,(C48-D48)*B48)</f>
        <v>0</v>
      </c>
      <c r="F48" s="417">
        <f>IF(F40&lt;A48,0,IF((SUM(E48:E48)+((C48-D48)*B48))&gt;(C48-D48),C48-D48-SUM(E48:E48),(C48-D48)*B48))</f>
        <v>0</v>
      </c>
      <c r="G48" s="417">
        <f>IF(G40&lt;A48,0,IF((SUM(E48:F48)+((C48-D48)*B48))&gt;(C48-D48),C48-D48-SUM(E48:F48),(C48-D48)*B48))</f>
        <v>0</v>
      </c>
      <c r="H48" s="417">
        <f>IF(H40&lt;A48,0,IF((SUM(E48:G48)+((C48-D48)*B48))&gt;(C48-D48),C48-D48-SUM(E48:G48),(C48-D48)*B48))</f>
        <v>0</v>
      </c>
      <c r="I48" s="417">
        <f>IF(I40&lt;A48,0,IF((SUM(E48:H48)+((C48-D48)*B48))&gt;(C48-D48),C48-D48-SUM(E48:H48),(C48-D48)*B48))</f>
        <v>0</v>
      </c>
      <c r="J48" s="417">
        <f>IF(J40&lt;A48,0,IF((SUM(E48:I48)+((C48-D48)*B48))&gt;(C48-D48),C48-D48-SUM(E48:I48),(C48-D48)*B48))</f>
        <v>0</v>
      </c>
      <c r="K48" s="417">
        <f>IF(K40&lt;A48,0,IF((SUM(E48:J48)+((C48-D48)*B48))&gt;(C48-D48),C48-D48-SUM(E48:J48),(C48-D48)*B48))</f>
        <v>0</v>
      </c>
      <c r="L48" s="417">
        <f>IF(L40&lt;A48,0,IF((SUM(E48:K48)+((C48-D48)*B48))&gt;(C48-D48),C48-D48-SUM(E48:K48),(C48-D48)*B48))</f>
        <v>287458.54933333339</v>
      </c>
      <c r="M48" s="417">
        <f>IF(M40&lt;A48,0,IF((SUM(E48:L48)+((C48-D48)*B48))&gt;(C48-D48),C48-D48-SUM(E48:L48),(C48-D48)*B48))</f>
        <v>287458.54933333339</v>
      </c>
      <c r="N48" s="417">
        <f>IF(N40&lt;A48,0,IF((SUM(E48:M48)+((C48-D48)*B48))&gt;(C48-D48),C48-D48-SUM(E48:M48),(C48-D48)*B48))</f>
        <v>287458.54933333339</v>
      </c>
      <c r="O48" s="417">
        <f>IF(O40&lt;A48,0,IF((SUM(E48:N48)+((C48-D48)*B48))&gt;(C48-D48),C48-D48-SUM(E48:N48),(C48-D48)*B48))</f>
        <v>287458.54933333339</v>
      </c>
      <c r="P48" s="417">
        <f>IF(P40&lt;A48,0,IF((SUM(E48:O48)+((C48-D48)*B48))&gt;(C48-D48),C48-D48-SUM(E48:O48),(C48-D48)*B48))</f>
        <v>287458.54933333339</v>
      </c>
      <c r="Q48" s="417">
        <f>IF(Q40&lt;A48,0,IF((SUM(E48:P48)+((C48-D48)*B48))&gt;(C48-D48),C48-D48-SUM(E48:P48),(C48-D48)*B48))</f>
        <v>-2.3283064365386963E-10</v>
      </c>
      <c r="R48" s="417">
        <f>IF(R40&lt;A48,0,IF((SUM(E48:Q48)+((C48-D48)*B48))&gt;(C48-D48),C48-D48-SUM(E48:Q48),(C48-D48)*B48))</f>
        <v>0</v>
      </c>
      <c r="S48" s="417">
        <f>IF(S40&lt;A48,0,IF((SUM(E48:R48)+((C48-D48)*B48))&gt;(C48-D48),C48-D48-SUM(E48:R48),(C48-D48)*B48))</f>
        <v>0</v>
      </c>
      <c r="T48" s="417">
        <f>IF(T40&lt;A48,0,IF((SUM(E48:S48)+((C48-D48)*B48))&gt;(C48-D48),C48-D48-SUM(E48:S48),(C48-D48)*B48))</f>
        <v>0</v>
      </c>
      <c r="U48" s="417">
        <f>IF(U40&lt;A48,0,IF((SUM(E48:T48)+((C48-D48)*B48))&gt;(C48-D48),C48-D48-SUM(E48:T48),(C48-D48)*B48))</f>
        <v>0</v>
      </c>
      <c r="V48" s="417">
        <f>IF(V40&lt;A48,0,IF((SUM(E48:U48)+((C48-D48)*B48))&gt;(C48-D48),C48-D48-SUM(E48:U48),(C48-D48)*B48))</f>
        <v>0</v>
      </c>
      <c r="W48" s="417">
        <f>IF(W40&lt;A48,0,IF((SUM(E48:V48)+((C48-D48)*B48))&gt;(C48-D48),C48-D48-SUM(E48:V48),(C48-D48)*B48))</f>
        <v>0</v>
      </c>
      <c r="X48" s="417">
        <f>IF(X40&lt;A48,0,IF((SUM(E48:W48)+((C48-D48)*B48))&gt;(C48-D48),C48-D48-SUM(E48:W48),(C48-D48)*B48))</f>
        <v>0</v>
      </c>
      <c r="Y48" s="417">
        <f>IF(Y40&lt;A48,0,IF((SUM(E48:X48)+((C48-D48)*B48))&gt;(C48-D48),C48-D48-SUM(E48:X48),(C48-D48)*B48))</f>
        <v>0</v>
      </c>
      <c r="Z48" s="417">
        <f>IF(Z40&lt;A48,0,IF((SUM(E48:Y48)+((C48-D48)*B48))&gt;(C48-D48),C48-D48-SUM(E48:Y48),(C48-D48)*B48))</f>
        <v>0</v>
      </c>
      <c r="AA48" s="417">
        <f>IF(AA40&lt;A48,0,IF((SUM(E48:Z48)+((C48-D48)*B48))&gt;(C48-D48),C48-D48-SUM(E48:Z48),(C48-D48)*B48))</f>
        <v>0</v>
      </c>
      <c r="AB48" s="417">
        <f>IF(AB40&lt;A48,0,IF((SUM(E48:AA48)+((C48-D48)*B48))&gt;(C48-D48),C48-D48-SUM(E48:AA48),(C48-D48)*B48))</f>
        <v>0</v>
      </c>
      <c r="AC48" s="417">
        <f>IF(AC40&lt;A48,0,IF((SUM(E48:AB48)+((C48-D48)*B48))&gt;(C48-D48),C48-D48-SUM(E48:AB48),(C48-D48)*B48))</f>
        <v>0</v>
      </c>
      <c r="AD48" s="417">
        <f>IF(AD40&lt;A48,0,IF((SUM(E48:AC48)+((C48-D48)*B48))&gt;(C48-D48),C48-D48-SUM(E48:AC48),(C48-D48)*B48))</f>
        <v>0</v>
      </c>
      <c r="AE48" s="417">
        <f>IF(AE40&lt;A48,0,IF((SUM(E48:AD48)+((C48-D48)*B48))&gt;(C48-D48),C48-D48-SUM(E48:AD48),(C48-D48)*B48))</f>
        <v>0</v>
      </c>
      <c r="AF48" s="417">
        <f>IF(AF40&lt;A48,0,IF((SUM(E48:AE48)+((C48-D48)*B48))&gt;(C48-D48),C48-D48-SUM(E48:AE48),(C48-D48)*B48))</f>
        <v>0</v>
      </c>
      <c r="AG48" s="417">
        <f>IF(AG40&lt;A48,0,IF((SUM(E48:AF48)+((C48-D48)*B48))&gt;(C48-D48),C48-D48-SUM(E48:AF48),(C48-D48)*B48))</f>
        <v>0</v>
      </c>
      <c r="AH48" s="417">
        <f>IF(AH40&lt;A48,0,IF((SUM(E48:AG48)+((C48-D48)*B48))&gt;(C48-D48),C48-D48-SUM(E48:AG48),(C48-D48)*B48))</f>
        <v>0</v>
      </c>
    </row>
    <row r="49" spans="1:34" s="75" customFormat="1" ht="13.15" customHeight="1" outlineLevel="1" x14ac:dyDescent="0.2">
      <c r="A49" s="416">
        <v>9</v>
      </c>
      <c r="B49" s="374">
        <v>0.2</v>
      </c>
      <c r="C49" s="378">
        <f>SUMIF('14 - Investimentos'!B:B,'15 - Depreciação'!A38,'14 - Investimentos'!M:M)</f>
        <v>14064</v>
      </c>
      <c r="D49" s="417">
        <f>C49*B38</f>
        <v>0</v>
      </c>
      <c r="E49" s="417">
        <f>IF(E40&lt;A49,0,(C49-D49)*B49)</f>
        <v>0</v>
      </c>
      <c r="F49" s="417">
        <f>IF(F40&lt;A49,0,IF((SUM(E49:E49)+((C49-D49)*B49))&gt;(C49-D49),C49-D49-SUM(E49:E49),(C49-D49)*B49))</f>
        <v>0</v>
      </c>
      <c r="G49" s="417">
        <f>IF(G40&lt;A49,0,IF((SUM(E49:F49)+((C49-D49)*B49))&gt;(C49-D49),C49-D49-SUM(E49:F49),(C49-D49)*B49))</f>
        <v>0</v>
      </c>
      <c r="H49" s="417">
        <f>IF(H40&lt;A49,0,IF((SUM(E49:G49)+((C49-D49)*B49))&gt;(C49-D49),C49-D49-SUM(E49:G49),(C49-D49)*B49))</f>
        <v>0</v>
      </c>
      <c r="I49" s="417">
        <f>IF(I40&lt;A49,0,IF((SUM(E49:H49)+((C49-D49)*B49))&gt;(C49-D49),C49-D49-SUM(E49:H49),(C49-D49)*B49))</f>
        <v>0</v>
      </c>
      <c r="J49" s="417">
        <f>IF(J40&lt;A49,0,IF((SUM(E49:I49)+((C49-D49)*B49))&gt;(C49-D49),C49-D49-SUM(E49:I49),(C49-D49)*B49))</f>
        <v>0</v>
      </c>
      <c r="K49" s="417">
        <f>IF(K40&lt;A49,0,IF((SUM(E49:J49)+((C49-D49)*B49))&gt;(C49-D49),C49-D49-SUM(E49:J49),(C49-D49)*B49))</f>
        <v>0</v>
      </c>
      <c r="L49" s="417">
        <f>IF(L40&lt;A49,0,IF((SUM(E49:K49)+((C49-D49)*B49))&gt;(C49-D49),C49-D49-SUM(E49:K49),(C49-D49)*B49))</f>
        <v>0</v>
      </c>
      <c r="M49" s="417">
        <f>IF(M40&lt;A49,0,IF((SUM(E49:L49)+((C49-D49)*B49))&gt;(C49-D49),C49-D49-SUM(E49:L49),(C49-D49)*B49))</f>
        <v>2812.8</v>
      </c>
      <c r="N49" s="417">
        <f>IF(N40&lt;A49,0,IF((SUM(E49:M49)+((C49-D49)*B49))&gt;(C49-D49),C49-D49-SUM(E49:M49),(C49-D49)*B49))</f>
        <v>2812.8</v>
      </c>
      <c r="O49" s="417">
        <f>IF(O40&lt;A49,0,IF((SUM(E49:N49)+((C49-D49)*B49))&gt;(C49-D49),C49-D49-SUM(E49:N49),(C49-D49)*B49))</f>
        <v>2812.8</v>
      </c>
      <c r="P49" s="417">
        <f>IF(P40&lt;A49,0,IF((SUM(E49:O49)+((C49-D49)*B49))&gt;(C49-D49),C49-D49-SUM(E49:O49),(C49-D49)*B49))</f>
        <v>2812.8</v>
      </c>
      <c r="Q49" s="417">
        <f>IF(Q40&lt;A49,0,IF((SUM(E49:P49)+((C49-D49)*B49))&gt;(C49-D49),C49-D49-SUM(E49:P49),(C49-D49)*B49))</f>
        <v>2812.8</v>
      </c>
      <c r="R49" s="417">
        <f>IF(R40&lt;A49,0,IF((SUM(E49:Q49)+((C49-D49)*B49))&gt;(C49-D49),C49-D49-SUM(E49:Q49),(C49-D49)*B49))</f>
        <v>0</v>
      </c>
      <c r="S49" s="417">
        <f>IF(S40&lt;A49,0,IF((SUM(E49:R49)+((C49-D49)*B49))&gt;(C49-D49),C49-D49-SUM(E49:R49),(C49-D49)*B49))</f>
        <v>0</v>
      </c>
      <c r="T49" s="417">
        <f>IF(T40&lt;A49,0,IF((SUM(E49:S49)+((C49-D49)*B49))&gt;(C49-D49),C49-D49-SUM(E49:S49),(C49-D49)*B49))</f>
        <v>0</v>
      </c>
      <c r="U49" s="417">
        <f>IF(U40&lt;A49,0,IF((SUM(E49:T49)+((C49-D49)*B49))&gt;(C49-D49),C49-D49-SUM(E49:T49),(C49-D49)*B49))</f>
        <v>0</v>
      </c>
      <c r="V49" s="417">
        <f>IF(V40&lt;A49,0,IF((SUM(E49:U49)+((C49-D49)*B49))&gt;(C49-D49),C49-D49-SUM(E49:U49),(C49-D49)*B49))</f>
        <v>0</v>
      </c>
      <c r="W49" s="417">
        <f>IF(W40&lt;A49,0,IF((SUM(E49:V49)+((C49-D49)*B49))&gt;(C49-D49),C49-D49-SUM(E49:V49),(C49-D49)*B49))</f>
        <v>0</v>
      </c>
      <c r="X49" s="417">
        <f>IF(X40&lt;A49,0,IF((SUM(E49:W49)+((C49-D49)*B49))&gt;(C49-D49),C49-D49-SUM(E49:W49),(C49-D49)*B49))</f>
        <v>0</v>
      </c>
      <c r="Y49" s="417">
        <f>IF(Y40&lt;A49,0,IF((SUM(E49:X49)+((C49-D49)*B49))&gt;(C49-D49),C49-D49-SUM(E49:X49),(C49-D49)*B49))</f>
        <v>0</v>
      </c>
      <c r="Z49" s="417">
        <f>IF(Z40&lt;A49,0,IF((SUM(E49:Y49)+((C49-D49)*B49))&gt;(C49-D49),C49-D49-SUM(E49:Y49),(C49-D49)*B49))</f>
        <v>0</v>
      </c>
      <c r="AA49" s="417">
        <f>IF(AA40&lt;A49,0,IF((SUM(E49:Z49)+((C49-D49)*B49))&gt;(C49-D49),C49-D49-SUM(E49:Z49),(C49-D49)*B49))</f>
        <v>0</v>
      </c>
      <c r="AB49" s="417">
        <f>IF(AB40&lt;A49,0,IF((SUM(E49:AA49)+((C49-D49)*B49))&gt;(C49-D49),C49-D49-SUM(E49:AA49),(C49-D49)*B49))</f>
        <v>0</v>
      </c>
      <c r="AC49" s="417">
        <f>IF(AC40&lt;A49,0,IF((SUM(E49:AB49)+((C49-D49)*B49))&gt;(C49-D49),C49-D49-SUM(E49:AB49),(C49-D49)*B49))</f>
        <v>0</v>
      </c>
      <c r="AD49" s="417">
        <f>IF(AD40&lt;A49,0,IF((SUM(E49:AC49)+((C49-D49)*B49))&gt;(C49-D49),C49-D49-SUM(E49:AC49),(C49-D49)*B49))</f>
        <v>0</v>
      </c>
      <c r="AE49" s="417">
        <f>IF(AE40&lt;A49,0,IF((SUM(E49:AD49)+((C49-D49)*B49))&gt;(C49-D49),C49-D49-SUM(E49:AD49),(C49-D49)*B49))</f>
        <v>0</v>
      </c>
      <c r="AF49" s="417">
        <f>IF(AF40&lt;A49,0,IF((SUM(E49:AE49)+((C49-D49)*B49))&gt;(C49-D49),C49-D49-SUM(E49:AE49),(C49-D49)*B49))</f>
        <v>0</v>
      </c>
      <c r="AG49" s="417">
        <f>IF(AG40&lt;A49,0,IF((SUM(E49:AF49)+((C49-D49)*B49))&gt;(C49-D49),C49-D49-SUM(E49:AF49),(C49-D49)*B49))</f>
        <v>0</v>
      </c>
      <c r="AH49" s="417">
        <f>IF(AH40&lt;A49,0,IF((SUM(E49:AG49)+((C49-D49)*B49))&gt;(C49-D49),C49-D49-SUM(E49:AG49),(C49-D49)*B49))</f>
        <v>0</v>
      </c>
    </row>
    <row r="50" spans="1:34" s="75" customFormat="1" ht="13.15" customHeight="1" outlineLevel="1" x14ac:dyDescent="0.2">
      <c r="A50" s="416">
        <v>10</v>
      </c>
      <c r="B50" s="374">
        <v>0.2</v>
      </c>
      <c r="C50" s="378">
        <f>SUMIF('14 - Investimentos'!B:B,'15 - Depreciação'!A38,'14 - Investimentos'!N:N)</f>
        <v>637198.96333333338</v>
      </c>
      <c r="D50" s="417">
        <f>C50*B38</f>
        <v>0</v>
      </c>
      <c r="E50" s="417">
        <f>IF(E40&lt;A50,0,(C50-D50)*B50)</f>
        <v>0</v>
      </c>
      <c r="F50" s="417">
        <f>IF(F40&lt;A50,0,IF((SUM(E50:E50)+((C50-D50)*B50))&gt;(C50-D50),C50-D50-SUM(E50:E50),(C50-D50)*B50))</f>
        <v>0</v>
      </c>
      <c r="G50" s="417">
        <f>IF(G40&lt;A50,0,IF((SUM(E50:F50)+((C50-D50)*B50))&gt;(C50-D50),C50-D50-SUM(E50:F50),(C50-D50)*B50))</f>
        <v>0</v>
      </c>
      <c r="H50" s="417">
        <f>IF(H40&lt;A50,0,IF((SUM(E50:G50)+((C50-D50)*B50))&gt;(C50-D50),C50-D50-SUM(E50:G50),(C50-D50)*B50))</f>
        <v>0</v>
      </c>
      <c r="I50" s="417">
        <f>IF(I40&lt;A50,0,IF((SUM(E50:H50)+((C50-D50)*B50))&gt;(C50-D50),C50-D50-SUM(E50:H50),(C50-D50)*B50))</f>
        <v>0</v>
      </c>
      <c r="J50" s="417">
        <f>IF(J40&lt;A50,0,IF((SUM(E50:I50)+((C50-D50)*B50))&gt;(C50-D50),C50-D50-SUM(E50:I50),(C50-D50)*B50))</f>
        <v>0</v>
      </c>
      <c r="K50" s="417">
        <f>IF(K40&lt;A50,0,IF((SUM(E50:J50)+((C50-D50)*B50))&gt;(C50-D50),C50-D50-SUM(E50:J50),(C50-D50)*B50))</f>
        <v>0</v>
      </c>
      <c r="L50" s="417">
        <f>IF(L40&lt;A50,0,IF((SUM(E50:K50)+((C50-D50)*B50))&gt;(C50-D50),C50-D50-SUM(E50:K50),(C50-D50)*B50))</f>
        <v>0</v>
      </c>
      <c r="M50" s="417">
        <f>IF(M40&lt;A50,0,IF((SUM(E50:L50)+((C50-D50)*B50))&gt;(C50-D50),C50-D50-SUM(E50:L50),(C50-D50)*B50))</f>
        <v>0</v>
      </c>
      <c r="N50" s="417">
        <f>IF(N40&lt;A50,0,IF((SUM(E50:M50)+((C50-D50)*B50))&gt;(C50-D50),C50-D50-SUM(E50:M50),(C50-D50)*B50))</f>
        <v>127439.79266666668</v>
      </c>
      <c r="O50" s="417">
        <f>IF(O40&lt;A50,0,IF((SUM(E50:N50)+((C50-D50)*B50))&gt;(C50-D50),C50-D50-SUM(E50:N50),(C50-D50)*B50))</f>
        <v>127439.79266666668</v>
      </c>
      <c r="P50" s="417">
        <f>IF(P40&lt;A50,0,IF((SUM(E50:O50)+((C50-D50)*B50))&gt;(C50-D50),C50-D50-SUM(E50:O50),(C50-D50)*B50))</f>
        <v>127439.79266666668</v>
      </c>
      <c r="Q50" s="417">
        <f>IF(Q40&lt;A50,0,IF((SUM(E50:P50)+((C50-D50)*B50))&gt;(C50-D50),C50-D50-SUM(E50:P50),(C50-D50)*B50))</f>
        <v>127439.79266666668</v>
      </c>
      <c r="R50" s="417">
        <f>IF(R40&lt;A50,0,IF((SUM(E50:Q50)+((C50-D50)*B50))&gt;(C50-D50),C50-D50-SUM(E50:Q50),(C50-D50)*B50))</f>
        <v>127439.79266666668</v>
      </c>
      <c r="S50" s="417">
        <f>IF(S40&lt;A50,0,IF((SUM(E50:R50)+((C50-D50)*B50))&gt;(C50-D50),C50-D50-SUM(E50:R50),(C50-D50)*B50))</f>
        <v>0</v>
      </c>
      <c r="T50" s="417">
        <f>IF(T40&lt;A50,0,IF((SUM(E50:S50)+((C50-D50)*B50))&gt;(C50-D50),C50-D50-SUM(E50:S50),(C50-D50)*B50))</f>
        <v>0</v>
      </c>
      <c r="U50" s="417">
        <f>IF(U40&lt;A50,0,IF((SUM(E50:T50)+((C50-D50)*B50))&gt;(C50-D50),C50-D50-SUM(E50:T50),(C50-D50)*B50))</f>
        <v>0</v>
      </c>
      <c r="V50" s="417">
        <f>IF(V40&lt;A50,0,IF((SUM(E50:U50)+((C50-D50)*B50))&gt;(C50-D50),C50-D50-SUM(E50:U50),(C50-D50)*B50))</f>
        <v>0</v>
      </c>
      <c r="W50" s="417">
        <f>IF(W40&lt;A50,0,IF((SUM(E50:V50)+((C50-D50)*B50))&gt;(C50-D50),C50-D50-SUM(E50:V50),(C50-D50)*B50))</f>
        <v>0</v>
      </c>
      <c r="X50" s="417">
        <f>IF(X40&lt;A50,0,IF((SUM(E50:W50)+((C50-D50)*B50))&gt;(C50-D50),C50-D50-SUM(E50:W50),(C50-D50)*B50))</f>
        <v>0</v>
      </c>
      <c r="Y50" s="417">
        <f>IF(Y40&lt;A50,0,IF((SUM(E50:X50)+((C50-D50)*B50))&gt;(C50-D50),C50-D50-SUM(E50:X50),(C50-D50)*B50))</f>
        <v>0</v>
      </c>
      <c r="Z50" s="417">
        <f>IF(Z40&lt;A50,0,IF((SUM(E50:Y50)+((C50-D50)*B50))&gt;(C50-D50),C50-D50-SUM(E50:Y50),(C50-D50)*B50))</f>
        <v>0</v>
      </c>
      <c r="AA50" s="417">
        <f>IF(AA40&lt;A50,0,IF((SUM(E50:Z50)+((C50-D50)*B50))&gt;(C50-D50),C50-D50-SUM(E50:Z50),(C50-D50)*B50))</f>
        <v>0</v>
      </c>
      <c r="AB50" s="417">
        <f>IF(AB40&lt;A50,0,IF((SUM(E50:AA50)+((C50-D50)*B50))&gt;(C50-D50),C50-D50-SUM(E50:AA50),(C50-D50)*B50))</f>
        <v>0</v>
      </c>
      <c r="AC50" s="417">
        <f>IF(AC40&lt;A50,0,IF((SUM(E50:AB50)+((C50-D50)*B50))&gt;(C50-D50),C50-D50-SUM(E50:AB50),(C50-D50)*B50))</f>
        <v>0</v>
      </c>
      <c r="AD50" s="417">
        <f>IF(AD40&lt;A50,0,IF((SUM(E50:AC50)+((C50-D50)*B50))&gt;(C50-D50),C50-D50-SUM(E50:AC50),(C50-D50)*B50))</f>
        <v>0</v>
      </c>
      <c r="AE50" s="417">
        <f>IF(AE40&lt;A50,0,IF((SUM(E50:AD50)+((C50-D50)*B50))&gt;(C50-D50),C50-D50-SUM(E50:AD50),(C50-D50)*B50))</f>
        <v>0</v>
      </c>
      <c r="AF50" s="417">
        <f>IF(AF40&lt;A50,0,IF((SUM(E50:AE50)+((C50-D50)*B50))&gt;(C50-D50),C50-D50-SUM(E50:AE50),(C50-D50)*B50))</f>
        <v>0</v>
      </c>
      <c r="AG50" s="417">
        <f>IF(AG40&lt;A50,0,IF((SUM(E50:AF50)+((C50-D50)*B50))&gt;(C50-D50),C50-D50-SUM(E50:AF50),(C50-D50)*B50))</f>
        <v>0</v>
      </c>
      <c r="AH50" s="417">
        <f>IF(AH40&lt;A50,0,IF((SUM(E50:AG50)+((C50-D50)*B50))&gt;(C50-D50),C50-D50-SUM(E50:AG50),(C50-D50)*B50))</f>
        <v>0</v>
      </c>
    </row>
    <row r="51" spans="1:34" s="75" customFormat="1" ht="13.15" customHeight="1" outlineLevel="1" x14ac:dyDescent="0.2">
      <c r="A51" s="416">
        <v>11</v>
      </c>
      <c r="B51" s="374">
        <v>0.2</v>
      </c>
      <c r="C51" s="378">
        <f>SUMIF('14 - Investimentos'!B:B,'15 - Depreciação'!A38,'14 - Investimentos'!O:O)</f>
        <v>1344391.1866666668</v>
      </c>
      <c r="D51" s="417">
        <f>C51*B38</f>
        <v>0</v>
      </c>
      <c r="E51" s="417">
        <f>IF(E40&lt;A51,0,(C51-D51)*B51)</f>
        <v>0</v>
      </c>
      <c r="F51" s="417">
        <f>IF(F40&lt;A51,0,IF((SUM(E51:E51)+((C51-D51)*B51))&gt;(C51-D51),C51-D51-SUM(E51:E51),(C51-D51)*B51))</f>
        <v>0</v>
      </c>
      <c r="G51" s="417">
        <f>IF(G40&lt;A51,0,IF((SUM(E51:F51)+((C51-D51)*B51))&gt;(C51-D51),C51-D51-SUM(E51:F51),(C51-D51)*B51))</f>
        <v>0</v>
      </c>
      <c r="H51" s="417">
        <f>IF(H40&lt;A51,0,IF((SUM(E51:G51)+((C51-D51)*B51))&gt;(C51-D51),C51-D51-SUM(E51:G51),(C51-D51)*B51))</f>
        <v>0</v>
      </c>
      <c r="I51" s="417">
        <f>IF(I40&lt;A51,0,IF((SUM(E51:H51)+((C51-D51)*B51))&gt;(C51-D51),C51-D51-SUM(E51:H51),(C51-D51)*B51))</f>
        <v>0</v>
      </c>
      <c r="J51" s="417">
        <f>IF(J40&lt;A51,0,IF((SUM(E51:I51)+((C51-D51)*B51))&gt;(C51-D51),C51-D51-SUM(E51:I51),(C51-D51)*B51))</f>
        <v>0</v>
      </c>
      <c r="K51" s="417">
        <f>IF(K40&lt;A51,0,IF((SUM(E51:J51)+((C51-D51)*B51))&gt;(C51-D51),C51-D51-SUM(E51:J51),(C51-D51)*B51))</f>
        <v>0</v>
      </c>
      <c r="L51" s="417">
        <f>IF(L40&lt;A51,0,IF((SUM(E51:K51)+((C51-D51)*B51))&gt;(C51-D51),C51-D51-SUM(E51:K51),(C51-D51)*B51))</f>
        <v>0</v>
      </c>
      <c r="M51" s="417">
        <f>IF(M40&lt;A51,0,IF((SUM(E51:L51)+((C51-D51)*B51))&gt;(C51-D51),C51-D51-SUM(E51:L51),(C51-D51)*B51))</f>
        <v>0</v>
      </c>
      <c r="N51" s="417">
        <f>IF(N40&lt;A51,0,IF((SUM(E51:M51)+((C51-D51)*B51))&gt;(C51-D51),C51-D51-SUM(E51:M51),(C51-D51)*B51))</f>
        <v>0</v>
      </c>
      <c r="O51" s="417">
        <f>IF(O40&lt;A51,0,IF((SUM(E51:N51)+((C51-D51)*B51))&gt;(C51-D51),C51-D51-SUM(E51:N51),(C51-D51)*B51))</f>
        <v>268878.23733333335</v>
      </c>
      <c r="P51" s="417">
        <f>IF(P40&lt;A51,0,IF((SUM(E51:O51)+((C51-D51)*B51))&gt;(C51-D51),C51-D51-SUM(E51:O51),(C51-D51)*B51))</f>
        <v>268878.23733333335</v>
      </c>
      <c r="Q51" s="417">
        <f>IF(Q40&lt;A51,0,IF((SUM(E51:P51)+((C51-D51)*B51))&gt;(C51-D51),C51-D51-SUM(E51:P51),(C51-D51)*B51))</f>
        <v>268878.23733333335</v>
      </c>
      <c r="R51" s="417">
        <f>IF(R40&lt;A51,0,IF((SUM(E51:Q51)+((C51-D51)*B51))&gt;(C51-D51),C51-D51-SUM(E51:Q51),(C51-D51)*B51))</f>
        <v>268878.23733333335</v>
      </c>
      <c r="S51" s="417">
        <f>IF(S40&lt;A51,0,IF((SUM(E51:R51)+((C51-D51)*B51))&gt;(C51-D51),C51-D51-SUM(E51:R51),(C51-D51)*B51))</f>
        <v>268878.23733333335</v>
      </c>
      <c r="T51" s="417">
        <f>IF(T40&lt;A51,0,IF((SUM(E51:S51)+((C51-D51)*B51))&gt;(C51-D51),C51-D51-SUM(E51:S51),(C51-D51)*B51))</f>
        <v>0</v>
      </c>
      <c r="U51" s="417">
        <f>IF(U40&lt;A51,0,IF((SUM(E51:T51)+((C51-D51)*B51))&gt;(C51-D51),C51-D51-SUM(E51:T51),(C51-D51)*B51))</f>
        <v>0</v>
      </c>
      <c r="V51" s="417">
        <f>IF(V40&lt;A51,0,IF((SUM(E51:U51)+((C51-D51)*B51))&gt;(C51-D51),C51-D51-SUM(E51:U51),(C51-D51)*B51))</f>
        <v>0</v>
      </c>
      <c r="W51" s="417">
        <f>IF(W40&lt;A51,0,IF((SUM(E51:V51)+((C51-D51)*B51))&gt;(C51-D51),C51-D51-SUM(E51:V51),(C51-D51)*B51))</f>
        <v>0</v>
      </c>
      <c r="X51" s="417">
        <f>IF(X40&lt;A51,0,IF((SUM(E51:W51)+((C51-D51)*B51))&gt;(C51-D51),C51-D51-SUM(E51:W51),(C51-D51)*B51))</f>
        <v>0</v>
      </c>
      <c r="Y51" s="417">
        <f>IF(Y40&lt;A51,0,IF((SUM(E51:X51)+((C51-D51)*B51))&gt;(C51-D51),C51-D51-SUM(E51:X51),(C51-D51)*B51))</f>
        <v>0</v>
      </c>
      <c r="Z51" s="417">
        <f>IF(Z40&lt;A51,0,IF((SUM(E51:Y51)+((C51-D51)*B51))&gt;(C51-D51),C51-D51-SUM(E51:Y51),(C51-D51)*B51))</f>
        <v>0</v>
      </c>
      <c r="AA51" s="417">
        <f>IF(AA40&lt;A51,0,IF((SUM(E51:Z51)+((C51-D51)*B51))&gt;(C51-D51),C51-D51-SUM(E51:Z51),(C51-D51)*B51))</f>
        <v>0</v>
      </c>
      <c r="AB51" s="417">
        <f>IF(AB40&lt;A51,0,IF((SUM(E51:AA51)+((C51-D51)*B51))&gt;(C51-D51),C51-D51-SUM(E51:AA51),(C51-D51)*B51))</f>
        <v>0</v>
      </c>
      <c r="AC51" s="417">
        <f>IF(AC40&lt;A51,0,IF((SUM(E51:AB51)+((C51-D51)*B51))&gt;(C51-D51),C51-D51-SUM(E51:AB51),(C51-D51)*B51))</f>
        <v>0</v>
      </c>
      <c r="AD51" s="417">
        <f>IF(AD40&lt;A51,0,IF((SUM(E51:AC51)+((C51-D51)*B51))&gt;(C51-D51),C51-D51-SUM(E51:AC51),(C51-D51)*B51))</f>
        <v>0</v>
      </c>
      <c r="AE51" s="417">
        <f>IF(AE40&lt;A51,0,IF((SUM(E51:AD51)+((C51-D51)*B51))&gt;(C51-D51),C51-D51-SUM(E51:AD51),(C51-D51)*B51))</f>
        <v>0</v>
      </c>
      <c r="AF51" s="417">
        <f>IF(AF40&lt;A51,0,IF((SUM(E51:AE51)+((C51-D51)*B51))&gt;(C51-D51),C51-D51-SUM(E51:AE51),(C51-D51)*B51))</f>
        <v>0</v>
      </c>
      <c r="AG51" s="417">
        <f>IF(AG40&lt;A51,0,IF((SUM(E51:AF51)+((C51-D51)*B51))&gt;(C51-D51),C51-D51-SUM(E51:AF51),(C51-D51)*B51))</f>
        <v>0</v>
      </c>
      <c r="AH51" s="417">
        <f>IF(AH40&lt;A51,0,IF((SUM(E51:AG51)+((C51-D51)*B51))&gt;(C51-D51),C51-D51-SUM(E51:AG51),(C51-D51)*B51))</f>
        <v>0</v>
      </c>
    </row>
    <row r="52" spans="1:34" s="75" customFormat="1" ht="13.15" customHeight="1" outlineLevel="1" x14ac:dyDescent="0.2">
      <c r="A52" s="416">
        <v>12</v>
      </c>
      <c r="B52" s="374">
        <v>0.2</v>
      </c>
      <c r="C52" s="378">
        <f>SUMIF('14 - Investimentos'!B:B,'15 - Depreciação'!A38,'14 - Investimentos'!P:P)</f>
        <v>204863.96333333332</v>
      </c>
      <c r="D52" s="417">
        <f>C52*B38</f>
        <v>0</v>
      </c>
      <c r="E52" s="417">
        <f>IF(E40&lt;A52,0,(C52-D52)*B52)</f>
        <v>0</v>
      </c>
      <c r="F52" s="417">
        <f>IF(F40&lt;A52,0,IF((SUM(E52:E52)+((C52-D52)*B52))&gt;(C52-D52),C52-D52-SUM(E52:E52),(C52-D52)*B52))</f>
        <v>0</v>
      </c>
      <c r="G52" s="417">
        <f>IF(G40&lt;A52,0,IF((SUM(E52:F52)+((C52-D52)*B52))&gt;(C52-D52),C52-D52-SUM(E52:F52),(C52-D52)*B52))</f>
        <v>0</v>
      </c>
      <c r="H52" s="417">
        <f>IF(H40&lt;A52,0,IF((SUM(E52:G52)+((C52-D52)*B52))&gt;(C52-D52),C52-D52-SUM(E52:G52),(C52-D52)*B52))</f>
        <v>0</v>
      </c>
      <c r="I52" s="417">
        <f>IF(I40&lt;A52,0,IF((SUM(E52:H52)+((C52-D52)*B52))&gt;(C52-D52),C52-D52-SUM(E52:H52),(C52-D52)*B52))</f>
        <v>0</v>
      </c>
      <c r="J52" s="417">
        <f>IF(J40&lt;A52,0,IF((SUM(E52:I52)+((C52-D52)*B52))&gt;(C52-D52),C52-D52-SUM(E52:I52),(C52-D52)*B52))</f>
        <v>0</v>
      </c>
      <c r="K52" s="417">
        <f>IF(K40&lt;A52,0,IF((SUM(E52:J52)+((C52-D52)*B52))&gt;(C52-D52),C52-D52-SUM(E52:J52),(C52-D52)*B52))</f>
        <v>0</v>
      </c>
      <c r="L52" s="417">
        <f>IF(L40&lt;A52,0,IF((SUM(E52:K52)+((C52-D52)*B52))&gt;(C52-D52),C52-D52-SUM(E52:K52),(C52-D52)*B52))</f>
        <v>0</v>
      </c>
      <c r="M52" s="417">
        <f>IF(M40&lt;A52,0,IF((SUM(E52:L52)+((C52-D52)*B52))&gt;(C52-D52),C52-D52-SUM(E52:L52),(C52-D52)*B52))</f>
        <v>0</v>
      </c>
      <c r="N52" s="417">
        <f>IF(N40&lt;A52,0,IF((SUM(E52:M52)+((C52-D52)*B52))&gt;(C52-D52),C52-D52-SUM(E52:M52),(C52-D52)*B52))</f>
        <v>0</v>
      </c>
      <c r="O52" s="417">
        <f>IF(O40&lt;A52,0,IF((SUM(E52:N52)+((C52-D52)*B52))&gt;(C52-D52),C52-D52-SUM(E52:N52),(C52-D52)*B52))</f>
        <v>0</v>
      </c>
      <c r="P52" s="417">
        <f>IF(P40&lt;A52,0,IF((SUM(E52:O52)+((C52-D52)*B52))&gt;(C52-D52),C52-D52-SUM(E52:O52),(C52-D52)*B52))</f>
        <v>40972.792666666668</v>
      </c>
      <c r="Q52" s="417">
        <f>IF(Q40&lt;A52,0,IF((SUM(E52:P52)+((C52-D52)*B52))&gt;(C52-D52),C52-D52-SUM(E52:P52),(C52-D52)*B52))</f>
        <v>40972.792666666668</v>
      </c>
      <c r="R52" s="417">
        <f>IF(R40&lt;A52,0,IF((SUM(E52:Q52)+((C52-D52)*B52))&gt;(C52-D52),C52-D52-SUM(E52:Q52),(C52-D52)*B52))</f>
        <v>40972.792666666668</v>
      </c>
      <c r="S52" s="417">
        <f>IF(S40&lt;A52,0,IF((SUM(E52:R52)+((C52-D52)*B52))&gt;(C52-D52),C52-D52-SUM(E52:R52),(C52-D52)*B52))</f>
        <v>40972.792666666668</v>
      </c>
      <c r="T52" s="417">
        <f>IF(T40&lt;A52,0,IF((SUM(E52:S52)+((C52-D52)*B52))&gt;(C52-D52),C52-D52-SUM(E52:S52),(C52-D52)*B52))</f>
        <v>40972.792666666668</v>
      </c>
      <c r="U52" s="417">
        <f>IF(U40&lt;A52,0,IF((SUM(E52:T52)+((C52-D52)*B52))&gt;(C52-D52),C52-D52-SUM(E52:T52),(C52-D52)*B52))</f>
        <v>-2.9103830456733704E-11</v>
      </c>
      <c r="V52" s="417">
        <f>IF(V40&lt;A52,0,IF((SUM(E52:U52)+((C52-D52)*B52))&gt;(C52-D52),C52-D52-SUM(E52:U52),(C52-D52)*B52))</f>
        <v>0</v>
      </c>
      <c r="W52" s="417">
        <f>IF(W40&lt;A52,0,IF((SUM(E52:V52)+((C52-D52)*B52))&gt;(C52-D52),C52-D52-SUM(E52:V52),(C52-D52)*B52))</f>
        <v>0</v>
      </c>
      <c r="X52" s="417">
        <f>IF(X40&lt;A52,0,IF((SUM(E52:W52)+((C52-D52)*B52))&gt;(C52-D52),C52-D52-SUM(E52:W52),(C52-D52)*B52))</f>
        <v>0</v>
      </c>
      <c r="Y52" s="417">
        <f>IF(Y40&lt;A52,0,IF((SUM(E52:X52)+((C52-D52)*B52))&gt;(C52-D52),C52-D52-SUM(E52:X52),(C52-D52)*B52))</f>
        <v>0</v>
      </c>
      <c r="Z52" s="417">
        <f>IF(Z40&lt;A52,0,IF((SUM(E52:Y52)+((C52-D52)*B52))&gt;(C52-D52),C52-D52-SUM(E52:Y52),(C52-D52)*B52))</f>
        <v>0</v>
      </c>
      <c r="AA52" s="417">
        <f>IF(AA40&lt;A52,0,IF((SUM(E52:Z52)+((C52-D52)*B52))&gt;(C52-D52),C52-D52-SUM(E52:Z52),(C52-D52)*B52))</f>
        <v>0</v>
      </c>
      <c r="AB52" s="417">
        <f>IF(AB40&lt;A52,0,IF((SUM(E52:AA52)+((C52-D52)*B52))&gt;(C52-D52),C52-D52-SUM(E52:AA52),(C52-D52)*B52))</f>
        <v>0</v>
      </c>
      <c r="AC52" s="417">
        <f>IF(AC40&lt;A52,0,IF((SUM(E52:AB52)+((C52-D52)*B52))&gt;(C52-D52),C52-D52-SUM(E52:AB52),(C52-D52)*B52))</f>
        <v>0</v>
      </c>
      <c r="AD52" s="417">
        <f>IF(AD40&lt;A52,0,IF((SUM(E52:AC52)+((C52-D52)*B52))&gt;(C52-D52),C52-D52-SUM(E52:AC52),(C52-D52)*B52))</f>
        <v>0</v>
      </c>
      <c r="AE52" s="417">
        <f>IF(AE40&lt;A52,0,IF((SUM(E52:AD52)+((C52-D52)*B52))&gt;(C52-D52),C52-D52-SUM(E52:AD52),(C52-D52)*B52))</f>
        <v>0</v>
      </c>
      <c r="AF52" s="417">
        <f>IF(AF40&lt;A52,0,IF((SUM(E52:AE52)+((C52-D52)*B52))&gt;(C52-D52),C52-D52-SUM(E52:AE52),(C52-D52)*B52))</f>
        <v>0</v>
      </c>
      <c r="AG52" s="417">
        <f>IF(AG40&lt;A52,0,IF((SUM(E52:AF52)+((C52-D52)*B52))&gt;(C52-D52),C52-D52-SUM(E52:AF52),(C52-D52)*B52))</f>
        <v>0</v>
      </c>
      <c r="AH52" s="417">
        <f>IF(AH40&lt;A52,0,IF((SUM(E52:AG52)+((C52-D52)*B52))&gt;(C52-D52),C52-D52-SUM(E52:AG52),(C52-D52)*B52))</f>
        <v>0</v>
      </c>
    </row>
    <row r="53" spans="1:34" s="75" customFormat="1" ht="13.15" customHeight="1" outlineLevel="1" x14ac:dyDescent="0.2">
      <c r="A53" s="416">
        <v>13</v>
      </c>
      <c r="B53" s="374">
        <v>0.2</v>
      </c>
      <c r="C53" s="378">
        <f>SUMIF('14 - Investimentos'!B:B,'15 - Depreciação'!A38,'14 - Investimentos'!Q:Q)</f>
        <v>877117.29666666687</v>
      </c>
      <c r="D53" s="417">
        <f>C53*B38</f>
        <v>0</v>
      </c>
      <c r="E53" s="417">
        <f>IF(E40&lt;A53,0,(C53-D53)*B53)</f>
        <v>0</v>
      </c>
      <c r="F53" s="417">
        <f>IF(F40&lt;A53,0,IF((SUM(E53:E53)+((C53-D53)*B53))&gt;(C53-D53),C53-D53-SUM(E53:E53),(C53-D53)*B53))</f>
        <v>0</v>
      </c>
      <c r="G53" s="417">
        <f>IF(G40&lt;A53,0,IF((SUM(E53:F53)+((C53-D53)*B53))&gt;(C53-D53),C53-D53-SUM(E53:F53),(C53-D53)*B53))</f>
        <v>0</v>
      </c>
      <c r="H53" s="417">
        <f>IF(H40&lt;A53,0,IF((SUM(E53:G53)+((C53-D53)*B53))&gt;(C53-D53),C53-D53-SUM(E53:G53),(C53-D53)*B53))</f>
        <v>0</v>
      </c>
      <c r="I53" s="417">
        <f>IF(I40&lt;A53,0,IF((SUM(E53:H53)+((C53-D53)*B53))&gt;(C53-D53),C53-D53-SUM(E53:H53),(C53-D53)*B53))</f>
        <v>0</v>
      </c>
      <c r="J53" s="417">
        <f>IF(J40&lt;A53,0,IF((SUM(E53:I53)+((C53-D53)*B53))&gt;(C53-D53),C53-D53-SUM(E53:I53),(C53-D53)*B53))</f>
        <v>0</v>
      </c>
      <c r="K53" s="417">
        <f>IF(K40&lt;A53,0,IF((SUM(E53:J53)+((C53-D53)*B53))&gt;(C53-D53),C53-D53-SUM(E53:J53),(C53-D53)*B53))</f>
        <v>0</v>
      </c>
      <c r="L53" s="417">
        <f>IF(L40&lt;A53,0,IF((SUM(E53:K53)+((C53-D53)*B53))&gt;(C53-D53),C53-D53-SUM(E53:K53),(C53-D53)*B53))</f>
        <v>0</v>
      </c>
      <c r="M53" s="417">
        <f>IF(M40&lt;A53,0,IF((SUM(E53:L53)+((C53-D53)*B53))&gt;(C53-D53),C53-D53-SUM(E53:L53),(C53-D53)*B53))</f>
        <v>0</v>
      </c>
      <c r="N53" s="417">
        <f>IF(N40&lt;A53,0,IF((SUM(E53:M53)+((C53-D53)*B53))&gt;(C53-D53),C53-D53-SUM(E53:M53),(C53-D53)*B53))</f>
        <v>0</v>
      </c>
      <c r="O53" s="417">
        <f>IF(O40&lt;A53,0,IF((SUM(E53:N53)+((C53-D53)*B53))&gt;(C53-D53),C53-D53-SUM(E53:N53),(C53-D53)*B53))</f>
        <v>0</v>
      </c>
      <c r="P53" s="417">
        <f>IF(P40&lt;A53,0,IF((SUM(E53:O53)+((C53-D53)*B53))&gt;(C53-D53),C53-D53-SUM(E53:O53),(C53-D53)*B53))</f>
        <v>0</v>
      </c>
      <c r="Q53" s="417">
        <f>IF(Q40&lt;A53,0,IF((SUM(E53:P53)+((C53-D53)*B53))&gt;(C53-D53),C53-D53-SUM(E53:P53),(C53-D53)*B53))</f>
        <v>175423.45933333339</v>
      </c>
      <c r="R53" s="417">
        <f>IF(R40&lt;A53,0,IF((SUM(E53:Q53)+((C53-D53)*B53))&gt;(C53-D53),C53-D53-SUM(E53:Q53),(C53-D53)*B53))</f>
        <v>175423.45933333339</v>
      </c>
      <c r="S53" s="417">
        <f>IF(S40&lt;A53,0,IF((SUM(E53:R53)+((C53-D53)*B53))&gt;(C53-D53),C53-D53-SUM(E53:R53),(C53-D53)*B53))</f>
        <v>175423.45933333339</v>
      </c>
      <c r="T53" s="417">
        <f>IF(T40&lt;A53,0,IF((SUM(E53:S53)+((C53-D53)*B53))&gt;(C53-D53),C53-D53-SUM(E53:S53),(C53-D53)*B53))</f>
        <v>175423.45933333339</v>
      </c>
      <c r="U53" s="417">
        <f>IF(U40&lt;A53,0,IF((SUM(E53:T53)+((C53-D53)*B53))&gt;(C53-D53),C53-D53-SUM(E53:T53),(C53-D53)*B53))</f>
        <v>175423.45933333339</v>
      </c>
      <c r="V53" s="417">
        <f>IF(V40&lt;A53,0,IF((SUM(E53:U53)+((C53-D53)*B53))&gt;(C53-D53),C53-D53-SUM(E53:U53),(C53-D53)*B53))</f>
        <v>-1.1641532182693481E-10</v>
      </c>
      <c r="W53" s="417">
        <f>IF(W40&lt;A53,0,IF((SUM(E53:V53)+((C53-D53)*B53))&gt;(C53-D53),C53-D53-SUM(E53:V53),(C53-D53)*B53))</f>
        <v>0</v>
      </c>
      <c r="X53" s="417">
        <f>IF(X40&lt;A53,0,IF((SUM(E53:W53)+((C53-D53)*B53))&gt;(C53-D53),C53-D53-SUM(E53:W53),(C53-D53)*B53))</f>
        <v>0</v>
      </c>
      <c r="Y53" s="417">
        <f>IF(Y40&lt;A53,0,IF((SUM(E53:X53)+((C53-D53)*B53))&gt;(C53-D53),C53-D53-SUM(E53:X53),(C53-D53)*B53))</f>
        <v>0</v>
      </c>
      <c r="Z53" s="417">
        <f>IF(Z40&lt;A53,0,IF((SUM(E53:Y53)+((C53-D53)*B53))&gt;(C53-D53),C53-D53-SUM(E53:Y53),(C53-D53)*B53))</f>
        <v>0</v>
      </c>
      <c r="AA53" s="417">
        <f>IF(AA40&lt;A53,0,IF((SUM(E53:Z53)+((C53-D53)*B53))&gt;(C53-D53),C53-D53-SUM(E53:Z53),(C53-D53)*B53))</f>
        <v>0</v>
      </c>
      <c r="AB53" s="417">
        <f>IF(AB40&lt;A53,0,IF((SUM(E53:AA53)+((C53-D53)*B53))&gt;(C53-D53),C53-D53-SUM(E53:AA53),(C53-D53)*B53))</f>
        <v>0</v>
      </c>
      <c r="AC53" s="417">
        <f>IF(AC40&lt;A53,0,IF((SUM(E53:AB53)+((C53-D53)*B53))&gt;(C53-D53),C53-D53-SUM(E53:AB53),(C53-D53)*B53))</f>
        <v>0</v>
      </c>
      <c r="AD53" s="417">
        <f>IF(AD40&lt;A53,0,IF((SUM(E53:AC53)+((C53-D53)*B53))&gt;(C53-D53),C53-D53-SUM(E53:AC53),(C53-D53)*B53))</f>
        <v>0</v>
      </c>
      <c r="AE53" s="417">
        <f>IF(AE40&lt;A53,0,IF((SUM(E53:AD53)+((C53-D53)*B53))&gt;(C53-D53),C53-D53-SUM(E53:AD53),(C53-D53)*B53))</f>
        <v>0</v>
      </c>
      <c r="AF53" s="417">
        <f>IF(AF40&lt;A53,0,IF((SUM(E53:AE53)+((C53-D53)*B53))&gt;(C53-D53),C53-D53-SUM(E53:AE53),(C53-D53)*B53))</f>
        <v>0</v>
      </c>
      <c r="AG53" s="417">
        <f>IF(AG40&lt;A53,0,IF((SUM(E53:AF53)+((C53-D53)*B53))&gt;(C53-D53),C53-D53-SUM(E53:AF53),(C53-D53)*B53))</f>
        <v>0</v>
      </c>
      <c r="AH53" s="417">
        <f>IF(AH40&lt;A53,0,IF((SUM(E53:AG53)+((C53-D53)*B53))&gt;(C53-D53),C53-D53-SUM(E53:AG53),(C53-D53)*B53))</f>
        <v>0</v>
      </c>
    </row>
    <row r="54" spans="1:34" s="75" customFormat="1" ht="13.15" customHeight="1" outlineLevel="1" x14ac:dyDescent="0.2">
      <c r="A54" s="416">
        <v>14</v>
      </c>
      <c r="B54" s="374">
        <v>0.2</v>
      </c>
      <c r="C54" s="378">
        <f>SUMIF('14 - Investimentos'!B:B,'15 - Depreciação'!A38,'14 - Investimentos'!R:R)</f>
        <v>0</v>
      </c>
      <c r="D54" s="417">
        <f>C54*B38</f>
        <v>0</v>
      </c>
      <c r="E54" s="417">
        <f>IF(E40&lt;A54,0,(C54-D54)*B54)</f>
        <v>0</v>
      </c>
      <c r="F54" s="417">
        <f>IF(F40&lt;A54,0,IF((SUM(E54:E54)+((C54-D54)*B54))&gt;(C54-D54),C54-D54-SUM(E54:E54),(C54-D54)*B54))</f>
        <v>0</v>
      </c>
      <c r="G54" s="417">
        <f>IF(G40&lt;A54,0,IF((SUM(E54:F54)+((C54-D54)*B54))&gt;(C54-D54),C54-D54-SUM(E54:F54),(C54-D54)*B54))</f>
        <v>0</v>
      </c>
      <c r="H54" s="417">
        <f>IF(H40&lt;A54,0,IF((SUM(E54:G54)+((C54-D54)*B54))&gt;(C54-D54),C54-D54-SUM(E54:G54),(C54-D54)*B54))</f>
        <v>0</v>
      </c>
      <c r="I54" s="417">
        <f>IF(I40&lt;A54,0,IF((SUM(E54:H54)+((C54-D54)*B54))&gt;(C54-D54),C54-D54-SUM(E54:H54),(C54-D54)*B54))</f>
        <v>0</v>
      </c>
      <c r="J54" s="417">
        <f>IF(J40&lt;A54,0,IF((SUM(E54:I54)+((C54-D54)*B54))&gt;(C54-D54),C54-D54-SUM(E54:I54),(C54-D54)*B54))</f>
        <v>0</v>
      </c>
      <c r="K54" s="417">
        <f>IF(K40&lt;A54,0,IF((SUM(E54:J54)+((C54-D54)*B54))&gt;(C54-D54),C54-D54-SUM(E54:J54),(C54-D54)*B54))</f>
        <v>0</v>
      </c>
      <c r="L54" s="417">
        <f>IF(L40&lt;A54,0,IF((SUM(E54:K54)+((C54-D54)*B54))&gt;(C54-D54),C54-D54-SUM(E54:K54),(C54-D54)*B54))</f>
        <v>0</v>
      </c>
      <c r="M54" s="417">
        <f>IF(M40&lt;A54,0,IF((SUM(E54:L54)+((C54-D54)*B54))&gt;(C54-D54),C54-D54-SUM(E54:L54),(C54-D54)*B54))</f>
        <v>0</v>
      </c>
      <c r="N54" s="417">
        <f>IF(N40&lt;A54,0,IF((SUM(E54:M54)+((C54-D54)*B54))&gt;(C54-D54),C54-D54-SUM(E54:M54),(C54-D54)*B54))</f>
        <v>0</v>
      </c>
      <c r="O54" s="417">
        <f>IF(O40&lt;A54,0,IF((SUM(E54:N54)+((C54-D54)*B54))&gt;(C54-D54),C54-D54-SUM(E54:N54),(C54-D54)*B54))</f>
        <v>0</v>
      </c>
      <c r="P54" s="417">
        <f>IF(P40&lt;A54,0,IF((SUM(E54:O54)+((C54-D54)*B54))&gt;(C54-D54),C54-D54-SUM(E54:O54),(C54-D54)*B54))</f>
        <v>0</v>
      </c>
      <c r="Q54" s="417">
        <f>IF(Q40&lt;A54,0,IF((SUM(E54:P54)+((C54-D54)*B54))&gt;(C54-D54),C54-D54-SUM(E54:P54),(C54-D54)*B54))</f>
        <v>0</v>
      </c>
      <c r="R54" s="417">
        <f>IF(R40&lt;A54,0,IF((SUM(E54:Q54)+((C54-D54)*B54))&gt;(C54-D54),C54-D54-SUM(E54:Q54),(C54-D54)*B54))</f>
        <v>0</v>
      </c>
      <c r="S54" s="417">
        <f>IF(S40&lt;A54,0,IF((SUM(E54:R54)+((C54-D54)*B54))&gt;(C54-D54),C54-D54-SUM(E54:R54),(C54-D54)*B54))</f>
        <v>0</v>
      </c>
      <c r="T54" s="417">
        <f>IF(T40&lt;A54,0,IF((SUM(E54:S54)+((C54-D54)*B54))&gt;(C54-D54),C54-D54-SUM(E54:S54),(C54-D54)*B54))</f>
        <v>0</v>
      </c>
      <c r="U54" s="417">
        <f>IF(U40&lt;A54,0,IF((SUM(E54:T54)+((C54-D54)*B54))&gt;(C54-D54),C54-D54-SUM(E54:T54),(C54-D54)*B54))</f>
        <v>0</v>
      </c>
      <c r="V54" s="417">
        <f>IF(V40&lt;A54,0,IF((SUM(E54:U54)+((C54-D54)*B54))&gt;(C54-D54),C54-D54-SUM(E54:U54),(C54-D54)*B54))</f>
        <v>0</v>
      </c>
      <c r="W54" s="417">
        <f>IF(W40&lt;A54,0,IF((SUM(E54:V54)+((C54-D54)*B54))&gt;(C54-D54),C54-D54-SUM(E54:V54),(C54-D54)*B54))</f>
        <v>0</v>
      </c>
      <c r="X54" s="417">
        <f>IF(X40&lt;A54,0,IF((SUM(E54:W54)+((C54-D54)*B54))&gt;(C54-D54),C54-D54-SUM(E54:W54),(C54-D54)*B54))</f>
        <v>0</v>
      </c>
      <c r="Y54" s="417">
        <f>IF(Y40&lt;A54,0,IF((SUM(E54:X54)+((C54-D54)*B54))&gt;(C54-D54),C54-D54-SUM(E54:X54),(C54-D54)*B54))</f>
        <v>0</v>
      </c>
      <c r="Z54" s="417">
        <f>IF(Z40&lt;A54,0,IF((SUM(E54:Y54)+((C54-D54)*B54))&gt;(C54-D54),C54-D54-SUM(E54:Y54),(C54-D54)*B54))</f>
        <v>0</v>
      </c>
      <c r="AA54" s="417">
        <f>IF(AA40&lt;A54,0,IF((SUM(E54:Z54)+((C54-D54)*B54))&gt;(C54-D54),C54-D54-SUM(E54:Z54),(C54-D54)*B54))</f>
        <v>0</v>
      </c>
      <c r="AB54" s="417">
        <f>IF(AB40&lt;A54,0,IF((SUM(E54:AA54)+((C54-D54)*B54))&gt;(C54-D54),C54-D54-SUM(E54:AA54),(C54-D54)*B54))</f>
        <v>0</v>
      </c>
      <c r="AC54" s="417">
        <f>IF(AC40&lt;A54,0,IF((SUM(E54:AB54)+((C54-D54)*B54))&gt;(C54-D54),C54-D54-SUM(E54:AB54),(C54-D54)*B54))</f>
        <v>0</v>
      </c>
      <c r="AD54" s="417">
        <f>IF(AD40&lt;A54,0,IF((SUM(E54:AC54)+((C54-D54)*B54))&gt;(C54-D54),C54-D54-SUM(E54:AC54),(C54-D54)*B54))</f>
        <v>0</v>
      </c>
      <c r="AE54" s="417">
        <f>IF(AE40&lt;A54,0,IF((SUM(E54:AD54)+((C54-D54)*B54))&gt;(C54-D54),C54-D54-SUM(E54:AD54),(C54-D54)*B54))</f>
        <v>0</v>
      </c>
      <c r="AF54" s="417">
        <f>IF(AF40&lt;A54,0,IF((SUM(E54:AE54)+((C54-D54)*B54))&gt;(C54-D54),C54-D54-SUM(E54:AE54),(C54-D54)*B54))</f>
        <v>0</v>
      </c>
      <c r="AG54" s="417">
        <f>IF(AG40&lt;A54,0,IF((SUM(E54:AF54)+((C54-D54)*B54))&gt;(C54-D54),C54-D54-SUM(E54:AF54),(C54-D54)*B54))</f>
        <v>0</v>
      </c>
      <c r="AH54" s="417">
        <f>IF(AH40&lt;A54,0,IF((SUM(E54:AG54)+((C54-D54)*B54))&gt;(C54-D54),C54-D54-SUM(E54:AG54),(C54-D54)*B54))</f>
        <v>0</v>
      </c>
    </row>
    <row r="55" spans="1:34" s="75" customFormat="1" ht="13.15" customHeight="1" outlineLevel="1" x14ac:dyDescent="0.2">
      <c r="A55" s="416">
        <v>15</v>
      </c>
      <c r="B55" s="374">
        <v>0.2</v>
      </c>
      <c r="C55" s="378">
        <f>SUMIF('14 - Investimentos'!B:B,'15 - Depreciação'!A38,'14 - Investimentos'!S:S)</f>
        <v>1229438.4133333333</v>
      </c>
      <c r="D55" s="417">
        <f>C55*B38</f>
        <v>0</v>
      </c>
      <c r="E55" s="417">
        <f>IF(E40&lt;A55,0,(C55-D55)*B55)</f>
        <v>0</v>
      </c>
      <c r="F55" s="417">
        <f>IF(F40&lt;A55,0,IF((SUM(E55:E55)+((C55-D55)*B55))&gt;(C55-D55),C55-D55-SUM(E55:E55),(C55-D55)*B55))</f>
        <v>0</v>
      </c>
      <c r="G55" s="417">
        <f>IF(G40&lt;A55,0,IF((SUM(E55:F55)+((C55-D55)*B55))&gt;(C55-D55),C55-D55-SUM(E55:F55),(C55-D55)*B55))</f>
        <v>0</v>
      </c>
      <c r="H55" s="417">
        <f>IF(H40&lt;A55,0,IF((SUM(E55:G55)+((C55-D55)*B55))&gt;(C55-D55),C55-D55-SUM(E55:G55),(C55-D55)*B55))</f>
        <v>0</v>
      </c>
      <c r="I55" s="417">
        <f>IF(I40&lt;A55,0,IF((SUM(E55:H55)+((C55-D55)*B55))&gt;(C55-D55),C55-D55-SUM(E55:H55),(C55-D55)*B55))</f>
        <v>0</v>
      </c>
      <c r="J55" s="417">
        <f>IF(J40&lt;A55,0,IF((SUM(E55:I55)+((C55-D55)*B55))&gt;(C55-D55),C55-D55-SUM(E55:I55),(C55-D55)*B55))</f>
        <v>0</v>
      </c>
      <c r="K55" s="417">
        <f>IF(K40&lt;A55,0,IF((SUM(E55:J55)+((C55-D55)*B55))&gt;(C55-D55),C55-D55-SUM(E55:J55),(C55-D55)*B55))</f>
        <v>0</v>
      </c>
      <c r="L55" s="417">
        <f>IF(L40&lt;A55,0,IF((SUM(E55:K55)+((C55-D55)*B55))&gt;(C55-D55),C55-D55-SUM(E55:K55),(C55-D55)*B55))</f>
        <v>0</v>
      </c>
      <c r="M55" s="417">
        <f>IF(M40&lt;A55,0,IF((SUM(E55:L55)+((C55-D55)*B55))&gt;(C55-D55),C55-D55-SUM(E55:L55),(C55-D55)*B55))</f>
        <v>0</v>
      </c>
      <c r="N55" s="417">
        <f>IF(N40&lt;A55,0,IF((SUM(E55:M55)+((C55-D55)*B55))&gt;(C55-D55),C55-D55-SUM(E55:M55),(C55-D55)*B55))</f>
        <v>0</v>
      </c>
      <c r="O55" s="417">
        <f>IF(O40&lt;A55,0,IF((SUM(E55:N55)+((C55-D55)*B55))&gt;(C55-D55),C55-D55-SUM(E55:N55),(C55-D55)*B55))</f>
        <v>0</v>
      </c>
      <c r="P55" s="417">
        <f>IF(P40&lt;A55,0,IF((SUM(E55:O55)+((C55-D55)*B55))&gt;(C55-D55),C55-D55-SUM(E55:O55),(C55-D55)*B55))</f>
        <v>0</v>
      </c>
      <c r="Q55" s="417">
        <f>IF(Q40&lt;A55,0,IF((SUM(E55:P55)+((C55-D55)*B55))&gt;(C55-D55),C55-D55-SUM(E55:P55),(C55-D55)*B55))</f>
        <v>0</v>
      </c>
      <c r="R55" s="417">
        <f>IF(R40&lt;A55,0,IF((SUM(E55:Q55)+((C55-D55)*B55))&gt;(C55-D55),C55-D55-SUM(E55:Q55),(C55-D55)*B55))</f>
        <v>0</v>
      </c>
      <c r="S55" s="417">
        <f>IF(S40&lt;A55,0,IF((SUM(E55:R55)+((C55-D55)*B55))&gt;(C55-D55),C55-D55-SUM(E55:R55),(C55-D55)*B55))</f>
        <v>245887.68266666669</v>
      </c>
      <c r="T55" s="417">
        <f>IF(T40&lt;A55,0,IF((SUM(E55:S55)+((C55-D55)*B55))&gt;(C55-D55),C55-D55-SUM(E55:S55),(C55-D55)*B55))</f>
        <v>245887.68266666669</v>
      </c>
      <c r="U55" s="417">
        <f>IF(U40&lt;A55,0,IF((SUM(E55:T55)+((C55-D55)*B55))&gt;(C55-D55),C55-D55-SUM(E55:T55),(C55-D55)*B55))</f>
        <v>245887.68266666669</v>
      </c>
      <c r="V55" s="417">
        <f>IF(V40&lt;A55,0,IF((SUM(E55:U55)+((C55-D55)*B55))&gt;(C55-D55),C55-D55-SUM(E55:U55),(C55-D55)*B55))</f>
        <v>245887.68266666669</v>
      </c>
      <c r="W55" s="417">
        <f>IF(W40&lt;A55,0,IF((SUM(E55:V55)+((C55-D55)*B55))&gt;(C55-D55),C55-D55-SUM(E55:V55),(C55-D55)*B55))</f>
        <v>245887.68266666669</v>
      </c>
      <c r="X55" s="417">
        <f>IF(X40&lt;A55,0,IF((SUM(E55:W55)+((C55-D55)*B55))&gt;(C55-D55),C55-D55-SUM(E55:W55),(C55-D55)*B55))</f>
        <v>-2.3283064365386963E-10</v>
      </c>
      <c r="Y55" s="417">
        <f>IF(Y40&lt;A55,0,IF((SUM(E55:X55)+((C55-D55)*B55))&gt;(C55-D55),C55-D55-SUM(E55:X55),(C55-D55)*B55))</f>
        <v>0</v>
      </c>
      <c r="Z55" s="417">
        <f>IF(Z40&lt;A55,0,IF((SUM(E55:Y55)+((C55-D55)*B55))&gt;(C55-D55),C55-D55-SUM(E55:Y55),(C55-D55)*B55))</f>
        <v>0</v>
      </c>
      <c r="AA55" s="417">
        <f>IF(AA40&lt;A55,0,IF((SUM(E55:Z55)+((C55-D55)*B55))&gt;(C55-D55),C55-D55-SUM(E55:Z55),(C55-D55)*B55))</f>
        <v>0</v>
      </c>
      <c r="AB55" s="417">
        <f>IF(AB40&lt;A55,0,IF((SUM(E55:AA55)+((C55-D55)*B55))&gt;(C55-D55),C55-D55-SUM(E55:AA55),(C55-D55)*B55))</f>
        <v>0</v>
      </c>
      <c r="AC55" s="417">
        <f>IF(AC40&lt;A55,0,IF((SUM(E55:AB55)+((C55-D55)*B55))&gt;(C55-D55),C55-D55-SUM(E55:AB55),(C55-D55)*B55))</f>
        <v>0</v>
      </c>
      <c r="AD55" s="417">
        <f>IF(AD40&lt;A55,0,IF((SUM(E55:AC55)+((C55-D55)*B55))&gt;(C55-D55),C55-D55-SUM(E55:AC55),(C55-D55)*B55))</f>
        <v>0</v>
      </c>
      <c r="AE55" s="417">
        <f>IF(AE40&lt;A55,0,IF((SUM(E55:AD55)+((C55-D55)*B55))&gt;(C55-D55),C55-D55-SUM(E55:AD55),(C55-D55)*B55))</f>
        <v>0</v>
      </c>
      <c r="AF55" s="417">
        <f>IF(AF40&lt;A55,0,IF((SUM(E55:AE55)+((C55-D55)*B55))&gt;(C55-D55),C55-D55-SUM(E55:AE55),(C55-D55)*B55))</f>
        <v>0</v>
      </c>
      <c r="AG55" s="417">
        <f>IF(AG40&lt;A55,0,IF((SUM(E55:AF55)+((C55-D55)*B55))&gt;(C55-D55),C55-D55-SUM(E55:AF55),(C55-D55)*B55))</f>
        <v>0</v>
      </c>
      <c r="AH55" s="417">
        <f>IF(AH40&lt;A55,0,IF((SUM(E55:AG55)+((C55-D55)*B55))&gt;(C55-D55),C55-D55-SUM(E55:AG55),(C55-D55)*B55))</f>
        <v>0</v>
      </c>
    </row>
    <row r="56" spans="1:34" s="75" customFormat="1" ht="13.15" customHeight="1" outlineLevel="1" x14ac:dyDescent="0.2">
      <c r="A56" s="416">
        <v>16</v>
      </c>
      <c r="B56" s="374">
        <v>0.2</v>
      </c>
      <c r="C56" s="378">
        <f>SUMIF('14 - Investimentos'!B:B,'15 - Depreciação'!A38,'14 - Investimentos'!T:T)</f>
        <v>1285484.1866666668</v>
      </c>
      <c r="D56" s="417">
        <f>C56*B38</f>
        <v>0</v>
      </c>
      <c r="E56" s="417">
        <f>IF(E40&lt;A56,0,(C56-D56)*B56)</f>
        <v>0</v>
      </c>
      <c r="F56" s="417">
        <f>IF(F40&lt;A56,0,IF((SUM(E56:E56)+((C56-D56)*B56))&gt;(C56-D56),C56-D56-SUM(E56:E56),(C56-D56)*B56))</f>
        <v>0</v>
      </c>
      <c r="G56" s="417">
        <f>IF(G40&lt;A56,0,IF((SUM(E56:F56)+((C56-D56)*B56))&gt;(C56-D56),C56-D56-SUM(E56:F56),(C56-D56)*B56))</f>
        <v>0</v>
      </c>
      <c r="H56" s="417">
        <f>IF(H40&lt;A56,0,IF((SUM(E56:G56)+((C56-D56)*B56))&gt;(C56-D56),C56-D56-SUM(E56:G56),(C56-D56)*B56))</f>
        <v>0</v>
      </c>
      <c r="I56" s="417">
        <f>IF(I40&lt;A56,0,IF((SUM(E56:H56)+((C56-D56)*B56))&gt;(C56-D56),C56-D56-SUM(E56:H56),(C56-D56)*B56))</f>
        <v>0</v>
      </c>
      <c r="J56" s="417">
        <f>IF(J40&lt;A56,0,IF((SUM(E56:I56)+((C56-D56)*B56))&gt;(C56-D56),C56-D56-SUM(E56:I56),(C56-D56)*B56))</f>
        <v>0</v>
      </c>
      <c r="K56" s="417">
        <f>IF(K40&lt;A56,0,IF((SUM(E56:J56)+((C56-D56)*B56))&gt;(C56-D56),C56-D56-SUM(E56:J56),(C56-D56)*B56))</f>
        <v>0</v>
      </c>
      <c r="L56" s="417">
        <f>IF(L40&lt;A56,0,IF((SUM(E56:K56)+((C56-D56)*B56))&gt;(C56-D56),C56-D56-SUM(E56:K56),(C56-D56)*B56))</f>
        <v>0</v>
      </c>
      <c r="M56" s="417">
        <f>IF(M40&lt;A56,0,IF((SUM(E56:L56)+((C56-D56)*B56))&gt;(C56-D56),C56-D56-SUM(E56:L56),(C56-D56)*B56))</f>
        <v>0</v>
      </c>
      <c r="N56" s="417">
        <f>IF(N40&lt;A56,0,IF((SUM(E56:M56)+((C56-D56)*B56))&gt;(C56-D56),C56-D56-SUM(E56:M56),(C56-D56)*B56))</f>
        <v>0</v>
      </c>
      <c r="O56" s="417">
        <f>IF(O40&lt;A56,0,IF((SUM(E56:N56)+((C56-D56)*B56))&gt;(C56-D56),C56-D56-SUM(E56:N56),(C56-D56)*B56))</f>
        <v>0</v>
      </c>
      <c r="P56" s="417">
        <f>IF(P40&lt;A56,0,IF((SUM(E56:O56)+((C56-D56)*B56))&gt;(C56-D56),C56-D56-SUM(E56:O56),(C56-D56)*B56))</f>
        <v>0</v>
      </c>
      <c r="Q56" s="417">
        <f>IF(Q40&lt;A56,0,IF((SUM(E56:P56)+((C56-D56)*B56))&gt;(C56-D56),C56-D56-SUM(E56:P56),(C56-D56)*B56))</f>
        <v>0</v>
      </c>
      <c r="R56" s="417">
        <f>IF(R40&lt;A56,0,IF((SUM(E56:Q56)+((C56-D56)*B56))&gt;(C56-D56),C56-D56-SUM(E56:Q56),(C56-D56)*B56))</f>
        <v>0</v>
      </c>
      <c r="S56" s="417">
        <f>IF(S40&lt;A56,0,IF((SUM(E56:R56)+((C56-D56)*B56))&gt;(C56-D56),C56-D56-SUM(E56:R56),(C56-D56)*B56))</f>
        <v>0</v>
      </c>
      <c r="T56" s="417">
        <f>IF(T40&lt;A56,0,IF((SUM(E56:S56)+((C56-D56)*B56))&gt;(C56-D56),C56-D56-SUM(E56:S56),(C56-D56)*B56))</f>
        <v>257096.83733333336</v>
      </c>
      <c r="U56" s="417">
        <f>IF(U40&lt;A56,0,IF((SUM(E56:T56)+((C56-D56)*B56))&gt;(C56-D56),C56-D56-SUM(E56:T56),(C56-D56)*B56))</f>
        <v>257096.83733333336</v>
      </c>
      <c r="V56" s="417">
        <f>IF(V40&lt;A56,0,IF((SUM(E56:U56)+((C56-D56)*B56))&gt;(C56-D56),C56-D56-SUM(E56:U56),(C56-D56)*B56))</f>
        <v>257096.83733333336</v>
      </c>
      <c r="W56" s="417">
        <f>IF(W40&lt;A56,0,IF((SUM(E56:V56)+((C56-D56)*B56))&gt;(C56-D56),C56-D56-SUM(E56:V56),(C56-D56)*B56))</f>
        <v>257096.83733333336</v>
      </c>
      <c r="X56" s="417">
        <f>IF(X40&lt;A56,0,IF((SUM(E56:W56)+((C56-D56)*B56))&gt;(C56-D56),C56-D56-SUM(E56:W56),(C56-D56)*B56))</f>
        <v>257096.83733333336</v>
      </c>
      <c r="Y56" s="417">
        <f>IF(Y40&lt;A56,0,IF((SUM(E56:X56)+((C56-D56)*B56))&gt;(C56-D56),C56-D56-SUM(E56:X56),(C56-D56)*B56))</f>
        <v>0</v>
      </c>
      <c r="Z56" s="417">
        <f>IF(Z40&lt;A56,0,IF((SUM(E56:Y56)+((C56-D56)*B56))&gt;(C56-D56),C56-D56-SUM(E56:Y56),(C56-D56)*B56))</f>
        <v>0</v>
      </c>
      <c r="AA56" s="417">
        <f>IF(AA40&lt;A56,0,IF((SUM(E56:Z56)+((C56-D56)*B56))&gt;(C56-D56),C56-D56-SUM(E56:Z56),(C56-D56)*B56))</f>
        <v>0</v>
      </c>
      <c r="AB56" s="417">
        <f>IF(AB40&lt;A56,0,IF((SUM(E56:AA56)+((C56-D56)*B56))&gt;(C56-D56),C56-D56-SUM(E56:AA56),(C56-D56)*B56))</f>
        <v>0</v>
      </c>
      <c r="AC56" s="417">
        <f>IF(AC40&lt;A56,0,IF((SUM(E56:AB56)+((C56-D56)*B56))&gt;(C56-D56),C56-D56-SUM(E56:AB56),(C56-D56)*B56))</f>
        <v>0</v>
      </c>
      <c r="AD56" s="417">
        <f>IF(AD40&lt;A56,0,IF((SUM(E56:AC56)+((C56-D56)*B56))&gt;(C56-D56),C56-D56-SUM(E56:AC56),(C56-D56)*B56))</f>
        <v>0</v>
      </c>
      <c r="AE56" s="417">
        <f>IF(AE40&lt;A56,0,IF((SUM(E56:AD56)+((C56-D56)*B56))&gt;(C56-D56),C56-D56-SUM(E56:AD56),(C56-D56)*B56))</f>
        <v>0</v>
      </c>
      <c r="AF56" s="417">
        <f>IF(AF40&lt;A56,0,IF((SUM(E56:AE56)+((C56-D56)*B56))&gt;(C56-D56),C56-D56-SUM(E56:AE56),(C56-D56)*B56))</f>
        <v>0</v>
      </c>
      <c r="AG56" s="417">
        <f>IF(AG40&lt;A56,0,IF((SUM(E56:AF56)+((C56-D56)*B56))&gt;(C56-D56),C56-D56-SUM(E56:AF56),(C56-D56)*B56))</f>
        <v>0</v>
      </c>
      <c r="AH56" s="417">
        <f>IF(AH40&lt;A56,0,IF((SUM(E56:AG56)+((C56-D56)*B56))&gt;(C56-D56),C56-D56-SUM(E56:AG56),(C56-D56)*B56))</f>
        <v>0</v>
      </c>
    </row>
    <row r="57" spans="1:34" s="75" customFormat="1" ht="13.15" customHeight="1" outlineLevel="1" x14ac:dyDescent="0.2">
      <c r="A57" s="416">
        <v>17</v>
      </c>
      <c r="B57" s="374">
        <v>0.2</v>
      </c>
      <c r="C57" s="378">
        <f>SUMIF('14 - Investimentos'!B:B,'15 - Depreciação'!A38,'14 - Investimentos'!U:U)</f>
        <v>218341.96333333332</v>
      </c>
      <c r="D57" s="417">
        <f>C57*B38</f>
        <v>0</v>
      </c>
      <c r="E57" s="417">
        <f>IF(E40&lt;A57,0,(C57-D57)*B57)</f>
        <v>0</v>
      </c>
      <c r="F57" s="417">
        <f>IF(F40&lt;A57,0,IF((SUM(E57:E57)+((C57-D57)*B57))&gt;(C57-D57),C57-D57-SUM(E57:E57),(C57-D57)*B57))</f>
        <v>0</v>
      </c>
      <c r="G57" s="417">
        <f>IF(G40&lt;A57,0,IF((SUM(E57:F57)+((C57-D57)*B57))&gt;(C57-D57),C57-D57-SUM(E57:F57),(C57-D57)*B57))</f>
        <v>0</v>
      </c>
      <c r="H57" s="417">
        <f>IF(H40&lt;A57,0,IF((SUM(E57:G57)+((C57-D57)*B57))&gt;(C57-D57),C57-D57-SUM(E57:G57),(C57-D57)*B57))</f>
        <v>0</v>
      </c>
      <c r="I57" s="417">
        <f>IF(I40&lt;A57,0,IF((SUM(E57:H57)+((C57-D57)*B57))&gt;(C57-D57),C57-D57-SUM(E57:H57),(C57-D57)*B57))</f>
        <v>0</v>
      </c>
      <c r="J57" s="417">
        <f>IF(J40&lt;A57,0,IF((SUM(E57:I57)+((C57-D57)*B57))&gt;(C57-D57),C57-D57-SUM(E57:I57),(C57-D57)*B57))</f>
        <v>0</v>
      </c>
      <c r="K57" s="417">
        <f>IF(K40&lt;A57,0,IF((SUM(E57:J57)+((C57-D57)*B57))&gt;(C57-D57),C57-D57-SUM(E57:J57),(C57-D57)*B57))</f>
        <v>0</v>
      </c>
      <c r="L57" s="417">
        <f>IF(L40&lt;A57,0,IF((SUM(E57:K57)+((C57-D57)*B57))&gt;(C57-D57),C57-D57-SUM(E57:K57),(C57-D57)*B57))</f>
        <v>0</v>
      </c>
      <c r="M57" s="417">
        <f>IF(M40&lt;A57,0,IF((SUM(E57:L57)+((C57-D57)*B57))&gt;(C57-D57),C57-D57-SUM(E57:L57),(C57-D57)*B57))</f>
        <v>0</v>
      </c>
      <c r="N57" s="417">
        <f>IF(N40&lt;A57,0,IF((SUM(E57:M57)+((C57-D57)*B57))&gt;(C57-D57),C57-D57-SUM(E57:M57),(C57-D57)*B57))</f>
        <v>0</v>
      </c>
      <c r="O57" s="417">
        <f>IF(O40&lt;A57,0,IF((SUM(E57:N57)+((C57-D57)*B57))&gt;(C57-D57),C57-D57-SUM(E57:N57),(C57-D57)*B57))</f>
        <v>0</v>
      </c>
      <c r="P57" s="417">
        <f>IF(P40&lt;A57,0,IF((SUM(E57:O57)+((C57-D57)*B57))&gt;(C57-D57),C57-D57-SUM(E57:O57),(C57-D57)*B57))</f>
        <v>0</v>
      </c>
      <c r="Q57" s="417">
        <f>IF(Q40&lt;A57,0,IF((SUM(E57:P57)+((C57-D57)*B57))&gt;(C57-D57),C57-D57-SUM(E57:P57),(C57-D57)*B57))</f>
        <v>0</v>
      </c>
      <c r="R57" s="417">
        <f>IF(R40&lt;A57,0,IF((SUM(E57:Q57)+((C57-D57)*B57))&gt;(C57-D57),C57-D57-SUM(E57:Q57),(C57-D57)*B57))</f>
        <v>0</v>
      </c>
      <c r="S57" s="417">
        <f>IF(S40&lt;A57,0,IF((SUM(E57:R57)+((C57-D57)*B57))&gt;(C57-D57),C57-D57-SUM(E57:R57),(C57-D57)*B57))</f>
        <v>0</v>
      </c>
      <c r="T57" s="417">
        <f>IF(T40&lt;A57,0,IF((SUM(E57:S57)+((C57-D57)*B57))&gt;(C57-D57),C57-D57-SUM(E57:S57),(C57-D57)*B57))</f>
        <v>0</v>
      </c>
      <c r="U57" s="417">
        <f>IF(U40&lt;A57,0,IF((SUM(E57:T57)+((C57-D57)*B57))&gt;(C57-D57),C57-D57-SUM(E57:T57),(C57-D57)*B57))</f>
        <v>43668.392666666667</v>
      </c>
      <c r="V57" s="417">
        <f>IF(V40&lt;A57,0,IF((SUM(E57:U57)+((C57-D57)*B57))&gt;(C57-D57),C57-D57-SUM(E57:U57),(C57-D57)*B57))</f>
        <v>43668.392666666667</v>
      </c>
      <c r="W57" s="417">
        <f>IF(W40&lt;A57,0,IF((SUM(E57:V57)+((C57-D57)*B57))&gt;(C57-D57),C57-D57-SUM(E57:V57),(C57-D57)*B57))</f>
        <v>43668.392666666667</v>
      </c>
      <c r="X57" s="417">
        <f>IF(X40&lt;A57,0,IF((SUM(E57:W57)+((C57-D57)*B57))&gt;(C57-D57),C57-D57-SUM(E57:W57),(C57-D57)*B57))</f>
        <v>43668.392666666667</v>
      </c>
      <c r="Y57" s="417">
        <f>IF(Y40&lt;A57,0,IF((SUM(E57:X57)+((C57-D57)*B57))&gt;(C57-D57),C57-D57-SUM(E57:X57),(C57-D57)*B57))</f>
        <v>43668.392666666667</v>
      </c>
      <c r="Z57" s="417">
        <f>IF(Z40&lt;A57,0,IF((SUM(E57:Y57)+((C57-D57)*B57))&gt;(C57-D57),C57-D57-SUM(E57:Y57),(C57-D57)*B57))</f>
        <v>0</v>
      </c>
      <c r="AA57" s="417">
        <f>IF(AA40&lt;A57,0,IF((SUM(E57:Z57)+((C57-D57)*B57))&gt;(C57-D57),C57-D57-SUM(E57:Z57),(C57-D57)*B57))</f>
        <v>0</v>
      </c>
      <c r="AB57" s="417">
        <f>IF(AB40&lt;A57,0,IF((SUM(E57:AA57)+((C57-D57)*B57))&gt;(C57-D57),C57-D57-SUM(E57:AA57),(C57-D57)*B57))</f>
        <v>0</v>
      </c>
      <c r="AC57" s="417">
        <f>IF(AC40&lt;A57,0,IF((SUM(E57:AB57)+((C57-D57)*B57))&gt;(C57-D57),C57-D57-SUM(E57:AB57),(C57-D57)*B57))</f>
        <v>0</v>
      </c>
      <c r="AD57" s="417">
        <f>IF(AD40&lt;A57,0,IF((SUM(E57:AC57)+((C57-D57)*B57))&gt;(C57-D57),C57-D57-SUM(E57:AC57),(C57-D57)*B57))</f>
        <v>0</v>
      </c>
      <c r="AE57" s="417">
        <f>IF(AE40&lt;A57,0,IF((SUM(E57:AD57)+((C57-D57)*B57))&gt;(C57-D57),C57-D57-SUM(E57:AD57),(C57-D57)*B57))</f>
        <v>0</v>
      </c>
      <c r="AF57" s="417">
        <f>IF(AF40&lt;A57,0,IF((SUM(E57:AE57)+((C57-D57)*B57))&gt;(C57-D57),C57-D57-SUM(E57:AE57),(C57-D57)*B57))</f>
        <v>0</v>
      </c>
      <c r="AG57" s="417">
        <f>IF(AG40&lt;A57,0,IF((SUM(E57:AF57)+((C57-D57)*B57))&gt;(C57-D57),C57-D57-SUM(E57:AF57),(C57-D57)*B57))</f>
        <v>0</v>
      </c>
      <c r="AH57" s="417">
        <f>IF(AH40&lt;A57,0,IF((SUM(E57:AG57)+((C57-D57)*B57))&gt;(C57-D57),C57-D57-SUM(E57:AG57),(C57-D57)*B57))</f>
        <v>0</v>
      </c>
    </row>
    <row r="58" spans="1:34" s="75" customFormat="1" ht="13.15" customHeight="1" outlineLevel="1" x14ac:dyDescent="0.2">
      <c r="A58" s="416">
        <v>18</v>
      </c>
      <c r="B58" s="374">
        <v>0.2</v>
      </c>
      <c r="C58" s="378">
        <f>SUMIF('14 - Investimentos'!B:B,'15 - Depreciação'!A38,'14 - Investimentos'!V:V)</f>
        <v>845053.29666666687</v>
      </c>
      <c r="D58" s="417">
        <f>C58*B38</f>
        <v>0</v>
      </c>
      <c r="E58" s="417">
        <f>IF(E40&lt;A58,0,(C58-D58)*B58)</f>
        <v>0</v>
      </c>
      <c r="F58" s="417">
        <f>IF(F40&lt;A58,0,IF((SUM(E58:E58)+((C58-D58)*B58))&gt;(C58-D58),C58-D58-SUM(E58:E58),(C58-D58)*B58))</f>
        <v>0</v>
      </c>
      <c r="G58" s="417">
        <f>IF(G40&lt;A58,0,IF((SUM(E58:F58)+((C58-D58)*B58))&gt;(C58-D58),C58-D58-SUM(E58:F58),(C58-D58)*B58))</f>
        <v>0</v>
      </c>
      <c r="H58" s="417">
        <f>IF(H40&lt;A58,0,IF((SUM(E58:G58)+((C58-D58)*B58))&gt;(C58-D58),C58-D58-SUM(E58:G58),(C58-D58)*B58))</f>
        <v>0</v>
      </c>
      <c r="I58" s="417">
        <f>IF(I40&lt;A58,0,IF((SUM(E58:H58)+((C58-D58)*B58))&gt;(C58-D58),C58-D58-SUM(E58:H58),(C58-D58)*B58))</f>
        <v>0</v>
      </c>
      <c r="J58" s="417">
        <f>IF(J40&lt;A58,0,IF((SUM(E58:I58)+((C58-D58)*B58))&gt;(C58-D58),C58-D58-SUM(E58:I58),(C58-D58)*B58))</f>
        <v>0</v>
      </c>
      <c r="K58" s="417">
        <f>IF(K40&lt;A58,0,IF((SUM(E58:J58)+((C58-D58)*B58))&gt;(C58-D58),C58-D58-SUM(E58:J58),(C58-D58)*B58))</f>
        <v>0</v>
      </c>
      <c r="L58" s="417">
        <f>IF(L40&lt;A58,0,IF((SUM(E58:K58)+((C58-D58)*B58))&gt;(C58-D58),C58-D58-SUM(E58:K58),(C58-D58)*B58))</f>
        <v>0</v>
      </c>
      <c r="M58" s="417">
        <f>IF(M40&lt;A58,0,IF((SUM(E58:L58)+((C58-D58)*B58))&gt;(C58-D58),C58-D58-SUM(E58:L58),(C58-D58)*B58))</f>
        <v>0</v>
      </c>
      <c r="N58" s="417">
        <f>IF(N40&lt;A58,0,IF((SUM(E58:M58)+((C58-D58)*B58))&gt;(C58-D58),C58-D58-SUM(E58:M58),(C58-D58)*B58))</f>
        <v>0</v>
      </c>
      <c r="O58" s="417">
        <f>IF(O40&lt;A58,0,IF((SUM(E58:N58)+((C58-D58)*B58))&gt;(C58-D58),C58-D58-SUM(E58:N58),(C58-D58)*B58))</f>
        <v>0</v>
      </c>
      <c r="P58" s="417">
        <f>IF(P40&lt;A58,0,IF((SUM(E58:O58)+((C58-D58)*B58))&gt;(C58-D58),C58-D58-SUM(E58:O58),(C58-D58)*B58))</f>
        <v>0</v>
      </c>
      <c r="Q58" s="417">
        <f>IF(Q40&lt;A58,0,IF((SUM(E58:P58)+((C58-D58)*B58))&gt;(C58-D58),C58-D58-SUM(E58:P58),(C58-D58)*B58))</f>
        <v>0</v>
      </c>
      <c r="R58" s="417">
        <f>IF(R40&lt;A58,0,IF((SUM(E58:Q58)+((C58-D58)*B58))&gt;(C58-D58),C58-D58-SUM(E58:Q58),(C58-D58)*B58))</f>
        <v>0</v>
      </c>
      <c r="S58" s="417">
        <f>IF(S40&lt;A58,0,IF((SUM(E58:R58)+((C58-D58)*B58))&gt;(C58-D58),C58-D58-SUM(E58:R58),(C58-D58)*B58))</f>
        <v>0</v>
      </c>
      <c r="T58" s="417">
        <f>IF(T40&lt;A58,0,IF((SUM(E58:S58)+((C58-D58)*B58))&gt;(C58-D58),C58-D58-SUM(E58:S58),(C58-D58)*B58))</f>
        <v>0</v>
      </c>
      <c r="U58" s="417">
        <f>IF(U40&lt;A58,0,IF((SUM(E58:T58)+((C58-D58)*B58))&gt;(C58-D58),C58-D58-SUM(E58:T58),(C58-D58)*B58))</f>
        <v>0</v>
      </c>
      <c r="V58" s="417">
        <f>IF(V40&lt;A58,0,IF((SUM(E58:U58)+((C58-D58)*B58))&gt;(C58-D58),C58-D58-SUM(E58:U58),(C58-D58)*B58))</f>
        <v>169010.65933333337</v>
      </c>
      <c r="W58" s="417">
        <f>IF(W40&lt;A58,0,IF((SUM(E58:V58)+((C58-D58)*B58))&gt;(C58-D58),C58-D58-SUM(E58:V58),(C58-D58)*B58))</f>
        <v>169010.65933333337</v>
      </c>
      <c r="X58" s="417">
        <f>IF(X40&lt;A58,0,IF((SUM(E58:W58)+((C58-D58)*B58))&gt;(C58-D58),C58-D58-SUM(E58:W58),(C58-D58)*B58))</f>
        <v>169010.65933333337</v>
      </c>
      <c r="Y58" s="417">
        <f>IF(Y40&lt;A58,0,IF((SUM(E58:X58)+((C58-D58)*B58))&gt;(C58-D58),C58-D58-SUM(E58:X58),(C58-D58)*B58))</f>
        <v>169010.65933333337</v>
      </c>
      <c r="Z58" s="417">
        <f>IF(Z40&lt;A58,0,IF((SUM(E58:Y58)+((C58-D58)*B58))&gt;(C58-D58),C58-D58-SUM(E58:Y58),(C58-D58)*B58))</f>
        <v>169010.65933333337</v>
      </c>
      <c r="AA58" s="417">
        <f>IF(AA40&lt;A58,0,IF((SUM(E58:Z58)+((C58-D58)*B58))&gt;(C58-D58),C58-D58-SUM(E58:Z58),(C58-D58)*B58))</f>
        <v>0</v>
      </c>
      <c r="AB58" s="417">
        <f>IF(AB40&lt;A58,0,IF((SUM(E58:AA58)+((C58-D58)*B58))&gt;(C58-D58),C58-D58-SUM(E58:AA58),(C58-D58)*B58))</f>
        <v>0</v>
      </c>
      <c r="AC58" s="417">
        <f>IF(AC40&lt;A58,0,IF((SUM(E58:AB58)+((C58-D58)*B58))&gt;(C58-D58),C58-D58-SUM(E58:AB58),(C58-D58)*B58))</f>
        <v>0</v>
      </c>
      <c r="AD58" s="417">
        <f>IF(AD40&lt;A58,0,IF((SUM(E58:AC58)+((C58-D58)*B58))&gt;(C58-D58),C58-D58-SUM(E58:AC58),(C58-D58)*B58))</f>
        <v>0</v>
      </c>
      <c r="AE58" s="417">
        <f>IF(AE40&lt;A58,0,IF((SUM(E58:AD58)+((C58-D58)*B58))&gt;(C58-D58),C58-D58-SUM(E58:AD58),(C58-D58)*B58))</f>
        <v>0</v>
      </c>
      <c r="AF58" s="417">
        <f>IF(AF40&lt;A58,0,IF((SUM(E58:AE58)+((C58-D58)*B58))&gt;(C58-D58),C58-D58-SUM(E58:AE58),(C58-D58)*B58))</f>
        <v>0</v>
      </c>
      <c r="AG58" s="417">
        <f>IF(AG40&lt;A58,0,IF((SUM(E58:AF58)+((C58-D58)*B58))&gt;(C58-D58),C58-D58-SUM(E58:AF58),(C58-D58)*B58))</f>
        <v>0</v>
      </c>
      <c r="AH58" s="417">
        <f>IF(AH40&lt;A58,0,IF((SUM(E58:AG58)+((C58-D58)*B58))&gt;(C58-D58),C58-D58-SUM(E58:AG58),(C58-D58)*B58))</f>
        <v>0</v>
      </c>
    </row>
    <row r="59" spans="1:34" s="75" customFormat="1" ht="13.15" customHeight="1" outlineLevel="1" x14ac:dyDescent="0.2">
      <c r="A59" s="416">
        <v>19</v>
      </c>
      <c r="B59" s="374">
        <v>0.2</v>
      </c>
      <c r="C59" s="378">
        <f>SUMIF('14 - Investimentos'!B:B,'15 - Depreciação'!A38,'14 - Investimentos'!W:W)</f>
        <v>293</v>
      </c>
      <c r="D59" s="417">
        <f>C59*B38</f>
        <v>0</v>
      </c>
      <c r="E59" s="417">
        <f>IF(E40&lt;A59,0,(C59-D59)*B59)</f>
        <v>0</v>
      </c>
      <c r="F59" s="417">
        <f>IF(F40&lt;A59,0,IF((SUM(E59:E59)+((C59-D59)*B59))&gt;(C59-D59),C59-D59-SUM(E59:E59),(C59-D59)*B59))</f>
        <v>0</v>
      </c>
      <c r="G59" s="417">
        <f>IF(G40&lt;A59,0,IF((SUM(E59:F59)+((C59-D59)*B59))&gt;(C59-D59),C59-D59-SUM(E59:F59),(C59-D59)*B59))</f>
        <v>0</v>
      </c>
      <c r="H59" s="417">
        <f>IF(H40&lt;A59,0,IF((SUM(E59:G59)+((C59-D59)*B59))&gt;(C59-D59),C59-D59-SUM(E59:G59),(C59-D59)*B59))</f>
        <v>0</v>
      </c>
      <c r="I59" s="417">
        <f>IF(I40&lt;A59,0,IF((SUM(E59:H59)+((C59-D59)*B59))&gt;(C59-D59),C59-D59-SUM(E59:H59),(C59-D59)*B59))</f>
        <v>0</v>
      </c>
      <c r="J59" s="417">
        <f>IF(J40&lt;A59,0,IF((SUM(E59:I59)+((C59-D59)*B59))&gt;(C59-D59),C59-D59-SUM(E59:I59),(C59-D59)*B59))</f>
        <v>0</v>
      </c>
      <c r="K59" s="417">
        <f>IF(K40&lt;A59,0,IF((SUM(E59:J59)+((C59-D59)*B59))&gt;(C59-D59),C59-D59-SUM(E59:J59),(C59-D59)*B59))</f>
        <v>0</v>
      </c>
      <c r="L59" s="417">
        <f>IF(L40&lt;A59,0,IF((SUM(E59:K59)+((C59-D59)*B59))&gt;(C59-D59),C59-D59-SUM(E59:K59),(C59-D59)*B59))</f>
        <v>0</v>
      </c>
      <c r="M59" s="417">
        <f>IF(M40&lt;A59,0,IF((SUM(E59:L59)+((C59-D59)*B59))&gt;(C59-D59),C59-D59-SUM(E59:L59),(C59-D59)*B59))</f>
        <v>0</v>
      </c>
      <c r="N59" s="417">
        <f>IF(N40&lt;A59,0,IF((SUM(E59:M59)+((C59-D59)*B59))&gt;(C59-D59),C59-D59-SUM(E59:M59),(C59-D59)*B59))</f>
        <v>0</v>
      </c>
      <c r="O59" s="417">
        <f>IF(O40&lt;A59,0,IF((SUM(E59:N59)+((C59-D59)*B59))&gt;(C59-D59),C59-D59-SUM(E59:N59),(C59-D59)*B59))</f>
        <v>0</v>
      </c>
      <c r="P59" s="417">
        <f>IF(P40&lt;A59,0,IF((SUM(E59:O59)+((C59-D59)*B59))&gt;(C59-D59),C59-D59-SUM(E59:O59),(C59-D59)*B59))</f>
        <v>0</v>
      </c>
      <c r="Q59" s="417">
        <f>IF(Q40&lt;A59,0,IF((SUM(E59:P59)+((C59-D59)*B59))&gt;(C59-D59),C59-D59-SUM(E59:P59),(C59-D59)*B59))</f>
        <v>0</v>
      </c>
      <c r="R59" s="417">
        <f>IF(R40&lt;A59,0,IF((SUM(E59:Q59)+((C59-D59)*B59))&gt;(C59-D59),C59-D59-SUM(E59:Q59),(C59-D59)*B59))</f>
        <v>0</v>
      </c>
      <c r="S59" s="417">
        <f>IF(S40&lt;A59,0,IF((SUM(E59:R59)+((C59-D59)*B59))&gt;(C59-D59),C59-D59-SUM(E59:R59),(C59-D59)*B59))</f>
        <v>0</v>
      </c>
      <c r="T59" s="417">
        <f>IF(T40&lt;A59,0,IF((SUM(E59:S59)+((C59-D59)*B59))&gt;(C59-D59),C59-D59-SUM(E59:S59),(C59-D59)*B59))</f>
        <v>0</v>
      </c>
      <c r="U59" s="417">
        <f>IF(U40&lt;A59,0,IF((SUM(E59:T59)+((C59-D59)*B59))&gt;(C59-D59),C59-D59-SUM(E59:T59),(C59-D59)*B59))</f>
        <v>0</v>
      </c>
      <c r="V59" s="417">
        <f>IF(V40&lt;A59,0,IF((SUM(E59:U59)+((C59-D59)*B59))&gt;(C59-D59),C59-D59-SUM(E59:U59),(C59-D59)*B59))</f>
        <v>0</v>
      </c>
      <c r="W59" s="417">
        <f>IF(W40&lt;A59,0,IF((SUM(E59:V59)+((C59-D59)*B59))&gt;(C59-D59),C59-D59-SUM(E59:V59),(C59-D59)*B59))</f>
        <v>58.6</v>
      </c>
      <c r="X59" s="417">
        <f>IF(X40&lt;A59,0,IF((SUM(E59:W59)+((C59-D59)*B59))&gt;(C59-D59),C59-D59-SUM(E59:W59),(C59-D59)*B59))</f>
        <v>58.6</v>
      </c>
      <c r="Y59" s="417">
        <f>IF(Y40&lt;A59,0,IF((SUM(E59:X59)+((C59-D59)*B59))&gt;(C59-D59),C59-D59-SUM(E59:X59),(C59-D59)*B59))</f>
        <v>58.6</v>
      </c>
      <c r="Z59" s="417">
        <f>IF(Z40&lt;A59,0,IF((SUM(E59:Y59)+((C59-D59)*B59))&gt;(C59-D59),C59-D59-SUM(E59:Y59),(C59-D59)*B59))</f>
        <v>58.6</v>
      </c>
      <c r="AA59" s="417">
        <f>IF(AA40&lt;A59,0,IF((SUM(E59:Z59)+((C59-D59)*B59))&gt;(C59-D59),C59-D59-SUM(E59:Z59),(C59-D59)*B59))</f>
        <v>58.6</v>
      </c>
      <c r="AB59" s="417">
        <f>IF(AB40&lt;A59,0,IF((SUM(E59:AA59)+((C59-D59)*B59))&gt;(C59-D59),C59-D59-SUM(E59:AA59),(C59-D59)*B59))</f>
        <v>0</v>
      </c>
      <c r="AC59" s="417">
        <f>IF(AC40&lt;A59,0,IF((SUM(E59:AB59)+((C59-D59)*B59))&gt;(C59-D59),C59-D59-SUM(E59:AB59),(C59-D59)*B59))</f>
        <v>0</v>
      </c>
      <c r="AD59" s="417">
        <f>IF(AD40&lt;A59,0,IF((SUM(E59:AC59)+((C59-D59)*B59))&gt;(C59-D59),C59-D59-SUM(E59:AC59),(C59-D59)*B59))</f>
        <v>0</v>
      </c>
      <c r="AE59" s="417">
        <f>IF(AE40&lt;A59,0,IF((SUM(E59:AD59)+((C59-D59)*B59))&gt;(C59-D59),C59-D59-SUM(E59:AD59),(C59-D59)*B59))</f>
        <v>0</v>
      </c>
      <c r="AF59" s="417">
        <f>IF(AF40&lt;A59,0,IF((SUM(E59:AE59)+((C59-D59)*B59))&gt;(C59-D59),C59-D59-SUM(E59:AE59),(C59-D59)*B59))</f>
        <v>0</v>
      </c>
      <c r="AG59" s="417">
        <f>IF(AG40&lt;A59,0,IF((SUM(E59:AF59)+((C59-D59)*B59))&gt;(C59-D59),C59-D59-SUM(E59:AF59),(C59-D59)*B59))</f>
        <v>0</v>
      </c>
      <c r="AH59" s="417">
        <f>IF(AH40&lt;A59,0,IF((SUM(E59:AG59)+((C59-D59)*B59))&gt;(C59-D59),C59-D59-SUM(E59:AG59),(C59-D59)*B59))</f>
        <v>0</v>
      </c>
    </row>
    <row r="60" spans="1:34" s="75" customFormat="1" ht="13.15" customHeight="1" outlineLevel="1" x14ac:dyDescent="0.2">
      <c r="A60" s="416">
        <v>20</v>
      </c>
      <c r="B60" s="374">
        <v>0.2</v>
      </c>
      <c r="C60" s="378">
        <f>SUMIF('14 - Investimentos'!B:B,'15 - Depreciação'!A38,'14 - Investimentos'!X:X)</f>
        <v>655784.96333333338</v>
      </c>
      <c r="D60" s="417">
        <f>C60*B38</f>
        <v>0</v>
      </c>
      <c r="E60" s="417">
        <f>IF(E40&lt;A60,0,(C60-D60)*B60)</f>
        <v>0</v>
      </c>
      <c r="F60" s="417">
        <f>IF(F40&lt;A60,0,IF((SUM(E60:E60)+((C60-D60)*B60))&gt;(C60-D60),C60-D60-SUM(E60:E60),(C60-D60)*B60))</f>
        <v>0</v>
      </c>
      <c r="G60" s="417">
        <f>IF(G40&lt;A60,0,IF((SUM(E60:F60)+((C60-D60)*B60))&gt;(C60-D60),C60-D60-SUM(E60:F60),(C60-D60)*B60))</f>
        <v>0</v>
      </c>
      <c r="H60" s="417">
        <f>IF(H40&lt;A60,0,IF((SUM(E60:G60)+((C60-D60)*B60))&gt;(C60-D60),C60-D60-SUM(E60:G60),(C60-D60)*B60))</f>
        <v>0</v>
      </c>
      <c r="I60" s="417">
        <f>IF(I40&lt;A60,0,IF((SUM(E60:H60)+((C60-D60)*B60))&gt;(C60-D60),C60-D60-SUM(E60:H60),(C60-D60)*B60))</f>
        <v>0</v>
      </c>
      <c r="J60" s="417">
        <f>IF(J40&lt;A60,0,IF((SUM(E60:I60)+((C60-D60)*B60))&gt;(C60-D60),C60-D60-SUM(E60:I60),(C60-D60)*B60))</f>
        <v>0</v>
      </c>
      <c r="K60" s="417">
        <f>IF(K40&lt;A60,0,IF((SUM(E60:J60)+((C60-D60)*B60))&gt;(C60-D60),C60-D60-SUM(E60:J60),(C60-D60)*B60))</f>
        <v>0</v>
      </c>
      <c r="L60" s="417">
        <f>IF(L40&lt;A60,0,IF((SUM(E60:K60)+((C60-D60)*B60))&gt;(C60-D60),C60-D60-SUM(E60:K60),(C60-D60)*B60))</f>
        <v>0</v>
      </c>
      <c r="M60" s="417">
        <f>IF(M40&lt;A60,0,IF((SUM(E60:L60)+((C60-D60)*B60))&gt;(C60-D60),C60-D60-SUM(E60:L60),(C60-D60)*B60))</f>
        <v>0</v>
      </c>
      <c r="N60" s="417">
        <f>IF(N40&lt;A60,0,IF((SUM(E60:M60)+((C60-D60)*B60))&gt;(C60-D60),C60-D60-SUM(E60:M60),(C60-D60)*B60))</f>
        <v>0</v>
      </c>
      <c r="O60" s="417">
        <f>IF(O40&lt;A60,0,IF((SUM(E60:N60)+((C60-D60)*B60))&gt;(C60-D60),C60-D60-SUM(E60:N60),(C60-D60)*B60))</f>
        <v>0</v>
      </c>
      <c r="P60" s="417">
        <f>IF(P40&lt;A60,0,IF((SUM(E60:O60)+((C60-D60)*B60))&gt;(C60-D60),C60-D60-SUM(E60:O60),(C60-D60)*B60))</f>
        <v>0</v>
      </c>
      <c r="Q60" s="417">
        <f>IF(Q40&lt;A60,0,IF((SUM(E60:P60)+((C60-D60)*B60))&gt;(C60-D60),C60-D60-SUM(E60:P60),(C60-D60)*B60))</f>
        <v>0</v>
      </c>
      <c r="R60" s="417">
        <f>IF(R40&lt;A60,0,IF((SUM(E60:Q60)+((C60-D60)*B60))&gt;(C60-D60),C60-D60-SUM(E60:Q60),(C60-D60)*B60))</f>
        <v>0</v>
      </c>
      <c r="S60" s="417">
        <f>IF(S40&lt;A60,0,IF((SUM(E60:R60)+((C60-D60)*B60))&gt;(C60-D60),C60-D60-SUM(E60:R60),(C60-D60)*B60))</f>
        <v>0</v>
      </c>
      <c r="T60" s="417">
        <f>IF(T40&lt;A60,0,IF((SUM(E60:S60)+((C60-D60)*B60))&gt;(C60-D60),C60-D60-SUM(E60:S60),(C60-D60)*B60))</f>
        <v>0</v>
      </c>
      <c r="U60" s="417">
        <f>IF(U40&lt;A60,0,IF((SUM(E60:T60)+((C60-D60)*B60))&gt;(C60-D60),C60-D60-SUM(E60:T60),(C60-D60)*B60))</f>
        <v>0</v>
      </c>
      <c r="V60" s="417">
        <f>IF(V40&lt;A60,0,IF((SUM(E60:U60)+((C60-D60)*B60))&gt;(C60-D60),C60-D60-SUM(E60:U60),(C60-D60)*B60))</f>
        <v>0</v>
      </c>
      <c r="W60" s="417">
        <f>IF(W40&lt;A60,0,IF((SUM(E60:V60)+((C60-D60)*B60))&gt;(C60-D60),C60-D60-SUM(E60:V60),(C60-D60)*B60))</f>
        <v>0</v>
      </c>
      <c r="X60" s="417">
        <f>IF(X40&lt;A60,0,IF((SUM(E60:W60)+((C60-D60)*B60))&gt;(C60-D60),C60-D60-SUM(E60:W60),(C60-D60)*B60))</f>
        <v>131156.99266666669</v>
      </c>
      <c r="Y60" s="417">
        <f>IF(Y40&lt;A60,0,IF((SUM(E60:X60)+((C60-D60)*B60))&gt;(C60-D60),C60-D60-SUM(E60:X60),(C60-D60)*B60))</f>
        <v>131156.99266666669</v>
      </c>
      <c r="Z60" s="417">
        <f>IF(Z40&lt;A60,0,IF((SUM(E60:Y60)+((C60-D60)*B60))&gt;(C60-D60),C60-D60-SUM(E60:Y60),(C60-D60)*B60))</f>
        <v>131156.99266666669</v>
      </c>
      <c r="AA60" s="417">
        <f>IF(AA40&lt;A60,0,IF((SUM(E60:Z60)+((C60-D60)*B60))&gt;(C60-D60),C60-D60-SUM(E60:Z60),(C60-D60)*B60))</f>
        <v>131156.99266666669</v>
      </c>
      <c r="AB60" s="417">
        <f>IF(AB40&lt;A60,0,IF((SUM(E60:AA60)+((C60-D60)*B60))&gt;(C60-D60),C60-D60-SUM(E60:AA60),(C60-D60)*B60))</f>
        <v>131156.99266666669</v>
      </c>
      <c r="AC60" s="417">
        <f>IF(AC40&lt;A60,0,IF((SUM(E60:AB60)+((C60-D60)*B60))&gt;(C60-D60),C60-D60-SUM(E60:AB60),(C60-D60)*B60))</f>
        <v>0</v>
      </c>
      <c r="AD60" s="417">
        <f>IF(AD40&lt;A60,0,IF((SUM(E60:AC60)+((C60-D60)*B60))&gt;(C60-D60),C60-D60-SUM(E60:AC60),(C60-D60)*B60))</f>
        <v>0</v>
      </c>
      <c r="AE60" s="417">
        <f>IF(AE40&lt;A60,0,IF((SUM(E60:AD60)+((C60-D60)*B60))&gt;(C60-D60),C60-D60-SUM(E60:AD60),(C60-D60)*B60))</f>
        <v>0</v>
      </c>
      <c r="AF60" s="417">
        <f>IF(AF40&lt;A60,0,IF((SUM(E60:AE60)+((C60-D60)*B60))&gt;(C60-D60),C60-D60-SUM(E60:AE60),(C60-D60)*B60))</f>
        <v>0</v>
      </c>
      <c r="AG60" s="417">
        <f>IF(AG40&lt;A60,0,IF((SUM(E60:AF60)+((C60-D60)*B60))&gt;(C60-D60),C60-D60-SUM(E60:AF60),(C60-D60)*B60))</f>
        <v>0</v>
      </c>
      <c r="AH60" s="417">
        <f>IF(AH40&lt;A60,0,IF((SUM(E60:AG60)+((C60-D60)*B60))&gt;(C60-D60),C60-D60-SUM(E60:AG60),(C60-D60)*B60))</f>
        <v>0</v>
      </c>
    </row>
    <row r="61" spans="1:34" s="75" customFormat="1" ht="13.15" customHeight="1" outlineLevel="1" x14ac:dyDescent="0.2">
      <c r="A61" s="416">
        <v>21</v>
      </c>
      <c r="B61" s="374">
        <v>0.2</v>
      </c>
      <c r="C61" s="378">
        <f>SUMIF('14 - Investimentos'!B:B,'15 - Depreciação'!A38,'14 - Investimentos'!Y:Y)</f>
        <v>1358162.1866666668</v>
      </c>
      <c r="D61" s="417">
        <f>C61*B38</f>
        <v>0</v>
      </c>
      <c r="E61" s="417">
        <f>IF(E40&lt;A61,0,(C61-D61)*B61)</f>
        <v>0</v>
      </c>
      <c r="F61" s="417">
        <f>IF(F40&lt;A61,0,IF((SUM(E61:E61)+((C61-D61)*B61))&gt;(C61-D61),C61-D61-SUM(E61:E61),(C61-D61)*B61))</f>
        <v>0</v>
      </c>
      <c r="G61" s="417">
        <f>IF(G40&lt;A61,0,IF((SUM(E61:F61)+((C61-D61)*B61))&gt;(C61-D61),C61-D61-SUM(E61:F61),(C61-D61)*B61))</f>
        <v>0</v>
      </c>
      <c r="H61" s="417">
        <f>IF(H40&lt;A61,0,IF((SUM(E61:G61)+((C61-D61)*B61))&gt;(C61-D61),C61-D61-SUM(E61:G61),(C61-D61)*B61))</f>
        <v>0</v>
      </c>
      <c r="I61" s="417">
        <f>IF(I40&lt;A61,0,IF((SUM(E61:H61)+((C61-D61)*B61))&gt;(C61-D61),C61-D61-SUM(E61:H61),(C61-D61)*B61))</f>
        <v>0</v>
      </c>
      <c r="J61" s="417">
        <f>IF(J40&lt;A61,0,IF((SUM(E61:I61)+((C61-D61)*B61))&gt;(C61-D61),C61-D61-SUM(E61:I61),(C61-D61)*B61))</f>
        <v>0</v>
      </c>
      <c r="K61" s="417">
        <f>IF(K40&lt;A61,0,IF((SUM(E61:J61)+((C61-D61)*B61))&gt;(C61-D61),C61-D61-SUM(E61:J61),(C61-D61)*B61))</f>
        <v>0</v>
      </c>
      <c r="L61" s="417">
        <f>IF(L40&lt;A61,0,IF((SUM(E61:K61)+((C61-D61)*B61))&gt;(C61-D61),C61-D61-SUM(E61:K61),(C61-D61)*B61))</f>
        <v>0</v>
      </c>
      <c r="M61" s="417">
        <f>IF(M40&lt;A61,0,IF((SUM(E61:L61)+((C61-D61)*B61))&gt;(C61-D61),C61-D61-SUM(E61:L61),(C61-D61)*B61))</f>
        <v>0</v>
      </c>
      <c r="N61" s="417">
        <f>IF(N40&lt;A61,0,IF((SUM(E61:M61)+((C61-D61)*B61))&gt;(C61-D61),C61-D61-SUM(E61:M61),(C61-D61)*B61))</f>
        <v>0</v>
      </c>
      <c r="O61" s="417">
        <f>IF(O40&lt;A61,0,IF((SUM(E61:N61)+((C61-D61)*B61))&gt;(C61-D61),C61-D61-SUM(E61:N61),(C61-D61)*B61))</f>
        <v>0</v>
      </c>
      <c r="P61" s="417">
        <f>IF(P40&lt;A61,0,IF((SUM(E61:O61)+((C61-D61)*B61))&gt;(C61-D61),C61-D61-SUM(E61:O61),(C61-D61)*B61))</f>
        <v>0</v>
      </c>
      <c r="Q61" s="417">
        <f>IF(Q40&lt;A61,0,IF((SUM(E61:P61)+((C61-D61)*B61))&gt;(C61-D61),C61-D61-SUM(E61:P61),(C61-D61)*B61))</f>
        <v>0</v>
      </c>
      <c r="R61" s="417">
        <f>IF(R40&lt;A61,0,IF((SUM(E61:Q61)+((C61-D61)*B61))&gt;(C61-D61),C61-D61-SUM(E61:Q61),(C61-D61)*B61))</f>
        <v>0</v>
      </c>
      <c r="S61" s="417">
        <f>IF(S40&lt;A61,0,IF((SUM(E61:R61)+((C61-D61)*B61))&gt;(C61-D61),C61-D61-SUM(E61:R61),(C61-D61)*B61))</f>
        <v>0</v>
      </c>
      <c r="T61" s="417">
        <f>IF(T40&lt;A61,0,IF((SUM(E61:S61)+((C61-D61)*B61))&gt;(C61-D61),C61-D61-SUM(E61:S61),(C61-D61)*B61))</f>
        <v>0</v>
      </c>
      <c r="U61" s="417">
        <f>IF(U40&lt;A61,0,IF((SUM(E61:T61)+((C61-D61)*B61))&gt;(C61-D61),C61-D61-SUM(E61:T61),(C61-D61)*B61))</f>
        <v>0</v>
      </c>
      <c r="V61" s="417">
        <f>IF(V40&lt;A61,0,IF((SUM(E61:U61)+((C61-D61)*B61))&gt;(C61-D61),C61-D61-SUM(E61:U61),(C61-D61)*B61))</f>
        <v>0</v>
      </c>
      <c r="W61" s="417">
        <f>IF(W40&lt;A61,0,IF((SUM(E61:V61)+((C61-D61)*B61))&gt;(C61-D61),C61-D61-SUM(E61:V61),(C61-D61)*B61))</f>
        <v>0</v>
      </c>
      <c r="X61" s="417">
        <f>IF(X40&lt;A61,0,IF((SUM(E61:W61)+((C61-D61)*B61))&gt;(C61-D61),C61-D61-SUM(E61:W61),(C61-D61)*B61))</f>
        <v>0</v>
      </c>
      <c r="Y61" s="417">
        <f>IF(Y40&lt;A61,0,IF((SUM(E61:X61)+((C61-D61)*B61))&gt;(C61-D61),C61-D61-SUM(E61:X61),(C61-D61)*B61))</f>
        <v>271632.43733333336</v>
      </c>
      <c r="Z61" s="417">
        <f>IF(Z40&lt;A61,0,IF((SUM(E61:Y61)+((C61-D61)*B61))&gt;(C61-D61),C61-D61-SUM(E61:Y61),(C61-D61)*B61))</f>
        <v>271632.43733333336</v>
      </c>
      <c r="AA61" s="417">
        <f>IF(AA40&lt;A61,0,IF((SUM(E61:Z61)+((C61-D61)*B61))&gt;(C61-D61),C61-D61-SUM(E61:Z61),(C61-D61)*B61))</f>
        <v>271632.43733333336</v>
      </c>
      <c r="AB61" s="417">
        <f>IF(AB40&lt;A61,0,IF((SUM(E61:AA61)+((C61-D61)*B61))&gt;(C61-D61),C61-D61-SUM(E61:AA61),(C61-D61)*B61))</f>
        <v>271632.43733333336</v>
      </c>
      <c r="AC61" s="417">
        <f>IF(AC40&lt;A61,0,IF((SUM(E61:AB61)+((C61-D61)*B61))&gt;(C61-D61),C61-D61-SUM(E61:AB61),(C61-D61)*B61))</f>
        <v>271632.43733333336</v>
      </c>
      <c r="AD61" s="417">
        <f>IF(AD40&lt;A61,0,IF((SUM(E61:AC61)+((C61-D61)*B61))&gt;(C61-D61),C61-D61-SUM(E61:AC61),(C61-D61)*B61))</f>
        <v>0</v>
      </c>
      <c r="AE61" s="417">
        <f>IF(AE40&lt;A61,0,IF((SUM(E61:AD61)+((C61-D61)*B61))&gt;(C61-D61),C61-D61-SUM(E61:AD61),(C61-D61)*B61))</f>
        <v>0</v>
      </c>
      <c r="AF61" s="417">
        <f>IF(AF40&lt;A61,0,IF((SUM(E61:AE61)+((C61-D61)*B61))&gt;(C61-D61),C61-D61-SUM(E61:AE61),(C61-D61)*B61))</f>
        <v>0</v>
      </c>
      <c r="AG61" s="417">
        <f>IF(AG40&lt;A61,0,IF((SUM(E61:AF61)+((C61-D61)*B61))&gt;(C61-D61),C61-D61-SUM(E61:AF61),(C61-D61)*B61))</f>
        <v>0</v>
      </c>
      <c r="AH61" s="417">
        <f>IF(AH40&lt;A61,0,IF((SUM(E61:AG61)+((C61-D61)*B61))&gt;(C61-D61),C61-D61-SUM(E61:AG61),(C61-D61)*B61))</f>
        <v>0</v>
      </c>
    </row>
    <row r="62" spans="1:34" s="75" customFormat="1" ht="13.15" customHeight="1" outlineLevel="1" x14ac:dyDescent="0.2">
      <c r="A62" s="416">
        <v>22</v>
      </c>
      <c r="B62" s="374">
        <v>0.2</v>
      </c>
      <c r="C62" s="378">
        <f>SUMIF('14 - Investimentos'!B:B,'15 - Depreciação'!A38,'14 - Investimentos'!Z:Z)</f>
        <v>796224.41333333333</v>
      </c>
      <c r="D62" s="417">
        <f>C62*B38</f>
        <v>0</v>
      </c>
      <c r="E62" s="417">
        <f>IF(E40&lt;A62,0,(C62-D62)*B62)</f>
        <v>0</v>
      </c>
      <c r="F62" s="417">
        <f>IF(F40&lt;A62,0,IF((SUM(E62:E62)+((C62-D62)*B62))&gt;(C62-D62),C62-D62-SUM(E62:E62),(C62-D62)*B62))</f>
        <v>0</v>
      </c>
      <c r="G62" s="417">
        <f>IF(G40&lt;A62,0,IF((SUM(E62:F62)+((C62-D62)*B62))&gt;(C62-D62),C62-D62-SUM(E62:F62),(C62-D62)*B62))</f>
        <v>0</v>
      </c>
      <c r="H62" s="417">
        <f>IF(H40&lt;A62,0,IF((SUM(E62:G62)+((C62-D62)*B62))&gt;(C62-D62),C62-D62-SUM(E62:G62),(C62-D62)*B62))</f>
        <v>0</v>
      </c>
      <c r="I62" s="417">
        <f>IF(I40&lt;A62,0,IF((SUM(E62:H62)+((C62-D62)*B62))&gt;(C62-D62),C62-D62-SUM(E62:H62),(C62-D62)*B62))</f>
        <v>0</v>
      </c>
      <c r="J62" s="417">
        <f>IF(J40&lt;A62,0,IF((SUM(E62:I62)+((C62-D62)*B62))&gt;(C62-D62),C62-D62-SUM(E62:I62),(C62-D62)*B62))</f>
        <v>0</v>
      </c>
      <c r="K62" s="417">
        <f>IF(K40&lt;A62,0,IF((SUM(E62:J62)+((C62-D62)*B62))&gt;(C62-D62),C62-D62-SUM(E62:J62),(C62-D62)*B62))</f>
        <v>0</v>
      </c>
      <c r="L62" s="417">
        <f>IF(L40&lt;A62,0,IF((SUM(E62:K62)+((C62-D62)*B62))&gt;(C62-D62),C62-D62-SUM(E62:K62),(C62-D62)*B62))</f>
        <v>0</v>
      </c>
      <c r="M62" s="417">
        <f>IF(M40&lt;A62,0,IF((SUM(E62:L62)+((C62-D62)*B62))&gt;(C62-D62),C62-D62-SUM(E62:L62),(C62-D62)*B62))</f>
        <v>0</v>
      </c>
      <c r="N62" s="417">
        <f>IF(N40&lt;A62,0,IF((SUM(E62:M62)+((C62-D62)*B62))&gt;(C62-D62),C62-D62-SUM(E62:M62),(C62-D62)*B62))</f>
        <v>0</v>
      </c>
      <c r="O62" s="417">
        <f>IF(O40&lt;A62,0,IF((SUM(E62:N62)+((C62-D62)*B62))&gt;(C62-D62),C62-D62-SUM(E62:N62),(C62-D62)*B62))</f>
        <v>0</v>
      </c>
      <c r="P62" s="417">
        <f>IF(P40&lt;A62,0,IF((SUM(E62:O62)+((C62-D62)*B62))&gt;(C62-D62),C62-D62-SUM(E62:O62),(C62-D62)*B62))</f>
        <v>0</v>
      </c>
      <c r="Q62" s="417">
        <f>IF(Q40&lt;A62,0,IF((SUM(E62:P62)+((C62-D62)*B62))&gt;(C62-D62),C62-D62-SUM(E62:P62),(C62-D62)*B62))</f>
        <v>0</v>
      </c>
      <c r="R62" s="417">
        <f>IF(R40&lt;A62,0,IF((SUM(E62:Q62)+((C62-D62)*B62))&gt;(C62-D62),C62-D62-SUM(E62:Q62),(C62-D62)*B62))</f>
        <v>0</v>
      </c>
      <c r="S62" s="417">
        <f>IF(S40&lt;A62,0,IF((SUM(E62:R62)+((C62-D62)*B62))&gt;(C62-D62),C62-D62-SUM(E62:R62),(C62-D62)*B62))</f>
        <v>0</v>
      </c>
      <c r="T62" s="417">
        <f>IF(T40&lt;A62,0,IF((SUM(E62:S62)+((C62-D62)*B62))&gt;(C62-D62),C62-D62-SUM(E62:S62),(C62-D62)*B62))</f>
        <v>0</v>
      </c>
      <c r="U62" s="417">
        <f>IF(U40&lt;A62,0,IF((SUM(E62:T62)+((C62-D62)*B62))&gt;(C62-D62),C62-D62-SUM(E62:T62),(C62-D62)*B62))</f>
        <v>0</v>
      </c>
      <c r="V62" s="417">
        <f>IF(V40&lt;A62,0,IF((SUM(E62:U62)+((C62-D62)*B62))&gt;(C62-D62),C62-D62-SUM(E62:U62),(C62-D62)*B62))</f>
        <v>0</v>
      </c>
      <c r="W62" s="417">
        <f>IF(W40&lt;A62,0,IF((SUM(E62:V62)+((C62-D62)*B62))&gt;(C62-D62),C62-D62-SUM(E62:V62),(C62-D62)*B62))</f>
        <v>0</v>
      </c>
      <c r="X62" s="417">
        <f>IF(X40&lt;A62,0,IF((SUM(E62:W62)+((C62-D62)*B62))&gt;(C62-D62),C62-D62-SUM(E62:W62),(C62-D62)*B62))</f>
        <v>0</v>
      </c>
      <c r="Y62" s="417">
        <f>IF(Y40&lt;A62,0,IF((SUM(E62:X62)+((C62-D62)*B62))&gt;(C62-D62),C62-D62-SUM(E62:X62),(C62-D62)*B62))</f>
        <v>0</v>
      </c>
      <c r="Z62" s="417">
        <f>IF(Z40&lt;A62,0,IF((SUM(E62:Y62)+((C62-D62)*B62))&gt;(C62-D62),C62-D62-SUM(E62:Y62),(C62-D62)*B62))</f>
        <v>159244.88266666667</v>
      </c>
      <c r="AA62" s="417">
        <f>IF(AA40&lt;A62,0,IF((SUM(E62:Z62)+((C62-D62)*B62))&gt;(C62-D62),C62-D62-SUM(E62:Z62),(C62-D62)*B62))</f>
        <v>159244.88266666667</v>
      </c>
      <c r="AB62" s="417">
        <f>IF(AB40&lt;A62,0,IF((SUM(E62:AA62)+((C62-D62)*B62))&gt;(C62-D62),C62-D62-SUM(E62:AA62),(C62-D62)*B62))</f>
        <v>159244.88266666667</v>
      </c>
      <c r="AC62" s="417">
        <f>IF(AC40&lt;A62,0,IF((SUM(E62:AB62)+((C62-D62)*B62))&gt;(C62-D62),C62-D62-SUM(E62:AB62),(C62-D62)*B62))</f>
        <v>159244.88266666667</v>
      </c>
      <c r="AD62" s="417">
        <f>IF(AD40&lt;A62,0,IF((SUM(E62:AC62)+((C62-D62)*B62))&gt;(C62-D62),C62-D62-SUM(E62:AC62),(C62-D62)*B62))</f>
        <v>159244.88266666667</v>
      </c>
      <c r="AE62" s="417">
        <f>IF(AE40&lt;A62,0,IF((SUM(E62:AD62)+((C62-D62)*B62))&gt;(C62-D62),C62-D62-SUM(E62:AD62),(C62-D62)*B62))</f>
        <v>0</v>
      </c>
      <c r="AF62" s="417">
        <f>IF(AF40&lt;A62,0,IF((SUM(E62:AE62)+((C62-D62)*B62))&gt;(C62-D62),C62-D62-SUM(E62:AE62),(C62-D62)*B62))</f>
        <v>0</v>
      </c>
      <c r="AG62" s="417">
        <f>IF(AG40&lt;A62,0,IF((SUM(E62:AF62)+((C62-D62)*B62))&gt;(C62-D62),C62-D62-SUM(E62:AF62),(C62-D62)*B62))</f>
        <v>0</v>
      </c>
      <c r="AH62" s="417">
        <f>IF(AH40&lt;A62,0,IF((SUM(E62:AG62)+((C62-D62)*B62))&gt;(C62-D62),C62-D62-SUM(E62:AG62),(C62-D62)*B62))</f>
        <v>0</v>
      </c>
    </row>
    <row r="63" spans="1:34" s="75" customFormat="1" ht="13.15" customHeight="1" outlineLevel="1" x14ac:dyDescent="0.2">
      <c r="A63" s="416">
        <v>23</v>
      </c>
      <c r="B63" s="374">
        <v>0.2</v>
      </c>
      <c r="C63" s="378">
        <f>SUMIF('14 - Investimentos'!B:B,'15 - Depreciação'!A38,'14 - Investimentos'!AA:AA)</f>
        <v>845346.29666666687</v>
      </c>
      <c r="D63" s="417">
        <f>C63*B38</f>
        <v>0</v>
      </c>
      <c r="E63" s="417">
        <f>IF(E40&lt;A63,0,(C63-D63)*B63)</f>
        <v>0</v>
      </c>
      <c r="F63" s="417">
        <f>IF(F40&lt;A63,0,IF((SUM(E63:E63)+((C63-D63)*B63))&gt;(C63-D63),C63-D63-SUM(E63:E63),(C63-D63)*B63))</f>
        <v>0</v>
      </c>
      <c r="G63" s="417">
        <f>IF(G40&lt;A63,0,IF((SUM(E63:F63)+((C63-D63)*B63))&gt;(C63-D63),C63-D63-SUM(E63:F63),(C63-D63)*B63))</f>
        <v>0</v>
      </c>
      <c r="H63" s="417">
        <f>IF(H40&lt;A63,0,IF((SUM(E63:G63)+((C63-D63)*B63))&gt;(C63-D63),C63-D63-SUM(E63:G63),(C63-D63)*B63))</f>
        <v>0</v>
      </c>
      <c r="I63" s="417">
        <f>IF(I40&lt;A63,0,IF((SUM(E63:H63)+((C63-D63)*B63))&gt;(C63-D63),C63-D63-SUM(E63:H63),(C63-D63)*B63))</f>
        <v>0</v>
      </c>
      <c r="J63" s="417">
        <f>IF(J40&lt;A63,0,IF((SUM(E63:I63)+((C63-D63)*B63))&gt;(C63-D63),C63-D63-SUM(E63:I63),(C63-D63)*B63))</f>
        <v>0</v>
      </c>
      <c r="K63" s="417">
        <f>IF(K40&lt;A63,0,IF((SUM(E63:J63)+((C63-D63)*B63))&gt;(C63-D63),C63-D63-SUM(E63:J63),(C63-D63)*B63))</f>
        <v>0</v>
      </c>
      <c r="L63" s="417">
        <f>IF(L40&lt;A63,0,IF((SUM(E63:K63)+((C63-D63)*B63))&gt;(C63-D63),C63-D63-SUM(E63:K63),(C63-D63)*B63))</f>
        <v>0</v>
      </c>
      <c r="M63" s="417">
        <f>IF(M40&lt;A63,0,IF((SUM(E63:L63)+((C63-D63)*B63))&gt;(C63-D63),C63-D63-SUM(E63:L63),(C63-D63)*B63))</f>
        <v>0</v>
      </c>
      <c r="N63" s="417">
        <f>IF(N40&lt;A63,0,IF((SUM(E63:M63)+((C63-D63)*B63))&gt;(C63-D63),C63-D63-SUM(E63:M63),(C63-D63)*B63))</f>
        <v>0</v>
      </c>
      <c r="O63" s="417">
        <f>IF(O40&lt;A63,0,IF((SUM(E63:N63)+((C63-D63)*B63))&gt;(C63-D63),C63-D63-SUM(E63:N63),(C63-D63)*B63))</f>
        <v>0</v>
      </c>
      <c r="P63" s="417">
        <f>IF(P40&lt;A63,0,IF((SUM(E63:O63)+((C63-D63)*B63))&gt;(C63-D63),C63-D63-SUM(E63:O63),(C63-D63)*B63))</f>
        <v>0</v>
      </c>
      <c r="Q63" s="417">
        <f>IF(Q40&lt;A63,0,IF((SUM(E63:P63)+((C63-D63)*B63))&gt;(C63-D63),C63-D63-SUM(E63:P63),(C63-D63)*B63))</f>
        <v>0</v>
      </c>
      <c r="R63" s="417">
        <f>IF(R40&lt;A63,0,IF((SUM(E63:Q63)+((C63-D63)*B63))&gt;(C63-D63),C63-D63-SUM(E63:Q63),(C63-D63)*B63))</f>
        <v>0</v>
      </c>
      <c r="S63" s="417">
        <f>IF(S40&lt;A63,0,IF((SUM(E63:R63)+((C63-D63)*B63))&gt;(C63-D63),C63-D63-SUM(E63:R63),(C63-D63)*B63))</f>
        <v>0</v>
      </c>
      <c r="T63" s="417">
        <f>IF(T40&lt;A63,0,IF((SUM(E63:S63)+((C63-D63)*B63))&gt;(C63-D63),C63-D63-SUM(E63:S63),(C63-D63)*B63))</f>
        <v>0</v>
      </c>
      <c r="U63" s="417">
        <f>IF(U40&lt;A63,0,IF((SUM(E63:T63)+((C63-D63)*B63))&gt;(C63-D63),C63-D63-SUM(E63:T63),(C63-D63)*B63))</f>
        <v>0</v>
      </c>
      <c r="V63" s="417">
        <f>IF(V40&lt;A63,0,IF((SUM(E63:U63)+((C63-D63)*B63))&gt;(C63-D63),C63-D63-SUM(E63:U63),(C63-D63)*B63))</f>
        <v>0</v>
      </c>
      <c r="W63" s="417">
        <f>IF(W40&lt;A63,0,IF((SUM(E63:V63)+((C63-D63)*B63))&gt;(C63-D63),C63-D63-SUM(E63:V63),(C63-D63)*B63))</f>
        <v>0</v>
      </c>
      <c r="X63" s="417">
        <f>IF(X40&lt;A63,0,IF((SUM(E63:W63)+((C63-D63)*B63))&gt;(C63-D63),C63-D63-SUM(E63:W63),(C63-D63)*B63))</f>
        <v>0</v>
      </c>
      <c r="Y63" s="417">
        <f>IF(Y40&lt;A63,0,IF((SUM(E63:X63)+((C63-D63)*B63))&gt;(C63-D63),C63-D63-SUM(E63:X63),(C63-D63)*B63))</f>
        <v>0</v>
      </c>
      <c r="Z63" s="417">
        <f>IF(Z40&lt;A63,0,IF((SUM(E63:Y63)+((C63-D63)*B63))&gt;(C63-D63),C63-D63-SUM(E63:Y63),(C63-D63)*B63))</f>
        <v>0</v>
      </c>
      <c r="AA63" s="417">
        <f>IF(AA40&lt;A63,0,IF((SUM(E63:Z63)+((C63-D63)*B63))&gt;(C63-D63),C63-D63-SUM(E63:Z63),(C63-D63)*B63))</f>
        <v>169069.25933333338</v>
      </c>
      <c r="AB63" s="417">
        <f>IF(AB40&lt;A63,0,IF((SUM(E63:AA63)+((C63-D63)*B63))&gt;(C63-D63),C63-D63-SUM(E63:AA63),(C63-D63)*B63))</f>
        <v>169069.25933333338</v>
      </c>
      <c r="AC63" s="417">
        <f>IF(AC40&lt;A63,0,IF((SUM(E63:AB63)+((C63-D63)*B63))&gt;(C63-D63),C63-D63-SUM(E63:AB63),(C63-D63)*B63))</f>
        <v>169069.25933333338</v>
      </c>
      <c r="AD63" s="417">
        <f>IF(AD40&lt;A63,0,IF((SUM(E63:AC63)+((C63-D63)*B63))&gt;(C63-D63),C63-D63-SUM(E63:AC63),(C63-D63)*B63))</f>
        <v>169069.25933333338</v>
      </c>
      <c r="AE63" s="417">
        <f>IF(AE40&lt;A63,0,IF((SUM(E63:AD63)+((C63-D63)*B63))&gt;(C63-D63),C63-D63-SUM(E63:AD63),(C63-D63)*B63))</f>
        <v>169069.25933333338</v>
      </c>
      <c r="AF63" s="417">
        <f>IF(AF40&lt;A63,0,IF((SUM(E63:AE63)+((C63-D63)*B63))&gt;(C63-D63),C63-D63-SUM(E63:AE63),(C63-D63)*B63))</f>
        <v>0</v>
      </c>
      <c r="AG63" s="417">
        <f>IF(AG40&lt;A63,0,IF((SUM(E63:AF63)+((C63-D63)*B63))&gt;(C63-D63),C63-D63-SUM(E63:AF63),(C63-D63)*B63))</f>
        <v>0</v>
      </c>
      <c r="AH63" s="417">
        <f>IF(AH40&lt;A63,0,IF((SUM(E63:AG63)+((C63-D63)*B63))&gt;(C63-D63),C63-D63-SUM(E63:AG63),(C63-D63)*B63))</f>
        <v>0</v>
      </c>
    </row>
    <row r="64" spans="1:34" s="75" customFormat="1" ht="13.15" customHeight="1" outlineLevel="1" x14ac:dyDescent="0.2">
      <c r="A64" s="416">
        <v>24</v>
      </c>
      <c r="B64" s="374">
        <v>0.2</v>
      </c>
      <c r="C64" s="378">
        <f>SUMIF('14 - Investimentos'!B:B,'15 - Depreciação'!A38,'14 - Investimentos'!AB:AB)</f>
        <v>586</v>
      </c>
      <c r="D64" s="417">
        <f>C64*B38</f>
        <v>0</v>
      </c>
      <c r="E64" s="417">
        <f>IF(E40&lt;A64,0,(C64-D64)*B64)</f>
        <v>0</v>
      </c>
      <c r="F64" s="417">
        <f>IF(F40&lt;A64,0,IF((SUM(E64:E64)+((C64-D64)*B64))&gt;(C64-D64),C64-D64-SUM(E64:E64),(C64-D64)*B64))</f>
        <v>0</v>
      </c>
      <c r="G64" s="417">
        <f>IF(G40&lt;A64,0,IF((SUM(E64:F64)+((C64-D64)*B64))&gt;(C64-D64),C64-D64-SUM(E64:F64),(C64-D64)*B64))</f>
        <v>0</v>
      </c>
      <c r="H64" s="417">
        <f>IF(H40&lt;A64,0,IF((SUM(E64:G64)+((C64-D64)*B64))&gt;(C64-D64),C64-D64-SUM(E64:G64),(C64-D64)*B64))</f>
        <v>0</v>
      </c>
      <c r="I64" s="417">
        <f>IF(I40&lt;A64,0,IF((SUM(E64:H64)+((C64-D64)*B64))&gt;(C64-D64),C64-D64-SUM(E64:H64),(C64-D64)*B64))</f>
        <v>0</v>
      </c>
      <c r="J64" s="417">
        <f>IF(J40&lt;A64,0,IF((SUM(E64:I64)+((C64-D64)*B64))&gt;(C64-D64),C64-D64-SUM(E64:I64),(C64-D64)*B64))</f>
        <v>0</v>
      </c>
      <c r="K64" s="417">
        <f>IF(K40&lt;A64,0,IF((SUM(E64:J64)+((C64-D64)*B64))&gt;(C64-D64),C64-D64-SUM(E64:J64),(C64-D64)*B64))</f>
        <v>0</v>
      </c>
      <c r="L64" s="417">
        <f>IF(L40&lt;A64,0,IF((SUM(E64:K64)+((C64-D64)*B64))&gt;(C64-D64),C64-D64-SUM(E64:K64),(C64-D64)*B64))</f>
        <v>0</v>
      </c>
      <c r="M64" s="417">
        <f>IF(M40&lt;A64,0,IF((SUM(E64:L64)+((C64-D64)*B64))&gt;(C64-D64),C64-D64-SUM(E64:L64),(C64-D64)*B64))</f>
        <v>0</v>
      </c>
      <c r="N64" s="417">
        <f>IF(N40&lt;A64,0,IF((SUM(E64:M64)+((C64-D64)*B64))&gt;(C64-D64),C64-D64-SUM(E64:M64),(C64-D64)*B64))</f>
        <v>0</v>
      </c>
      <c r="O64" s="417">
        <f>IF(O40&lt;A64,0,IF((SUM(E64:N64)+((C64-D64)*B64))&gt;(C64-D64),C64-D64-SUM(E64:N64),(C64-D64)*B64))</f>
        <v>0</v>
      </c>
      <c r="P64" s="417">
        <f>IF(P40&lt;A64,0,IF((SUM(E64:O64)+((C64-D64)*B64))&gt;(C64-D64),C64-D64-SUM(E64:O64),(C64-D64)*B64))</f>
        <v>0</v>
      </c>
      <c r="Q64" s="417">
        <f>IF(Q40&lt;A64,0,IF((SUM(E64:P64)+((C64-D64)*B64))&gt;(C64-D64),C64-D64-SUM(E64:P64),(C64-D64)*B64))</f>
        <v>0</v>
      </c>
      <c r="R64" s="417">
        <f>IF(R40&lt;A64,0,IF((SUM(E64:Q64)+((C64-D64)*B64))&gt;(C64-D64),C64-D64-SUM(E64:Q64),(C64-D64)*B64))</f>
        <v>0</v>
      </c>
      <c r="S64" s="417">
        <f>IF(S40&lt;A64,0,IF((SUM(E64:R64)+((C64-D64)*B64))&gt;(C64-D64),C64-D64-SUM(E64:R64),(C64-D64)*B64))</f>
        <v>0</v>
      </c>
      <c r="T64" s="417">
        <f>IF(T40&lt;A64,0,IF((SUM(E64:S64)+((C64-D64)*B64))&gt;(C64-D64),C64-D64-SUM(E64:S64),(C64-D64)*B64))</f>
        <v>0</v>
      </c>
      <c r="U64" s="417">
        <f>IF(U40&lt;A64,0,IF((SUM(E64:T64)+((C64-D64)*B64))&gt;(C64-D64),C64-D64-SUM(E64:T64),(C64-D64)*B64))</f>
        <v>0</v>
      </c>
      <c r="V64" s="417">
        <f>IF(V40&lt;A64,0,IF((SUM(E64:U64)+((C64-D64)*B64))&gt;(C64-D64),C64-D64-SUM(E64:U64),(C64-D64)*B64))</f>
        <v>0</v>
      </c>
      <c r="W64" s="417">
        <f>IF(W40&lt;A64,0,IF((SUM(E64:V64)+((C64-D64)*B64))&gt;(C64-D64),C64-D64-SUM(E64:V64),(C64-D64)*B64))</f>
        <v>0</v>
      </c>
      <c r="X64" s="417">
        <f>IF(X40&lt;A64,0,IF((SUM(E64:W64)+((C64-D64)*B64))&gt;(C64-D64),C64-D64-SUM(E64:W64),(C64-D64)*B64))</f>
        <v>0</v>
      </c>
      <c r="Y64" s="417">
        <f>IF(Y40&lt;A64,0,IF((SUM(E64:X64)+((C64-D64)*B64))&gt;(C64-D64),C64-D64-SUM(E64:X64),(C64-D64)*B64))</f>
        <v>0</v>
      </c>
      <c r="Z64" s="417">
        <f>IF(Z40&lt;A64,0,IF((SUM(E64:Y64)+((C64-D64)*B64))&gt;(C64-D64),C64-D64-SUM(E64:Y64),(C64-D64)*B64))</f>
        <v>0</v>
      </c>
      <c r="AA64" s="417">
        <f>IF(AA40&lt;A64,0,IF((SUM(E64:Z64)+((C64-D64)*B64))&gt;(C64-D64),C64-D64-SUM(E64:Z64),(C64-D64)*B64))</f>
        <v>0</v>
      </c>
      <c r="AB64" s="417">
        <f>IF(AB40&lt;A64,0,IF((SUM(E64:AA64)+((C64-D64)*B64))&gt;(C64-D64),C64-D64-SUM(E64:AA64),(C64-D64)*B64))</f>
        <v>117.2</v>
      </c>
      <c r="AC64" s="417">
        <f>IF(AC40&lt;A64,0,IF((SUM(E64:AB64)+((C64-D64)*B64))&gt;(C64-D64),C64-D64-SUM(E64:AB64),(C64-D64)*B64))</f>
        <v>117.2</v>
      </c>
      <c r="AD64" s="417">
        <f>IF(AD40&lt;A64,0,IF((SUM(E64:AC64)+((C64-D64)*B64))&gt;(C64-D64),C64-D64-SUM(E64:AC64),(C64-D64)*B64))</f>
        <v>117.2</v>
      </c>
      <c r="AE64" s="417">
        <f>IF(AE40&lt;A64,0,IF((SUM(E64:AD64)+((C64-D64)*B64))&gt;(C64-D64),C64-D64-SUM(E64:AD64),(C64-D64)*B64))</f>
        <v>117.2</v>
      </c>
      <c r="AF64" s="417">
        <f>IF(AF40&lt;A64,0,IF((SUM(E64:AE64)+((C64-D64)*B64))&gt;(C64-D64),C64-D64-SUM(E64:AE64),(C64-D64)*B64))</f>
        <v>117.2</v>
      </c>
      <c r="AG64" s="417">
        <f>IF(AG40&lt;A64,0,IF((SUM(E64:AF64)+((C64-D64)*B64))&gt;(C64-D64),C64-D64-SUM(E64:AF64),(C64-D64)*B64))</f>
        <v>0</v>
      </c>
      <c r="AH64" s="417">
        <f>IF(AH40&lt;A64,0,IF((SUM(E64:AG64)+((C64-D64)*B64))&gt;(C64-D64),C64-D64-SUM(E64:AG64),(C64-D64)*B64))</f>
        <v>0</v>
      </c>
    </row>
    <row r="65" spans="1:34" s="75" customFormat="1" ht="13.15" customHeight="1" outlineLevel="1" x14ac:dyDescent="0.2">
      <c r="A65" s="416">
        <v>25</v>
      </c>
      <c r="B65" s="374">
        <v>0.2</v>
      </c>
      <c r="C65" s="378">
        <f>SUMIF('14 - Investimentos'!B:B,'15 - Depreciação'!A38,'14 - Investimentos'!AC:AC)</f>
        <v>651262.96333333338</v>
      </c>
      <c r="D65" s="417">
        <f>C65*B38</f>
        <v>0</v>
      </c>
      <c r="E65" s="417">
        <f>IF(E40&lt;A65,0,(C65-D65)*B65)</f>
        <v>0</v>
      </c>
      <c r="F65" s="417">
        <f>IF(F40&lt;A65,0,IF((SUM(E65:E65)+((C65-D65)*B65))&gt;(C65-D65),C65-D65-SUM(E65:E65),(C65-D65)*B65))</f>
        <v>0</v>
      </c>
      <c r="G65" s="417">
        <f>IF(G40&lt;A65,0,IF((SUM(E65:F65)+((C65-D65)*B65))&gt;(C65-D65),C65-D65-SUM(E65:F65),(C65-D65)*B65))</f>
        <v>0</v>
      </c>
      <c r="H65" s="417">
        <f>IF(H40&lt;A65,0,IF((SUM(E65:G65)+((C65-D65)*B65))&gt;(C65-D65),C65-D65-SUM(E65:G65),(C65-D65)*B65))</f>
        <v>0</v>
      </c>
      <c r="I65" s="417">
        <f>IF(I40&lt;A65,0,IF((SUM(E65:H65)+((C65-D65)*B65))&gt;(C65-D65),C65-D65-SUM(E65:H65),(C65-D65)*B65))</f>
        <v>0</v>
      </c>
      <c r="J65" s="417">
        <f>IF(J40&lt;A65,0,IF((SUM(E65:I65)+((C65-D65)*B65))&gt;(C65-D65),C65-D65-SUM(E65:I65),(C65-D65)*B65))</f>
        <v>0</v>
      </c>
      <c r="K65" s="417">
        <f>IF(K40&lt;A65,0,IF((SUM(E65:J65)+((C65-D65)*B65))&gt;(C65-D65),C65-D65-SUM(E65:J65),(C65-D65)*B65))</f>
        <v>0</v>
      </c>
      <c r="L65" s="417">
        <f>IF(L40&lt;A65,0,IF((SUM(E65:K65)+((C65-D65)*B65))&gt;(C65-D65),C65-D65-SUM(E65:K65),(C65-D65)*B65))</f>
        <v>0</v>
      </c>
      <c r="M65" s="417">
        <f>IF(M40&lt;A65,0,IF((SUM(E65:L65)+((C65-D65)*B65))&gt;(C65-D65),C65-D65-SUM(E65:L65),(C65-D65)*B65))</f>
        <v>0</v>
      </c>
      <c r="N65" s="417">
        <f>IF(N40&lt;A65,0,IF((SUM(E65:M65)+((C65-D65)*B65))&gt;(C65-D65),C65-D65-SUM(E65:M65),(C65-D65)*B65))</f>
        <v>0</v>
      </c>
      <c r="O65" s="417">
        <f>IF(O40&lt;A65,0,IF((SUM(E65:N65)+((C65-D65)*B65))&gt;(C65-D65),C65-D65-SUM(E65:N65),(C65-D65)*B65))</f>
        <v>0</v>
      </c>
      <c r="P65" s="417">
        <f>IF(P40&lt;A65,0,IF((SUM(E65:O65)+((C65-D65)*B65))&gt;(C65-D65),C65-D65-SUM(E65:O65),(C65-D65)*B65))</f>
        <v>0</v>
      </c>
      <c r="Q65" s="417">
        <f>IF(Q40&lt;A65,0,IF((SUM(E65:P65)+((C65-D65)*B65))&gt;(C65-D65),C65-D65-SUM(E65:P65),(C65-D65)*B65))</f>
        <v>0</v>
      </c>
      <c r="R65" s="417">
        <f>IF(R40&lt;A65,0,IF((SUM(E65:Q65)+((C65-D65)*B65))&gt;(C65-D65),C65-D65-SUM(E65:Q65),(C65-D65)*B65))</f>
        <v>0</v>
      </c>
      <c r="S65" s="417">
        <f>IF(S40&lt;A65,0,IF((SUM(E65:R65)+((C65-D65)*B65))&gt;(C65-D65),C65-D65-SUM(E65:R65),(C65-D65)*B65))</f>
        <v>0</v>
      </c>
      <c r="T65" s="417">
        <f>IF(T40&lt;A65,0,IF((SUM(E65:S65)+((C65-D65)*B65))&gt;(C65-D65),C65-D65-SUM(E65:S65),(C65-D65)*B65))</f>
        <v>0</v>
      </c>
      <c r="U65" s="417">
        <f>IF(U40&lt;A65,0,IF((SUM(E65:T65)+((C65-D65)*B65))&gt;(C65-D65),C65-D65-SUM(E65:T65),(C65-D65)*B65))</f>
        <v>0</v>
      </c>
      <c r="V65" s="417">
        <f>IF(V40&lt;A65,0,IF((SUM(E65:U65)+((C65-D65)*B65))&gt;(C65-D65),C65-D65-SUM(E65:U65),(C65-D65)*B65))</f>
        <v>0</v>
      </c>
      <c r="W65" s="417">
        <f>IF(W40&lt;A65,0,IF((SUM(E65:V65)+((C65-D65)*B65))&gt;(C65-D65),C65-D65-SUM(E65:V65),(C65-D65)*B65))</f>
        <v>0</v>
      </c>
      <c r="X65" s="417">
        <f>IF(X40&lt;A65,0,IF((SUM(E65:W65)+((C65-D65)*B65))&gt;(C65-D65),C65-D65-SUM(E65:W65),(C65-D65)*B65))</f>
        <v>0</v>
      </c>
      <c r="Y65" s="417">
        <f>IF(Y40&lt;A65,0,IF((SUM(E65:X65)+((C65-D65)*B65))&gt;(C65-D65),C65-D65-SUM(E65:X65),(C65-D65)*B65))</f>
        <v>0</v>
      </c>
      <c r="Z65" s="417">
        <f>IF(Z40&lt;A65,0,IF((SUM(E65:Y65)+((C65-D65)*B65))&gt;(C65-D65),C65-D65-SUM(E65:Y65),(C65-D65)*B65))</f>
        <v>0</v>
      </c>
      <c r="AA65" s="417">
        <f>IF(AA40&lt;A65,0,IF((SUM(E65:Z65)+((C65-D65)*B65))&gt;(C65-D65),C65-D65-SUM(E65:Z65),(C65-D65)*B65))</f>
        <v>0</v>
      </c>
      <c r="AB65" s="417">
        <f>IF(AB40&lt;A65,0,IF((SUM(E65:AA65)+((C65-D65)*B65))&gt;(C65-D65),C65-D65-SUM(E65:AA65),(C65-D65)*B65))</f>
        <v>0</v>
      </c>
      <c r="AC65" s="417">
        <f>IF(AC40&lt;A65,0,IF((SUM(E65:AB65)+((C65-D65)*B65))&gt;(C65-D65),C65-D65-SUM(E65:AB65),(C65-D65)*B65))</f>
        <v>130252.59266666668</v>
      </c>
      <c r="AD65" s="417">
        <f>IF(AD40&lt;A65,0,IF((SUM(E65:AC65)+((C65-D65)*B65))&gt;(C65-D65),C65-D65-SUM(E65:AC65),(C65-D65)*B65))</f>
        <v>130252.59266666668</v>
      </c>
      <c r="AE65" s="417">
        <f>IF(AE40&lt;A65,0,IF((SUM(E65:AD65)+((C65-D65)*B65))&gt;(C65-D65),C65-D65-SUM(E65:AD65),(C65-D65)*B65))</f>
        <v>130252.59266666668</v>
      </c>
      <c r="AF65" s="417">
        <f>IF(AF40&lt;A65,0,IF((SUM(E65:AE65)+((C65-D65)*B65))&gt;(C65-D65),C65-D65-SUM(E65:AE65),(C65-D65)*B65))</f>
        <v>130252.59266666668</v>
      </c>
      <c r="AG65" s="417">
        <f>IF(AG40&lt;A65,0,IF((SUM(E65:AF65)+((C65-D65)*B65))&gt;(C65-D65),C65-D65-SUM(E65:AF65),(C65-D65)*B65))</f>
        <v>130252.59266666668</v>
      </c>
      <c r="AH65" s="417">
        <f>IF(AH40&lt;A65,0,IF((SUM(E65:AG65)+((C65-D65)*B65))&gt;(C65-D65),C65-D65-SUM(E65:AG65),(C65-D65)*B65))</f>
        <v>0</v>
      </c>
    </row>
    <row r="66" spans="1:34" s="75" customFormat="1" ht="13.15" customHeight="1" outlineLevel="1" x14ac:dyDescent="0.2">
      <c r="A66" s="416">
        <v>26</v>
      </c>
      <c r="B66" s="374">
        <v>0.2</v>
      </c>
      <c r="C66" s="378">
        <f>SUMIF('14 - Investimentos'!B:B,'15 - Depreciação'!A38,'14 - Investimentos'!AD:AD)</f>
        <v>1284898.1866666668</v>
      </c>
      <c r="D66" s="417">
        <f>C66*B38</f>
        <v>0</v>
      </c>
      <c r="E66" s="417">
        <f>IF(E40&lt;A66,0,(C66-D66)*B66)</f>
        <v>0</v>
      </c>
      <c r="F66" s="417">
        <f>IF(F40&lt;A66,0,IF((SUM(E66:E66)+((C66-D66)*B66))&gt;(C66-D66),C66-D66-SUM(E66:E66),(C66-D66)*B66))</f>
        <v>0</v>
      </c>
      <c r="G66" s="417">
        <f>IF(G40&lt;A66,0,IF((SUM(E66:F66)+((C66-D66)*B66))&gt;(C66-D66),C66-D66-SUM(E66:F66),(C66-D66)*B66))</f>
        <v>0</v>
      </c>
      <c r="H66" s="417">
        <f>IF(H40&lt;A66,0,IF((SUM(E66:G66)+((C66-D66)*B66))&gt;(C66-D66),C66-D66-SUM(E66:G66),(C66-D66)*B66))</f>
        <v>0</v>
      </c>
      <c r="I66" s="417">
        <f>IF(I40&lt;A66,0,IF((SUM(E66:H66)+((C66-D66)*B66))&gt;(C66-D66),C66-D66-SUM(E66:H66),(C66-D66)*B66))</f>
        <v>0</v>
      </c>
      <c r="J66" s="417">
        <f>IF(J40&lt;A66,0,IF((SUM(E66:I66)+((C66-D66)*B66))&gt;(C66-D66),C66-D66-SUM(E66:I66),(C66-D66)*B66))</f>
        <v>0</v>
      </c>
      <c r="K66" s="417">
        <f>IF(K40&lt;A66,0,IF((SUM(E66:J66)+((C66-D66)*B66))&gt;(C66-D66),C66-D66-SUM(E66:J66),(C66-D66)*B66))</f>
        <v>0</v>
      </c>
      <c r="L66" s="417">
        <f>IF(L40&lt;A66,0,IF((SUM(E66:K66)+((C66-D66)*B66))&gt;(C66-D66),C66-D66-SUM(E66:K66),(C66-D66)*B66))</f>
        <v>0</v>
      </c>
      <c r="M66" s="417">
        <f>IF(M40&lt;A66,0,IF((SUM(E66:L66)+((C66-D66)*B66))&gt;(C66-D66),C66-D66-SUM(E66:L66),(C66-D66)*B66))</f>
        <v>0</v>
      </c>
      <c r="N66" s="417">
        <f>IF(N40&lt;A66,0,IF((SUM(E66:M66)+((C66-D66)*B66))&gt;(C66-D66),C66-D66-SUM(E66:M66),(C66-D66)*B66))</f>
        <v>0</v>
      </c>
      <c r="O66" s="417">
        <f>IF(O40&lt;A66,0,IF((SUM(E66:N66)+((C66-D66)*B66))&gt;(C66-D66),C66-D66-SUM(E66:N66),(C66-D66)*B66))</f>
        <v>0</v>
      </c>
      <c r="P66" s="417">
        <f>IF(P40&lt;A66,0,IF((SUM(E66:O66)+((C66-D66)*B66))&gt;(C66-D66),C66-D66-SUM(E66:O66),(C66-D66)*B66))</f>
        <v>0</v>
      </c>
      <c r="Q66" s="417">
        <f>IF(Q40&lt;A66,0,IF((SUM(E66:P66)+((C66-D66)*B66))&gt;(C66-D66),C66-D66-SUM(E66:P66),(C66-D66)*B66))</f>
        <v>0</v>
      </c>
      <c r="R66" s="417">
        <f>IF(R40&lt;A66,0,IF((SUM(E66:Q66)+((C66-D66)*B66))&gt;(C66-D66),C66-D66-SUM(E66:Q66),(C66-D66)*B66))</f>
        <v>0</v>
      </c>
      <c r="S66" s="417">
        <f>IF(S40&lt;A66,0,IF((SUM(E66:R66)+((C66-D66)*B66))&gt;(C66-D66),C66-D66-SUM(E66:R66),(C66-D66)*B66))</f>
        <v>0</v>
      </c>
      <c r="T66" s="417">
        <f>IF(T40&lt;A66,0,IF((SUM(E66:S66)+((C66-D66)*B66))&gt;(C66-D66),C66-D66-SUM(E66:S66),(C66-D66)*B66))</f>
        <v>0</v>
      </c>
      <c r="U66" s="417">
        <f>IF(U40&lt;A66,0,IF((SUM(E66:T66)+((C66-D66)*B66))&gt;(C66-D66),C66-D66-SUM(E66:T66),(C66-D66)*B66))</f>
        <v>0</v>
      </c>
      <c r="V66" s="417">
        <f>IF(V40&lt;A66,0,IF((SUM(E66:U66)+((C66-D66)*B66))&gt;(C66-D66),C66-D66-SUM(E66:U66),(C66-D66)*B66))</f>
        <v>0</v>
      </c>
      <c r="W66" s="417">
        <f>IF(W40&lt;A66,0,IF((SUM(E66:V66)+((C66-D66)*B66))&gt;(C66-D66),C66-D66-SUM(E66:V66),(C66-D66)*B66))</f>
        <v>0</v>
      </c>
      <c r="X66" s="417">
        <f>IF(X40&lt;A66,0,IF((SUM(E66:W66)+((C66-D66)*B66))&gt;(C66-D66),C66-D66-SUM(E66:W66),(C66-D66)*B66))</f>
        <v>0</v>
      </c>
      <c r="Y66" s="417">
        <f>IF(Y40&lt;A66,0,IF((SUM(E66:X66)+((C66-D66)*B66))&gt;(C66-D66),C66-D66-SUM(E66:X66),(C66-D66)*B66))</f>
        <v>0</v>
      </c>
      <c r="Z66" s="417">
        <f>IF(Z40&lt;A66,0,IF((SUM(E66:Y66)+((C66-D66)*B66))&gt;(C66-D66),C66-D66-SUM(E66:Y66),(C66-D66)*B66))</f>
        <v>0</v>
      </c>
      <c r="AA66" s="417">
        <f>IF(AA40&lt;A66,0,IF((SUM(E66:Z66)+((C66-D66)*B66))&gt;(C66-D66),C66-D66-SUM(E66:Z66),(C66-D66)*B66))</f>
        <v>0</v>
      </c>
      <c r="AB66" s="417">
        <f>IF(AB40&lt;A66,0,IF((SUM(E66:AA66)+((C66-D66)*B66))&gt;(C66-D66),C66-D66-SUM(E66:AA66),(C66-D66)*B66))</f>
        <v>0</v>
      </c>
      <c r="AC66" s="417">
        <f>IF(AC40&lt;A66,0,IF((SUM(E66:AB66)+((C66-D66)*B66))&gt;(C66-D66),C66-D66-SUM(E66:AB66),(C66-D66)*B66))</f>
        <v>0</v>
      </c>
      <c r="AD66" s="417">
        <f>IF(AD40&lt;A66,0,IF((SUM(E66:AC66)+((C66-D66)*B66))&gt;(C66-D66),C66-D66-SUM(E66:AC66),(C66-D66)*B66))</f>
        <v>256979.63733333338</v>
      </c>
      <c r="AE66" s="417">
        <f>IF(AE40&lt;A66,0,IF((SUM(E66:AD66)+((C66-D66)*B66))&gt;(C66-D66),C66-D66-SUM(E66:AD66),(C66-D66)*B66))</f>
        <v>256979.63733333338</v>
      </c>
      <c r="AF66" s="417">
        <f>IF(AF40&lt;A66,0,IF((SUM(E66:AE66)+((C66-D66)*B66))&gt;(C66-D66),C66-D66-SUM(E66:AE66),(C66-D66)*B66))</f>
        <v>256979.63733333338</v>
      </c>
      <c r="AG66" s="417">
        <f>IF(AG40&lt;A66,0,IF((SUM(E66:AF66)+((C66-D66)*B66))&gt;(C66-D66),C66-D66-SUM(E66:AF66),(C66-D66)*B66))</f>
        <v>256979.63733333338</v>
      </c>
      <c r="AH66" s="417">
        <f>IF(AH40&lt;A66,0,IF((SUM(E66:AG66)+((C66-D66)*B66))&gt;(C66-D66),C66-D66-SUM(E66:AG66),(C66-D66)*B66))</f>
        <v>256979.63733333338</v>
      </c>
    </row>
    <row r="67" spans="1:34" s="75" customFormat="1" ht="13.15" customHeight="1" outlineLevel="1" x14ac:dyDescent="0.2">
      <c r="A67" s="416">
        <v>27</v>
      </c>
      <c r="B67" s="374">
        <v>0.2</v>
      </c>
      <c r="C67" s="378">
        <f>SUMIF('14 - Investimentos'!B:B,'15 - Depreciação'!A38,'14 - Investimentos'!AE:AE)</f>
        <v>222277.96333333332</v>
      </c>
      <c r="D67" s="417">
        <f>C67*B38</f>
        <v>0</v>
      </c>
      <c r="E67" s="417">
        <f>IF(E40&lt;A67,0,(C67-D67)*B67)</f>
        <v>0</v>
      </c>
      <c r="F67" s="417">
        <f>IF(F40&lt;A67,0,IF((SUM(E67:E67)+((C67-D67)*B67))&gt;(C67-D67),C67-D67-SUM(E67:E67),(C67-D67)*B67))</f>
        <v>0</v>
      </c>
      <c r="G67" s="417">
        <f>IF(G40&lt;A67,0,IF((SUM(E67:F67)+((C67-D67)*B67))&gt;(C67-D67),C67-D67-SUM(E67:F67),(C67-D67)*B67))</f>
        <v>0</v>
      </c>
      <c r="H67" s="417">
        <f>IF(H40&lt;A67,0,IF((SUM(E67:G67)+((C67-D67)*B67))&gt;(C67-D67),C67-D67-SUM(E67:G67),(C67-D67)*B67))</f>
        <v>0</v>
      </c>
      <c r="I67" s="417">
        <f>IF(I40&lt;A67,0,IF((SUM(E67:H67)+((C67-D67)*B67))&gt;(C67-D67),C67-D67-SUM(E67:H67),(C67-D67)*B67))</f>
        <v>0</v>
      </c>
      <c r="J67" s="417">
        <f>IF(J40&lt;A67,0,IF((SUM(E67:I67)+((C67-D67)*B67))&gt;(C67-D67),C67-D67-SUM(E67:I67),(C67-D67)*B67))</f>
        <v>0</v>
      </c>
      <c r="K67" s="417">
        <f>IF(K40&lt;A67,0,IF((SUM(E67:J67)+((C67-D67)*B67))&gt;(C67-D67),C67-D67-SUM(E67:J67),(C67-D67)*B67))</f>
        <v>0</v>
      </c>
      <c r="L67" s="417">
        <f>IF(L40&lt;A67,0,IF((SUM(E67:K67)+((C67-D67)*B67))&gt;(C67-D67),C67-D67-SUM(E67:K67),(C67-D67)*B67))</f>
        <v>0</v>
      </c>
      <c r="M67" s="417">
        <f>IF(M40&lt;A67,0,IF((SUM(E67:L67)+((C67-D67)*B67))&gt;(C67-D67),C67-D67-SUM(E67:L67),(C67-D67)*B67))</f>
        <v>0</v>
      </c>
      <c r="N67" s="417">
        <f>IF(N40&lt;A67,0,IF((SUM(E67:M67)+((C67-D67)*B67))&gt;(C67-D67),C67-D67-SUM(E67:M67),(C67-D67)*B67))</f>
        <v>0</v>
      </c>
      <c r="O67" s="417">
        <f>IF(O40&lt;A67,0,IF((SUM(E67:N67)+((C67-D67)*B67))&gt;(C67-D67),C67-D67-SUM(E67:N67),(C67-D67)*B67))</f>
        <v>0</v>
      </c>
      <c r="P67" s="417">
        <f>IF(P40&lt;A67,0,IF((SUM(E67:O67)+((C67-D67)*B67))&gt;(C67-D67),C67-D67-SUM(E67:O67),(C67-D67)*B67))</f>
        <v>0</v>
      </c>
      <c r="Q67" s="417">
        <f>IF(Q40&lt;A67,0,IF((SUM(E67:P67)+((C67-D67)*B67))&gt;(C67-D67),C67-D67-SUM(E67:P67),(C67-D67)*B67))</f>
        <v>0</v>
      </c>
      <c r="R67" s="417">
        <f>IF(R40&lt;A67,0,IF((SUM(E67:Q67)+((C67-D67)*B67))&gt;(C67-D67),C67-D67-SUM(E67:Q67),(C67-D67)*B67))</f>
        <v>0</v>
      </c>
      <c r="S67" s="417">
        <f>IF(S40&lt;A67,0,IF((SUM(E67:R67)+((C67-D67)*B67))&gt;(C67-D67),C67-D67-SUM(E67:R67),(C67-D67)*B67))</f>
        <v>0</v>
      </c>
      <c r="T67" s="417">
        <f>IF(T40&lt;A67,0,IF((SUM(E67:S67)+((C67-D67)*B67))&gt;(C67-D67),C67-D67-SUM(E67:S67),(C67-D67)*B67))</f>
        <v>0</v>
      </c>
      <c r="U67" s="417">
        <f>IF(U40&lt;A67,0,IF((SUM(E67:T67)+((C67-D67)*B67))&gt;(C67-D67),C67-D67-SUM(E67:T67),(C67-D67)*B67))</f>
        <v>0</v>
      </c>
      <c r="V67" s="417">
        <f>IF(V40&lt;A67,0,IF((SUM(E67:U67)+((C67-D67)*B67))&gt;(C67-D67),C67-D67-SUM(E67:U67),(C67-D67)*B67))</f>
        <v>0</v>
      </c>
      <c r="W67" s="417">
        <f>IF(W40&lt;A67,0,IF((SUM(E67:V67)+((C67-D67)*B67))&gt;(C67-D67),C67-D67-SUM(E67:V67),(C67-D67)*B67))</f>
        <v>0</v>
      </c>
      <c r="X67" s="417">
        <f>IF(X40&lt;A67,0,IF((SUM(E67:W67)+((C67-D67)*B67))&gt;(C67-D67),C67-D67-SUM(E67:W67),(C67-D67)*B67))</f>
        <v>0</v>
      </c>
      <c r="Y67" s="417">
        <f>IF(Y40&lt;A67,0,IF((SUM(E67:X67)+((C67-D67)*B67))&gt;(C67-D67),C67-D67-SUM(E67:X67),(C67-D67)*B67))</f>
        <v>0</v>
      </c>
      <c r="Z67" s="417">
        <f>IF(Z40&lt;A67,0,IF((SUM(E67:Y67)+((C67-D67)*B67))&gt;(C67-D67),C67-D67-SUM(E67:Y67),(C67-D67)*B67))</f>
        <v>0</v>
      </c>
      <c r="AA67" s="417">
        <f>IF(AA40&lt;A67,0,IF((SUM(E67:Z67)+((C67-D67)*B67))&gt;(C67-D67),C67-D67-SUM(E67:Z67),(C67-D67)*B67))</f>
        <v>0</v>
      </c>
      <c r="AB67" s="417">
        <f>IF(AB40&lt;A67,0,IF((SUM(E67:AA67)+((C67-D67)*B67))&gt;(C67-D67),C67-D67-SUM(E67:AA67),(C67-D67)*B67))</f>
        <v>0</v>
      </c>
      <c r="AC67" s="417">
        <f>IF(AC40&lt;A67,0,IF((SUM(E67:AB67)+((C67-D67)*B67))&gt;(C67-D67),C67-D67-SUM(E67:AB67),(C67-D67)*B67))</f>
        <v>0</v>
      </c>
      <c r="AD67" s="417">
        <f>IF(AD40&lt;A67,0,IF((SUM(E67:AC67)+((C67-D67)*B67))&gt;(C67-D67),C67-D67-SUM(E67:AC67),(C67-D67)*B67))</f>
        <v>0</v>
      </c>
      <c r="AE67" s="417">
        <f>IF(AE40&lt;A67,0,IF((SUM(E67:AD67)+((C67-D67)*B67))&gt;(C67-D67),C67-D67-SUM(E67:AD67),(C67-D67)*B67))</f>
        <v>44455.592666666664</v>
      </c>
      <c r="AF67" s="417">
        <f>IF(AF40&lt;A67,0,IF((SUM(E67:AE67)+((C67-D67)*B67))&gt;(C67-D67),C67-D67-SUM(E67:AE67),(C67-D67)*B67))</f>
        <v>44455.592666666664</v>
      </c>
      <c r="AG67" s="417">
        <f>IF(AG40&lt;A67,0,IF((SUM(E67:AF67)+((C67-D67)*B67))&gt;(C67-D67),C67-D67-SUM(E67:AF67),(C67-D67)*B67))</f>
        <v>44455.592666666664</v>
      </c>
      <c r="AH67" s="417">
        <f>IF(AH40&lt;A67,0,IF((SUM(E67:AG67)+((C67-D67)*B67))&gt;(C67-D67),C67-D67-SUM(E67:AG67),(C67-D67)*B67))</f>
        <v>44455.592666666664</v>
      </c>
    </row>
    <row r="68" spans="1:34" s="75" customFormat="1" ht="13.15" customHeight="1" outlineLevel="1" x14ac:dyDescent="0.2">
      <c r="A68" s="416">
        <v>28</v>
      </c>
      <c r="B68" s="374">
        <v>0.2</v>
      </c>
      <c r="C68" s="378">
        <f>SUMIF('14 - Investimentos'!B:B,'15 - Depreciação'!A38,'14 - Investimentos'!AE:AE)</f>
        <v>222277.96333333332</v>
      </c>
      <c r="D68" s="417">
        <f>C68*B38</f>
        <v>0</v>
      </c>
      <c r="E68" s="417">
        <f>IF(E40&lt;A68,0,(C68-D68)*B68)</f>
        <v>0</v>
      </c>
      <c r="F68" s="417">
        <f>IF(F40&lt;A68,0,IF((SUM(E68:E68)+((C68-D68)*B68))&gt;(C68-D68),C68-D68-SUM(E68:E68),(C68-D68)*B68))</f>
        <v>0</v>
      </c>
      <c r="G68" s="417">
        <f>IF(G40&lt;A68,0,IF((SUM(E68:F68)+((C68-D68)*B68))&gt;(C68-D68),C68-D68-SUM(E68:F68),(C68-D68)*B68))</f>
        <v>0</v>
      </c>
      <c r="H68" s="417">
        <f>IF(H40&lt;A68,0,IF((SUM(E68:G68)+((C68-D68)*B68))&gt;(C68-D68),C68-D68-SUM(E68:G68),(C68-D68)*B68))</f>
        <v>0</v>
      </c>
      <c r="I68" s="417">
        <f>IF(I40&lt;A68,0,IF((SUM(E68:H68)+((C68-D68)*B68))&gt;(C68-D68),C68-D68-SUM(E68:H68),(C68-D68)*B68))</f>
        <v>0</v>
      </c>
      <c r="J68" s="417">
        <f>IF(J40&lt;A68,0,IF((SUM(E68:I68)+((C68-D68)*B68))&gt;(C68-D68),C68-D68-SUM(E68:I68),(C68-D68)*B68))</f>
        <v>0</v>
      </c>
      <c r="K68" s="417">
        <f>IF(K40&lt;A68,0,IF((SUM(E68:J68)+((C68-D68)*B68))&gt;(C68-D68),C68-D68-SUM(E68:J68),(C68-D68)*B68))</f>
        <v>0</v>
      </c>
      <c r="L68" s="417">
        <f>IF(L40&lt;A68,0,IF((SUM(E68:K68)+((C68-D68)*B68))&gt;(C68-D68),C68-D68-SUM(E68:K68),(C68-D68)*B68))</f>
        <v>0</v>
      </c>
      <c r="M68" s="417">
        <f>IF(M40&lt;A68,0,IF((SUM(E68:L68)+((C68-D68)*B68))&gt;(C68-D68),C68-D68-SUM(E68:L68),(C68-D68)*B68))</f>
        <v>0</v>
      </c>
      <c r="N68" s="417">
        <f>IF(N40&lt;A68,0,IF((SUM(E68:M68)+((C68-D68)*B68))&gt;(C68-D68),C68-D68-SUM(E68:M68),(C68-D68)*B68))</f>
        <v>0</v>
      </c>
      <c r="O68" s="417">
        <f>IF(O40&lt;A68,0,IF((SUM(E68:N68)+((C68-D68)*B68))&gt;(C68-D68),C68-D68-SUM(E68:N68),(C68-D68)*B68))</f>
        <v>0</v>
      </c>
      <c r="P68" s="417">
        <f>IF(P40&lt;A68,0,IF((SUM(E68:O68)+((C68-D68)*B68))&gt;(C68-D68),C68-D68-SUM(E68:O68),(C68-D68)*B68))</f>
        <v>0</v>
      </c>
      <c r="Q68" s="417">
        <f>IF(Q40&lt;A68,0,IF((SUM(E68:P68)+((C68-D68)*B68))&gt;(C68-D68),C68-D68-SUM(E68:P68),(C68-D68)*B68))</f>
        <v>0</v>
      </c>
      <c r="R68" s="417">
        <f>IF(R40&lt;A68,0,IF((SUM(E68:Q68)+((C68-D68)*B68))&gt;(C68-D68),C68-D68-SUM(E68:Q68),(C68-D68)*B68))</f>
        <v>0</v>
      </c>
      <c r="S68" s="417">
        <f>IF(S40&lt;A68,0,IF((SUM(E68:R68)+((C68-D68)*B68))&gt;(C68-D68),C68-D68-SUM(E68:R68),(C68-D68)*B68))</f>
        <v>0</v>
      </c>
      <c r="T68" s="417">
        <f>IF(T40&lt;A68,0,IF((SUM(E68:S68)+((C68-D68)*B68))&gt;(C68-D68),C68-D68-SUM(E68:S68),(C68-D68)*B68))</f>
        <v>0</v>
      </c>
      <c r="U68" s="417">
        <f>IF(U40&lt;A68,0,IF((SUM(E68:T68)+((C68-D68)*B68))&gt;(C68-D68),C68-D68-SUM(E68:T68),(C68-D68)*B68))</f>
        <v>0</v>
      </c>
      <c r="V68" s="417">
        <f>IF(V40&lt;A68,0,IF((SUM(E68:U68)+((C68-D68)*B68))&gt;(C68-D68),C68-D68-SUM(E68:U68),(C68-D68)*B68))</f>
        <v>0</v>
      </c>
      <c r="W68" s="417">
        <f>IF(W40&lt;A68,0,IF((SUM(E68:V68)+((C68-D68)*B68))&gt;(C68-D68),C68-D68-SUM(E68:V68),(C68-D68)*B68))</f>
        <v>0</v>
      </c>
      <c r="X68" s="417">
        <f>IF(X40&lt;A68,0,IF((SUM(E68:W68)+((C68-D68)*B68))&gt;(C68-D68),C68-D68-SUM(E68:W68),(C68-D68)*B68))</f>
        <v>0</v>
      </c>
      <c r="Y68" s="417">
        <f>IF(Y40&lt;A68,0,IF((SUM(E68:X68)+((C68-D68)*B68))&gt;(C68-D68),C68-D68-SUM(E68:X68),(C68-D68)*B68))</f>
        <v>0</v>
      </c>
      <c r="Z68" s="417">
        <f>IF(Z40&lt;A68,0,IF((SUM(E68:Y68)+((C68-D68)*B68))&gt;(C68-D68),C68-D68-SUM(E68:Y68),(C68-D68)*B68))</f>
        <v>0</v>
      </c>
      <c r="AA68" s="417">
        <f>IF(AA40&lt;A68,0,IF((SUM(E68:Z68)+((C68-D68)*B68))&gt;(C68-D68),C68-D68-SUM(E68:Z68),(C68-D68)*B68))</f>
        <v>0</v>
      </c>
      <c r="AB68" s="417">
        <f>IF(AB40&lt;A68,0,IF((SUM(E68:AA68)+((C68-D68)*B68))&gt;(C68-D68),C68-D68-SUM(E68:AA68),(C68-D68)*B68))</f>
        <v>0</v>
      </c>
      <c r="AC68" s="417">
        <f>IF(AC40&lt;A68,0,IF((SUM(E68:AB68)+((C68-D68)*B68))&gt;(C68-D68),C68-D68-SUM(E68:AB68),(C68-D68)*B68))</f>
        <v>0</v>
      </c>
      <c r="AD68" s="417">
        <f>IF(AD40&lt;A68,0,IF((SUM(E68:AC68)+((C68-D68)*B68))&gt;(C68-D68),C68-D68-SUM(E68:AC68),(C68-D68)*B68))</f>
        <v>0</v>
      </c>
      <c r="AE68" s="417">
        <f>IF(AE40&lt;A68,0,IF((SUM(E68:AD68)+((C68-D68)*B68))&gt;(C68-D68),C68-D68-SUM(E68:AD68),(C68-D68)*B68))</f>
        <v>0</v>
      </c>
      <c r="AF68" s="417">
        <f>IF(AF40&lt;A68,0,IF((SUM(E68:AE68)+((C68-D68)*B68))&gt;(C68-D68),C68-D68-SUM(E68:AE68),(C68-D68)*B68))</f>
        <v>44455.592666666664</v>
      </c>
      <c r="AG68" s="417">
        <f>IF(AG40&lt;A68,0,IF((SUM(E68:AF68)+((C68-D68)*B68))&gt;(C68-D68),C68-D68-SUM(E68:AF68),(C68-D68)*B68))</f>
        <v>44455.592666666664</v>
      </c>
      <c r="AH68" s="417">
        <f>IF(AH40&lt;A68,0,IF((SUM(E68:AG68)+((C68-D68)*B68))&gt;(C68-D68),C68-D68-SUM(E68:AG68),(C68-D68)*B68))</f>
        <v>44455.592666666664</v>
      </c>
    </row>
    <row r="69" spans="1:34" s="75" customFormat="1" ht="13.15" customHeight="1" outlineLevel="1" x14ac:dyDescent="0.2">
      <c r="A69" s="416">
        <v>29</v>
      </c>
      <c r="B69" s="374">
        <v>0.2</v>
      </c>
      <c r="C69" s="378">
        <f>SUMIF('14 - Investimentos'!B:B,'15 - Depreciação'!A38,'14 - Investimentos'!AF:AF)</f>
        <v>845639.29666666687</v>
      </c>
      <c r="D69" s="417">
        <f>C69*B38</f>
        <v>0</v>
      </c>
      <c r="E69" s="417">
        <f>IF(E40&lt;A69,0,(C69-D69)*B69)</f>
        <v>0</v>
      </c>
      <c r="F69" s="417">
        <f>IF(F40&lt;A69,0,IF((SUM(E69:E69)+((C69-D69)*B69))&gt;(C69-D69),C69-D69-SUM(E69:E69),(C69-D69)*B69))</f>
        <v>0</v>
      </c>
      <c r="G69" s="417">
        <f>IF(G40&lt;A69,0,IF((SUM(E69:F69)+((C69-D69)*B69))&gt;(C69-D69),C69-D69-SUM(E69:F69),(C69-D69)*B69))</f>
        <v>0</v>
      </c>
      <c r="H69" s="417">
        <f>IF(H40&lt;A69,0,IF((SUM(E69:G69)+((C69-D69)*B69))&gt;(C69-D69),C69-D69-SUM(E69:G69),(C69-D69)*B69))</f>
        <v>0</v>
      </c>
      <c r="I69" s="417">
        <f>IF(I40&lt;A69,0,IF((SUM(E69:H69)+((C69-D69)*B69))&gt;(C69-D69),C69-D69-SUM(E69:H69),(C69-D69)*B69))</f>
        <v>0</v>
      </c>
      <c r="J69" s="417">
        <f>IF(J40&lt;A69,0,IF((SUM(E69:I69)+((C69-D69)*B69))&gt;(C69-D69),C69-D69-SUM(E69:I69),(C69-D69)*B69))</f>
        <v>0</v>
      </c>
      <c r="K69" s="417">
        <f>IF(K40&lt;A69,0,IF((SUM(E69:J69)+((C69-D69)*B69))&gt;(C69-D69),C69-D69-SUM(E69:J69),(C69-D69)*B69))</f>
        <v>0</v>
      </c>
      <c r="L69" s="417">
        <f>IF(L40&lt;A69,0,IF((SUM(E69:K69)+((C69-D69)*B69))&gt;(C69-D69),C69-D69-SUM(E69:K69),(C69-D69)*B69))</f>
        <v>0</v>
      </c>
      <c r="M69" s="417">
        <f>IF(M40&lt;A69,0,IF((SUM(E69:L69)+((C69-D69)*B69))&gt;(C69-D69),C69-D69-SUM(E69:L69),(C69-D69)*B69))</f>
        <v>0</v>
      </c>
      <c r="N69" s="417">
        <f>IF(N40&lt;A69,0,IF((SUM(E69:M69)+((C69-D69)*B69))&gt;(C69-D69),C69-D69-SUM(E69:M69),(C69-D69)*B69))</f>
        <v>0</v>
      </c>
      <c r="O69" s="417">
        <f>IF(O40&lt;A69,0,IF((SUM(E69:N69)+((C69-D69)*B69))&gt;(C69-D69),C69-D69-SUM(E69:N69),(C69-D69)*B69))</f>
        <v>0</v>
      </c>
      <c r="P69" s="417">
        <f>IF(P40&lt;A69,0,IF((SUM(E69:O69)+((C69-D69)*B69))&gt;(C69-D69),C69-D69-SUM(E69:O69),(C69-D69)*B69))</f>
        <v>0</v>
      </c>
      <c r="Q69" s="417">
        <f>IF(Q40&lt;A69,0,IF((SUM(E69:P69)+((C69-D69)*B69))&gt;(C69-D69),C69-D69-SUM(E69:P69),(C69-D69)*B69))</f>
        <v>0</v>
      </c>
      <c r="R69" s="417">
        <f>IF(R40&lt;A69,0,IF((SUM(E69:Q69)+((C69-D69)*B69))&gt;(C69-D69),C69-D69-SUM(E69:Q69),(C69-D69)*B69))</f>
        <v>0</v>
      </c>
      <c r="S69" s="417">
        <f>IF(S40&lt;A69,0,IF((SUM(E69:R69)+((C69-D69)*B69))&gt;(C69-D69),C69-D69-SUM(E69:R69),(C69-D69)*B69))</f>
        <v>0</v>
      </c>
      <c r="T69" s="417">
        <f>IF(T40&lt;A69,0,IF((SUM(E69:S69)+((C69-D69)*B69))&gt;(C69-D69),C69-D69-SUM(E69:S69),(C69-D69)*B69))</f>
        <v>0</v>
      </c>
      <c r="U69" s="417">
        <f>IF(U40&lt;A69,0,IF((SUM(E69:T69)+((C69-D69)*B69))&gt;(C69-D69),C69-D69-SUM(E69:T69),(C69-D69)*B69))</f>
        <v>0</v>
      </c>
      <c r="V69" s="417">
        <f>IF(V40&lt;A69,0,IF((SUM(E69:U69)+((C69-D69)*B69))&gt;(C69-D69),C69-D69-SUM(E69:U69),(C69-D69)*B69))</f>
        <v>0</v>
      </c>
      <c r="W69" s="417">
        <f>IF(W40&lt;A69,0,IF((SUM(E69:V69)+((C69-D69)*B69))&gt;(C69-D69),C69-D69-SUM(E69:V69),(C69-D69)*B69))</f>
        <v>0</v>
      </c>
      <c r="X69" s="417">
        <f>IF(X40&lt;A69,0,IF((SUM(E69:W69)+((C69-D69)*B69))&gt;(C69-D69),C69-D69-SUM(E69:W69),(C69-D69)*B69))</f>
        <v>0</v>
      </c>
      <c r="Y69" s="417">
        <f>IF(Y40&lt;A69,0,IF((SUM(E69:X69)+((C69-D69)*B69))&gt;(C69-D69),C69-D69-SUM(E69:X69),(C69-D69)*B69))</f>
        <v>0</v>
      </c>
      <c r="Z69" s="417">
        <f>IF(Z40&lt;A69,0,IF((SUM(E69:Y69)+((C69-D69)*B69))&gt;(C69-D69),C69-D69-SUM(E69:Y69),(C69-D69)*B69))</f>
        <v>0</v>
      </c>
      <c r="AA69" s="417">
        <f>IF(AA40&lt;A69,0,IF((SUM(E69:Z69)+((C69-D69)*B69))&gt;(C69-D69),C69-D69-SUM(E69:Z69),(C69-D69)*B69))</f>
        <v>0</v>
      </c>
      <c r="AB69" s="417">
        <f>IF(AB40&lt;A69,0,IF((SUM(E69:AA69)+((C69-D69)*B69))&gt;(C69-D69),C69-D69-SUM(E69:AA69),(C69-D69)*B69))</f>
        <v>0</v>
      </c>
      <c r="AC69" s="417">
        <f>IF(AC40&lt;A69,0,IF((SUM(E69:AB69)+((C69-D69)*B69))&gt;(C69-D69),C69-D69-SUM(E69:AB69),(C69-D69)*B69))</f>
        <v>0</v>
      </c>
      <c r="AD69" s="417">
        <f>IF(AD40&lt;A69,0,IF((SUM(E69:AC69)+((C69-D69)*B69))&gt;(C69-D69),C69-D69-SUM(E69:AC69),(C69-D69)*B69))</f>
        <v>0</v>
      </c>
      <c r="AE69" s="417">
        <f>IF(AE40&lt;A69,0,IF((SUM(E69:AD69)+((C69-D69)*B69))&gt;(C69-D69),C69-D69-SUM(E69:AD69),(C69-D69)*B69))</f>
        <v>0</v>
      </c>
      <c r="AF69" s="417">
        <f>IF(AF40&lt;A69,0,IF((SUM(E69:AE69)+((C69-D69)*B69))&gt;(C69-D69),C69-D69-SUM(E69:AE69),(C69-D69)*B69))</f>
        <v>0</v>
      </c>
      <c r="AG69" s="417">
        <f>IF(AG40&lt;A69,0,IF((SUM(E69:AF69)+((C69-D69)*B69))&gt;(C69-D69),C69-D69-SUM(E69:AF69),(C69-D69)*B69))</f>
        <v>169127.85933333338</v>
      </c>
      <c r="AH69" s="417">
        <f>IF(AH40&lt;A69,0,IF((SUM(E69:AG69)+((C69-D69)*B69))&gt;(C69-D69),C69-D69-SUM(E69:AG69),(C69-D69)*B69))</f>
        <v>169127.85933333338</v>
      </c>
    </row>
    <row r="70" spans="1:34" s="75" customFormat="1" ht="13.15" customHeight="1" outlineLevel="1" x14ac:dyDescent="0.2">
      <c r="A70" s="416">
        <v>30</v>
      </c>
      <c r="B70" s="374">
        <v>0.2</v>
      </c>
      <c r="C70" s="378">
        <f>SUMIF('14 - Investimentos'!B:B,'15 - Depreciação'!A38,'14 - Investimentos'!AG:AG)</f>
        <v>606010.44999999995</v>
      </c>
      <c r="D70" s="417">
        <f>C70*B38</f>
        <v>0</v>
      </c>
      <c r="E70" s="417">
        <f>IF(E40&lt;A70,0,(C70-D70)*B70)</f>
        <v>0</v>
      </c>
      <c r="F70" s="417">
        <f>IF(F40&lt;A70,0,IF((SUM(E70:E70)+((C70-D70)*B70))&gt;(C70-D70),C70-D70-SUM(E70:E70),(C70-D70)*B70))</f>
        <v>0</v>
      </c>
      <c r="G70" s="417">
        <f>IF(G40&lt;A70,0,IF((SUM(E70:F70)+((C70-D70)*B70))&gt;(C70-D70),C70-D70-SUM(E70:F70),(C70-D70)*B70))</f>
        <v>0</v>
      </c>
      <c r="H70" s="417">
        <f>IF(H40&lt;A70,0,IF((SUM(E70:G70)+((C70-D70)*B70))&gt;(C70-D70),C70-D70-SUM(E70:G70),(C70-D70)*B70))</f>
        <v>0</v>
      </c>
      <c r="I70" s="417">
        <f>IF(I40&lt;A70,0,IF((SUM(E70:H70)+((C70-D70)*B70))&gt;(C70-D70),C70-D70-SUM(E70:H70),(C70-D70)*B70))</f>
        <v>0</v>
      </c>
      <c r="J70" s="417">
        <f>IF(J40&lt;A70,0,IF((SUM(E70:I70)+((C70-D70)*B70))&gt;(C70-D70),C70-D70-SUM(E70:I70),(C70-D70)*B70))</f>
        <v>0</v>
      </c>
      <c r="K70" s="417">
        <f>IF(K40&lt;A70,0,IF((SUM(E70:J70)+((C70-D70)*B70))&gt;(C70-D70),C70-D70-SUM(E70:J70),(C70-D70)*B70))</f>
        <v>0</v>
      </c>
      <c r="L70" s="417">
        <f>IF(L40&lt;A70,0,IF((SUM(E70:K70)+((C70-D70)*B70))&gt;(C70-D70),C70-D70-SUM(E70:K70),(C70-D70)*B70))</f>
        <v>0</v>
      </c>
      <c r="M70" s="417">
        <f>IF(M40&lt;A70,0,IF((SUM(E70:L70)+((C70-D70)*B70))&gt;(C70-D70),C70-D70-SUM(E70:L70),(C70-D70)*B70))</f>
        <v>0</v>
      </c>
      <c r="N70" s="417">
        <f>IF(N40&lt;A70,0,IF((SUM(E70:M70)+((C70-D70)*B70))&gt;(C70-D70),C70-D70-SUM(E70:M70),(C70-D70)*B70))</f>
        <v>0</v>
      </c>
      <c r="O70" s="417">
        <f>IF(O40&lt;A70,0,IF((SUM(E70:N70)+((C70-D70)*B70))&gt;(C70-D70),C70-D70-SUM(E70:N70),(C70-D70)*B70))</f>
        <v>0</v>
      </c>
      <c r="P70" s="417">
        <f>IF(P40&lt;A70,0,IF((SUM(E70:O70)+((C70-D70)*B70))&gt;(C70-D70),C70-D70-SUM(E70:O70),(C70-D70)*B70))</f>
        <v>0</v>
      </c>
      <c r="Q70" s="417">
        <f>IF(Q40&lt;A70,0,IF((SUM(E70:P70)+((C70-D70)*B70))&gt;(C70-D70),C70-D70-SUM(E70:P70),(C70-D70)*B70))</f>
        <v>0</v>
      </c>
      <c r="R70" s="417">
        <f>IF(R40&lt;A70,0,IF((SUM(E70:Q70)+((C70-D70)*B70))&gt;(C70-D70),C70-D70-SUM(E70:Q70),(C70-D70)*B70))</f>
        <v>0</v>
      </c>
      <c r="S70" s="417">
        <f>IF(S40&lt;A70,0,IF((SUM(E70:R70)+((C70-D70)*B70))&gt;(C70-D70),C70-D70-SUM(E70:R70),(C70-D70)*B70))</f>
        <v>0</v>
      </c>
      <c r="T70" s="417">
        <f>IF(T40&lt;A70,0,IF((SUM(E70:S70)+((C70-D70)*B70))&gt;(C70-D70),C70-D70-SUM(E70:S70),(C70-D70)*B70))</f>
        <v>0</v>
      </c>
      <c r="U70" s="417">
        <f>IF(U40&lt;A70,0,IF((SUM(E70:T70)+((C70-D70)*B70))&gt;(C70-D70),C70-D70-SUM(E70:T70),(C70-D70)*B70))</f>
        <v>0</v>
      </c>
      <c r="V70" s="417">
        <f>IF(V40&lt;A70,0,IF((SUM(E70:U70)+((C70-D70)*B70))&gt;(C70-D70),C70-D70-SUM(E70:U70),(C70-D70)*B70))</f>
        <v>0</v>
      </c>
      <c r="W70" s="417">
        <f>IF(W40&lt;A70,0,IF((SUM(E70:V70)+((C70-D70)*B70))&gt;(C70-D70),C70-D70-SUM(E70:V70),(C70-D70)*B70))</f>
        <v>0</v>
      </c>
      <c r="X70" s="417">
        <f>IF(X40&lt;A70,0,IF((SUM(E70:W70)+((C70-D70)*B70))&gt;(C70-D70),C70-D70-SUM(E70:W70),(C70-D70)*B70))</f>
        <v>0</v>
      </c>
      <c r="Y70" s="417">
        <f>IF(Y40&lt;A70,0,IF((SUM(E70:X70)+((C70-D70)*B70))&gt;(C70-D70),C70-D70-SUM(E70:X70),(C70-D70)*B70))</f>
        <v>0</v>
      </c>
      <c r="Z70" s="417">
        <f>IF(Z40&lt;A70,0,IF((SUM(E70:Y70)+((C70-D70)*B70))&gt;(C70-D70),C70-D70-SUM(E70:Y70),(C70-D70)*B70))</f>
        <v>0</v>
      </c>
      <c r="AA70" s="417">
        <f>IF(AA40&lt;A70,0,IF((SUM(E70:Z70)+((C70-D70)*B70))&gt;(C70-D70),C70-D70-SUM(E70:Z70),(C70-D70)*B70))</f>
        <v>0</v>
      </c>
      <c r="AB70" s="417">
        <f>IF(AB40&lt;A70,0,IF((SUM(E70:AA70)+((C70-D70)*B70))&gt;(C70-D70),C70-D70-SUM(E70:AA70),(C70-D70)*B70))</f>
        <v>0</v>
      </c>
      <c r="AC70" s="417">
        <f>IF(AC40&lt;A70,0,IF((SUM(E70:AB70)+((C70-D70)*B70))&gt;(C70-D70),C70-D70-SUM(E70:AB70),(C70-D70)*B70))</f>
        <v>0</v>
      </c>
      <c r="AD70" s="417">
        <f>IF(AD40&lt;A70,0,IF((SUM(E70:AC70)+((C70-D70)*B70))&gt;(C70-D70),C70-D70-SUM(E70:AC70),(C70-D70)*B70))</f>
        <v>0</v>
      </c>
      <c r="AE70" s="417">
        <f>IF(AE40&lt;A70,0,IF((SUM(E70:AD70)+((C70-D70)*B70))&gt;(C70-D70),C70-D70-SUM(E70:AD70),(C70-D70)*B70))</f>
        <v>0</v>
      </c>
      <c r="AF70" s="417">
        <f>IF(AF40&lt;A70,0,IF((SUM(E70:AE70)+((C70-D70)*B70))&gt;(C70-D70),C70-D70-SUM(E70:AE70),(C70-D70)*B70))</f>
        <v>0</v>
      </c>
      <c r="AG70" s="417">
        <f>IF(AG40&lt;A70,0,IF((SUM(E70:AF70)+((C70-D70)*B70))&gt;(C70-D70),C70-D70-SUM(E70:AF70),(C70-D70)*B70))</f>
        <v>0</v>
      </c>
      <c r="AH70" s="417">
        <f>IF(AH40&lt;A70,0,IF((SUM(E70:AG70)+((C70-D70)*B70))&gt;(C70-D70),C70-D70-SUM(E70:AG70),(C70-D70)*B70))</f>
        <v>121202.09</v>
      </c>
    </row>
    <row r="71" spans="1:34" s="75" customFormat="1" ht="13.15" customHeight="1" x14ac:dyDescent="0.2">
      <c r="A71" s="375" t="s">
        <v>71</v>
      </c>
      <c r="B71" s="379"/>
      <c r="C71" s="380">
        <f>SUM(C41:C70)</f>
        <v>20722474.710000008</v>
      </c>
      <c r="D71" s="376"/>
      <c r="E71" s="380">
        <f t="shared" ref="E71:AH71" si="1">SUM(E41:E70)</f>
        <v>386421.72733333329</v>
      </c>
      <c r="F71" s="380">
        <f t="shared" si="1"/>
        <v>427277.31999999995</v>
      </c>
      <c r="G71" s="380">
        <f t="shared" si="1"/>
        <v>596287.97933333332</v>
      </c>
      <c r="H71" s="380">
        <f t="shared" si="1"/>
        <v>596346.5793333333</v>
      </c>
      <c r="I71" s="380">
        <f t="shared" si="1"/>
        <v>726599.17200000002</v>
      </c>
      <c r="J71" s="380">
        <f t="shared" si="1"/>
        <v>600757.08199999994</v>
      </c>
      <c r="K71" s="380">
        <f t="shared" si="1"/>
        <v>600815.68200000015</v>
      </c>
      <c r="L71" s="380">
        <f t="shared" si="1"/>
        <v>719263.57200000004</v>
      </c>
      <c r="M71" s="380">
        <f t="shared" si="1"/>
        <v>722017.77200000011</v>
      </c>
      <c r="N71" s="380">
        <f t="shared" si="1"/>
        <v>719204.97200000018</v>
      </c>
      <c r="O71" s="380">
        <f t="shared" si="1"/>
        <v>727503.57199999993</v>
      </c>
      <c r="P71" s="380">
        <f t="shared" si="1"/>
        <v>727562.17200000002</v>
      </c>
      <c r="Q71" s="380">
        <f t="shared" si="1"/>
        <v>615527.08199999982</v>
      </c>
      <c r="R71" s="380">
        <f t="shared" si="1"/>
        <v>612714.28200000012</v>
      </c>
      <c r="S71" s="380">
        <f t="shared" si="1"/>
        <v>731162.17200000014</v>
      </c>
      <c r="T71" s="380">
        <f t="shared" si="1"/>
        <v>719380.77200000011</v>
      </c>
      <c r="U71" s="380">
        <f t="shared" si="1"/>
        <v>722076.37200000009</v>
      </c>
      <c r="V71" s="380">
        <f t="shared" si="1"/>
        <v>715663.57199999993</v>
      </c>
      <c r="W71" s="380">
        <f t="shared" si="1"/>
        <v>715722.17200000002</v>
      </c>
      <c r="X71" s="380">
        <f t="shared" si="1"/>
        <v>600991.48199999984</v>
      </c>
      <c r="Y71" s="380">
        <f t="shared" si="1"/>
        <v>615527.08200000017</v>
      </c>
      <c r="Z71" s="380">
        <f t="shared" si="1"/>
        <v>731103.57200000004</v>
      </c>
      <c r="AA71" s="380">
        <f t="shared" si="1"/>
        <v>731162.17200000002</v>
      </c>
      <c r="AB71" s="380">
        <f t="shared" si="1"/>
        <v>731220.772</v>
      </c>
      <c r="AC71" s="380">
        <f t="shared" si="1"/>
        <v>730316.37200000009</v>
      </c>
      <c r="AD71" s="380">
        <f t="shared" si="1"/>
        <v>715663.57200000016</v>
      </c>
      <c r="AE71" s="380">
        <f t="shared" si="1"/>
        <v>600874.28200000012</v>
      </c>
      <c r="AF71" s="380">
        <f t="shared" si="1"/>
        <v>476260.61533333338</v>
      </c>
      <c r="AG71" s="380">
        <f t="shared" si="1"/>
        <v>645271.27466666675</v>
      </c>
      <c r="AH71" s="380">
        <f t="shared" si="1"/>
        <v>636220.77200000011</v>
      </c>
    </row>
    <row r="72" spans="1:34" s="75" customFormat="1" ht="13.15" customHeight="1" x14ac:dyDescent="0.2">
      <c r="A72" s="415"/>
      <c r="B72" s="78"/>
      <c r="C72" s="78"/>
      <c r="D72" s="414"/>
      <c r="E72" s="414"/>
      <c r="F72" s="414"/>
      <c r="G72" s="414"/>
      <c r="H72" s="414"/>
      <c r="I72" s="414"/>
      <c r="J72" s="414"/>
      <c r="K72" s="414"/>
      <c r="L72" s="414"/>
      <c r="M72" s="414"/>
      <c r="N72" s="414"/>
      <c r="O72" s="414"/>
      <c r="P72" s="414"/>
      <c r="Q72" s="414"/>
      <c r="R72" s="414"/>
      <c r="S72" s="414"/>
      <c r="T72" s="414"/>
      <c r="U72" s="414"/>
      <c r="V72" s="414"/>
      <c r="W72" s="414"/>
      <c r="X72" s="414"/>
      <c r="Y72" s="414"/>
      <c r="Z72" s="414"/>
      <c r="AA72" s="414"/>
      <c r="AB72" s="414"/>
      <c r="AC72" s="414"/>
      <c r="AD72" s="414"/>
      <c r="AE72" s="414"/>
      <c r="AF72" s="414"/>
      <c r="AG72" s="414"/>
      <c r="AH72" s="415"/>
    </row>
    <row r="73" spans="1:34" s="75" customFormat="1" ht="13.15" customHeight="1" x14ac:dyDescent="0.2">
      <c r="A73" s="373" t="s">
        <v>1082</v>
      </c>
      <c r="B73" s="373" t="s">
        <v>1117</v>
      </c>
      <c r="C73" s="78"/>
      <c r="D73" s="414"/>
      <c r="E73" s="414"/>
      <c r="F73" s="414"/>
      <c r="G73" s="414"/>
      <c r="H73" s="414"/>
      <c r="I73" s="414"/>
      <c r="J73" s="414"/>
      <c r="K73" s="414"/>
      <c r="L73" s="414"/>
      <c r="M73" s="414"/>
      <c r="N73" s="414"/>
      <c r="O73" s="414"/>
      <c r="P73" s="414"/>
      <c r="Q73" s="414"/>
      <c r="R73" s="414"/>
      <c r="S73" s="414"/>
      <c r="T73" s="414"/>
      <c r="U73" s="414"/>
      <c r="V73" s="414"/>
      <c r="W73" s="414"/>
      <c r="X73" s="414"/>
      <c r="Y73" s="414"/>
      <c r="Z73" s="414"/>
      <c r="AA73" s="414"/>
      <c r="AB73" s="414"/>
      <c r="AC73" s="414"/>
      <c r="AD73" s="414"/>
      <c r="AE73" s="414"/>
      <c r="AF73" s="414"/>
      <c r="AG73" s="414"/>
      <c r="AH73" s="415"/>
    </row>
    <row r="74" spans="1:34" s="75" customFormat="1" ht="13.15" customHeight="1" x14ac:dyDescent="0.2">
      <c r="A74" s="523" t="s">
        <v>1095</v>
      </c>
      <c r="B74" s="374">
        <v>0</v>
      </c>
      <c r="C74" s="78"/>
      <c r="D74" s="414"/>
      <c r="E74" s="414"/>
      <c r="F74" s="414"/>
      <c r="G74" s="414"/>
      <c r="H74" s="414"/>
      <c r="I74" s="414"/>
      <c r="J74" s="414"/>
      <c r="K74" s="414"/>
      <c r="L74" s="414"/>
      <c r="M74" s="414"/>
      <c r="N74" s="414"/>
      <c r="O74" s="414"/>
      <c r="P74" s="414"/>
      <c r="Q74" s="414"/>
      <c r="R74" s="414"/>
      <c r="S74" s="414"/>
      <c r="T74" s="414"/>
      <c r="U74" s="414"/>
      <c r="V74" s="414"/>
      <c r="W74" s="414"/>
      <c r="X74" s="414"/>
      <c r="Y74" s="414"/>
      <c r="Z74" s="414"/>
      <c r="AA74" s="414"/>
      <c r="AB74" s="414"/>
      <c r="AC74" s="414"/>
      <c r="AD74" s="414"/>
      <c r="AE74" s="414"/>
      <c r="AF74" s="414"/>
      <c r="AG74" s="414"/>
      <c r="AH74" s="415"/>
    </row>
    <row r="75" spans="1:34" s="75" customFormat="1" ht="13.15" customHeight="1" x14ac:dyDescent="0.2">
      <c r="A75" s="415"/>
      <c r="B75" s="78"/>
      <c r="C75" s="78"/>
      <c r="D75" s="414"/>
      <c r="E75" s="414"/>
      <c r="F75" s="414"/>
      <c r="G75" s="414"/>
      <c r="H75" s="414"/>
      <c r="I75" s="414"/>
      <c r="J75" s="414"/>
      <c r="K75" s="414"/>
      <c r="L75" s="414"/>
      <c r="M75" s="414"/>
      <c r="N75" s="414"/>
      <c r="O75" s="414"/>
      <c r="P75" s="414"/>
      <c r="Q75" s="414"/>
      <c r="R75" s="414"/>
      <c r="S75" s="414"/>
      <c r="T75" s="414"/>
      <c r="U75" s="414"/>
      <c r="V75" s="414"/>
      <c r="W75" s="414"/>
      <c r="X75" s="414"/>
      <c r="Y75" s="414"/>
      <c r="Z75" s="414"/>
      <c r="AA75" s="414"/>
      <c r="AB75" s="414"/>
      <c r="AC75" s="414"/>
      <c r="AD75" s="414"/>
      <c r="AE75" s="414"/>
      <c r="AF75" s="414"/>
      <c r="AG75" s="414"/>
      <c r="AH75" s="415"/>
    </row>
    <row r="76" spans="1:34" s="78" customFormat="1" ht="13.15" customHeight="1" x14ac:dyDescent="0.2">
      <c r="A76" s="375" t="s">
        <v>744</v>
      </c>
      <c r="B76" s="375" t="s">
        <v>1118</v>
      </c>
      <c r="C76" s="375" t="s">
        <v>1119</v>
      </c>
      <c r="D76" s="376" t="s">
        <v>1117</v>
      </c>
      <c r="E76" s="377">
        <v>1</v>
      </c>
      <c r="F76" s="377">
        <v>2</v>
      </c>
      <c r="G76" s="377">
        <v>3</v>
      </c>
      <c r="H76" s="377">
        <v>4</v>
      </c>
      <c r="I76" s="377">
        <v>5</v>
      </c>
      <c r="J76" s="377">
        <v>6</v>
      </c>
      <c r="K76" s="377">
        <v>7</v>
      </c>
      <c r="L76" s="377">
        <v>8</v>
      </c>
      <c r="M76" s="377">
        <v>9</v>
      </c>
      <c r="N76" s="377">
        <v>10</v>
      </c>
      <c r="O76" s="377">
        <v>11</v>
      </c>
      <c r="P76" s="377">
        <v>12</v>
      </c>
      <c r="Q76" s="377">
        <v>13</v>
      </c>
      <c r="R76" s="377">
        <v>14</v>
      </c>
      <c r="S76" s="377">
        <v>15</v>
      </c>
      <c r="T76" s="377">
        <v>16</v>
      </c>
      <c r="U76" s="377">
        <v>17</v>
      </c>
      <c r="V76" s="377">
        <v>18</v>
      </c>
      <c r="W76" s="377">
        <v>19</v>
      </c>
      <c r="X76" s="377">
        <v>20</v>
      </c>
      <c r="Y76" s="377">
        <v>21</v>
      </c>
      <c r="Z76" s="377">
        <v>22</v>
      </c>
      <c r="AA76" s="377">
        <v>23</v>
      </c>
      <c r="AB76" s="377">
        <v>24</v>
      </c>
      <c r="AC76" s="377">
        <v>25</v>
      </c>
      <c r="AD76" s="377">
        <v>26</v>
      </c>
      <c r="AE76" s="377">
        <v>27</v>
      </c>
      <c r="AF76" s="377">
        <v>28</v>
      </c>
      <c r="AG76" s="377">
        <v>29</v>
      </c>
      <c r="AH76" s="377">
        <v>30</v>
      </c>
    </row>
    <row r="77" spans="1:34" s="75" customFormat="1" ht="13.15" customHeight="1" outlineLevel="1" x14ac:dyDescent="0.2">
      <c r="A77" s="416">
        <v>1</v>
      </c>
      <c r="B77" s="374">
        <v>0.04</v>
      </c>
      <c r="C77" s="378">
        <f>SUMIF('14 - Investimentos'!B:B,'15 - Depreciação'!A74,'14 - Investimentos'!E:E)</f>
        <v>959440.89</v>
      </c>
      <c r="D77" s="417">
        <f>C77*B74</f>
        <v>0</v>
      </c>
      <c r="E77" s="417">
        <f>IF(E76&lt;A77,0,(C77-D77)*B77)</f>
        <v>38377.635600000001</v>
      </c>
      <c r="F77" s="417">
        <f>IF(F76&lt;A77,0,IF((SUM(E77:E77)+((C77-D77)*B77))&gt;(C77-D77),C77-D77-SUM(E77:E77),(C77-D77)*B77))</f>
        <v>38377.635600000001</v>
      </c>
      <c r="G77" s="417">
        <f>IF(G76&lt;A77,0,IF((SUM(E77:F77)+((C77-D77)*B77))&gt;(C77-D77),C77-D77-SUM(E77:F77),(C77-D77)*B77))</f>
        <v>38377.635600000001</v>
      </c>
      <c r="H77" s="417">
        <f>IF(H76&lt;A77,0,IF((SUM(E77:G77)+((C77-D77)*B77))&gt;(C77-D77),C77-D77-SUM(E77:G77),(C77-D77)*B77))</f>
        <v>38377.635600000001</v>
      </c>
      <c r="I77" s="417">
        <f>IF(I76&lt;A77,0,IF((SUM(E77:H77)+((C77-D77)*B77))&gt;(C77-D77),C77-D77-SUM(E77:H77),(C77-D77)*B77))</f>
        <v>38377.635600000001</v>
      </c>
      <c r="J77" s="417">
        <f>IF(J76&lt;A77,0,IF((SUM(E77:I77)+((C77-D77)*B77))&gt;(C77-D77),C77-D77-SUM(E77:I77),(C77-D77)*B77))</f>
        <v>38377.635600000001</v>
      </c>
      <c r="K77" s="417">
        <f>IF(K76&lt;A77,0,IF((SUM(E77:J77)+((C77-D77)*B77))&gt;(C77-D77),C77-D77-SUM(E77:J77),(C77-D77)*B77))</f>
        <v>38377.635600000001</v>
      </c>
      <c r="L77" s="417">
        <f>IF(L76&lt;A77,0,IF((SUM(E77:K77)+((C77-D77)*B77))&gt;(C77-D77),C77-D77-SUM(E77:K77),(C77-D77)*B77))</f>
        <v>38377.635600000001</v>
      </c>
      <c r="M77" s="417">
        <f>IF(M76&lt;A77,0,IF((SUM(E77:L77)+((C77-D77)*B77))&gt;(C77-D77),C77-D77-SUM(E77:L77),(C77-D77)*B77))</f>
        <v>38377.635600000001</v>
      </c>
      <c r="N77" s="417">
        <f>IF(N76&lt;A77,0,IF((SUM(E77:M77)+((C77-D77)*B77))&gt;(C77-D77),C77-D77-SUM(E77:M77),(C77-D77)*B77))</f>
        <v>38377.635600000001</v>
      </c>
      <c r="O77" s="417">
        <f>IF(O76&lt;A77,0,IF((SUM(E77:N77)+((C77-D77)*B77))&gt;(C77-D77),C77-D77-SUM(E77:N77),(C77-D77)*B77))</f>
        <v>38377.635600000001</v>
      </c>
      <c r="P77" s="417">
        <f>IF(P76&lt;A77,0,IF((SUM(E77:O77)+((C77-D77)*B77))&gt;(C77-D77),C77-D77-SUM(E77:O77),(C77-D77)*B77))</f>
        <v>38377.635600000001</v>
      </c>
      <c r="Q77" s="417">
        <f>IF(Q76&lt;A77,0,IF((SUM(E77:P77)+((C77-D77)*B77))&gt;(C77-D77),C77-D77-SUM(E77:P77),(C77-D77)*B77))</f>
        <v>38377.635600000001</v>
      </c>
      <c r="R77" s="417">
        <f>IF(R76&lt;A77,0,IF((SUM(E77:Q77)+((C77-D77)*B77))&gt;(C77-D77),C77-D77-SUM(E77:Q77),(C77-D77)*B77))</f>
        <v>38377.635600000001</v>
      </c>
      <c r="S77" s="417">
        <f>IF(S76&lt;A77,0,IF((SUM(E77:R77)+((C77-D77)*B77))&gt;(C77-D77),C77-D77-SUM(E77:R77),(C77-D77)*B77))</f>
        <v>38377.635600000001</v>
      </c>
      <c r="T77" s="417">
        <f>IF(T76&lt;A77,0,IF((SUM(E77:S77)+((C77-D77)*B77))&gt;(C77-D77),C77-D77-SUM(E77:S77),(C77-D77)*B77))</f>
        <v>38377.635600000001</v>
      </c>
      <c r="U77" s="417">
        <f>IF(U76&lt;A77,0,IF((SUM(E77:T77)+((C77-D77)*B77))&gt;(C77-D77),C77-D77-SUM(E77:T77),(C77-D77)*B77))</f>
        <v>38377.635600000001</v>
      </c>
      <c r="V77" s="417">
        <f>IF(V76&lt;A77,0,IF((SUM(E77:U77)+((C77-D77)*B77))&gt;(C77-D77),C77-D77-SUM(E77:U77),(C77-D77)*B77))</f>
        <v>38377.635600000001</v>
      </c>
      <c r="W77" s="417">
        <f>IF(W76&lt;A77,0,IF((SUM(E77:V77)+((C77-D77)*B77))&gt;(C77-D77),C77-D77-SUM(E77:V77),(C77-D77)*B77))</f>
        <v>38377.635600000001</v>
      </c>
      <c r="X77" s="417">
        <f>IF(X76&lt;A77,0,IF((SUM(E77:W77)+((C77-D77)*B77))&gt;(C77-D77),C77-D77-SUM(E77:W77),(C77-D77)*B77))</f>
        <v>38377.635600000001</v>
      </c>
      <c r="Y77" s="417">
        <f>IF(Y76&lt;A77,0,IF((SUM(E77:X77)+((C77-D77)*B77))&gt;(C77-D77),C77-D77-SUM(E77:X77),(C77-D77)*B77))</f>
        <v>38377.635600000001</v>
      </c>
      <c r="Z77" s="417">
        <f>IF(Z76&lt;A77,0,IF((SUM(E77:Y77)+((C77-D77)*B77))&gt;(C77-D77),C77-D77-SUM(E77:Y77),(C77-D77)*B77))</f>
        <v>38377.635600000001</v>
      </c>
      <c r="AA77" s="417">
        <f>IF(AA76&lt;A77,0,IF((SUM(E77:Z77)+((C77-D77)*B77))&gt;(C77-D77),C77-D77-SUM(E77:Z77),(C77-D77)*B77))</f>
        <v>38377.635600000001</v>
      </c>
      <c r="AB77" s="417">
        <f>IF(AB76&lt;A77,0,IF((SUM(E77:AA77)+((C77-D77)*B77))&gt;(C77-D77),C77-D77-SUM(E77:AA77),(C77-D77)*B77))</f>
        <v>38377.635600000001</v>
      </c>
      <c r="AC77" s="417">
        <f>IF(AC76&lt;A77,0,IF((SUM(E77:AB77)+((C77-D77)*B77))&gt;(C77-D77),C77-D77-SUM(E77:AB77),(C77-D77)*B77))</f>
        <v>38377.635600000001</v>
      </c>
      <c r="AD77" s="417">
        <f>IF(AD76&lt;A77,0,IF((SUM(E77:AC77)+((C77-D77)*B77))&gt;(C77-D77),C77-D77-SUM(E77:AC77),(C77-D77)*B77))</f>
        <v>-3.4924596548080444E-10</v>
      </c>
      <c r="AE77" s="417">
        <f>IF(AE76&lt;A77,0,IF((SUM(E77:AD77)+((C77-D77)*B77))&gt;(C77-D77),C77-D77-SUM(E77:AD77),(C77-D77)*B77))</f>
        <v>0</v>
      </c>
      <c r="AF77" s="417">
        <f>IF(AF76&lt;A77,0,IF((SUM(E77:AE77)+((C77-D77)*B77))&gt;(C77-D77),C77-D77-SUM(E77:AE77),(C77-D77)*B77))</f>
        <v>0</v>
      </c>
      <c r="AG77" s="417">
        <f>IF(AG76&lt;A77,0,IF((SUM(E77:AF77)+((C77-D77)*B77))&gt;(C77-D77),C77-D77-SUM(E77:AF77),(C77-D77)*B77))</f>
        <v>0</v>
      </c>
      <c r="AH77" s="417">
        <f>IF(AH76&lt;A77,0,IF((SUM(E77:AG77)+((C77-D77)*B77))&gt;(C77-D77),C77-D77-SUM(E77:AG77),(C77-D77)*B77))</f>
        <v>0</v>
      </c>
    </row>
    <row r="78" spans="1:34" s="75" customFormat="1" ht="13.15" customHeight="1" outlineLevel="1" x14ac:dyDescent="0.2">
      <c r="A78" s="416">
        <v>2</v>
      </c>
      <c r="B78" s="374">
        <v>0.04</v>
      </c>
      <c r="C78" s="378">
        <f>SUMIF('14 - Investimentos'!B:B,'15 - Depreciação'!A74,'14 - Investimentos'!F:F)</f>
        <v>0</v>
      </c>
      <c r="D78" s="417">
        <f>C78*B74</f>
        <v>0</v>
      </c>
      <c r="E78" s="417">
        <f>IF(E76&lt;A78,0,(C78-D78)*B78)</f>
        <v>0</v>
      </c>
      <c r="F78" s="417">
        <f>IF(F76&lt;A78,0,IF((SUM(E78:E78)+((C78-D78)*B78))&gt;(C78-D78),C78-D78-SUM(E78:E78),(C78-D78)*B78))</f>
        <v>0</v>
      </c>
      <c r="G78" s="417">
        <f>IF(G76&lt;A78,0,IF((SUM(E78:F78)+((C78-D78)*B78))&gt;(C78-D78),C78-D78-SUM(E78:F78),(C78-D78)*B78))</f>
        <v>0</v>
      </c>
      <c r="H78" s="417">
        <f>IF(H76&lt;A78,0,IF((SUM(E78:G78)+((C78-D78)*B78))&gt;(C78-D78),C78-D78-SUM(E78:G78),(C78-D78)*B78))</f>
        <v>0</v>
      </c>
      <c r="I78" s="417">
        <f>IF(I76&lt;A78,0,IF((SUM(E78:H78)+((C78-D78)*B78))&gt;(C78-D78),C78-D78-SUM(E78:H78),(C78-D78)*B78))</f>
        <v>0</v>
      </c>
      <c r="J78" s="417">
        <f>IF(J76&lt;A78,0,IF((SUM(E78:I78)+((C78-D78)*B78))&gt;(C78-D78),C78-D78-SUM(E78:I78),(C78-D78)*B78))</f>
        <v>0</v>
      </c>
      <c r="K78" s="417">
        <f>IF(K76&lt;A78,0,IF((SUM(E78:J78)+((C78-D78)*B78))&gt;(C78-D78),C78-D78-SUM(E78:J78),(C78-D78)*B78))</f>
        <v>0</v>
      </c>
      <c r="L78" s="417">
        <f>IF(L76&lt;A78,0,IF((SUM(E78:K78)+((C78-D78)*B78))&gt;(C78-D78),C78-D78-SUM(E78:K78),(C78-D78)*B78))</f>
        <v>0</v>
      </c>
      <c r="M78" s="417">
        <f>IF(M76&lt;A78,0,IF((SUM(E78:L78)+((C78-D78)*B78))&gt;(C78-D78),C78-D78-SUM(E78:L78),(C78-D78)*B78))</f>
        <v>0</v>
      </c>
      <c r="N78" s="417">
        <f>IF(N76&lt;A78,0,IF((SUM(E78:M78)+((C78-D78)*B78))&gt;(C78-D78),C78-D78-SUM(E78:M78),(C78-D78)*B78))</f>
        <v>0</v>
      </c>
      <c r="O78" s="417">
        <f>IF(O76&lt;A78,0,IF((SUM(E78:N78)+((C78-D78)*B78))&gt;(C78-D78),C78-D78-SUM(E78:N78),(C78-D78)*B78))</f>
        <v>0</v>
      </c>
      <c r="P78" s="417">
        <f>IF(P76&lt;A78,0,IF((SUM(E78:O78)+((C78-D78)*B78))&gt;(C78-D78),C78-D78-SUM(E78:O78),(C78-D78)*B78))</f>
        <v>0</v>
      </c>
      <c r="Q78" s="417">
        <f>IF(Q76&lt;A78,0,IF((SUM(E78:P78)+((C78-D78)*B78))&gt;(C78-D78),C78-D78-SUM(E78:P78),(C78-D78)*B78))</f>
        <v>0</v>
      </c>
      <c r="R78" s="417">
        <f>IF(R76&lt;A78,0,IF((SUM(E78:Q78)+((C78-D78)*B78))&gt;(C78-D78),C78-D78-SUM(E78:Q78),(C78-D78)*B78))</f>
        <v>0</v>
      </c>
      <c r="S78" s="417">
        <f>IF(S76&lt;A78,0,IF((SUM(E78:R78)+((C78-D78)*B78))&gt;(C78-D78),C78-D78-SUM(E78:R78),(C78-D78)*B78))</f>
        <v>0</v>
      </c>
      <c r="T78" s="417">
        <f>IF(T76&lt;A78,0,IF((SUM(E78:S78)+((C78-D78)*B78))&gt;(C78-D78),C78-D78-SUM(E78:S78),(C78-D78)*B78))</f>
        <v>0</v>
      </c>
      <c r="U78" s="417">
        <f>IF(U76&lt;A78,0,IF((SUM(E78:T78)+((C78-D78)*B78))&gt;(C78-D78),C78-D78-SUM(E78:T78),(C78-D78)*B78))</f>
        <v>0</v>
      </c>
      <c r="V78" s="417">
        <f>IF(V76&lt;A78,0,IF((SUM(E78:U78)+((C78-D78)*B78))&gt;(C78-D78),C78-D78-SUM(E78:U78),(C78-D78)*B78))</f>
        <v>0</v>
      </c>
      <c r="W78" s="417">
        <f>IF(W76&lt;A78,0,IF((SUM(E78:V78)+((C78-D78)*B78))&gt;(C78-D78),C78-D78-SUM(E78:V78),(C78-D78)*B78))</f>
        <v>0</v>
      </c>
      <c r="X78" s="417">
        <f>IF(X76&lt;A78,0,IF((SUM(E78:W78)+((C78-D78)*B78))&gt;(C78-D78),C78-D78-SUM(E78:W78),(C78-D78)*B78))</f>
        <v>0</v>
      </c>
      <c r="Y78" s="417">
        <f>IF(Y76&lt;A78,0,IF((SUM(E78:X78)+((C78-D78)*B78))&gt;(C78-D78),C78-D78-SUM(E78:X78),(C78-D78)*B78))</f>
        <v>0</v>
      </c>
      <c r="Z78" s="417">
        <f>IF(Z76&lt;A78,0,IF((SUM(E78:Y78)+((C78-D78)*B78))&gt;(C78-D78),C78-D78-SUM(E78:Y78),(C78-D78)*B78))</f>
        <v>0</v>
      </c>
      <c r="AA78" s="417">
        <f>IF(AA76&lt;A78,0,IF((SUM(E78:Z78)+((C78-D78)*B78))&gt;(C78-D78),C78-D78-SUM(E78:Z78),(C78-D78)*B78))</f>
        <v>0</v>
      </c>
      <c r="AB78" s="417">
        <f>IF(AB76&lt;A78,0,IF((SUM(E78:AA78)+((C78-D78)*B78))&gt;(C78-D78),C78-D78-SUM(E78:AA78),(C78-D78)*B78))</f>
        <v>0</v>
      </c>
      <c r="AC78" s="417">
        <f>IF(AC76&lt;A78,0,IF((SUM(E78:AB78)+((C78-D78)*B78))&gt;(C78-D78),C78-D78-SUM(E78:AB78),(C78-D78)*B78))</f>
        <v>0</v>
      </c>
      <c r="AD78" s="417">
        <f>IF(AD76&lt;A78,0,IF((SUM(E78:AC78)+((C78-D78)*B78))&gt;(C78-D78),C78-D78-SUM(E78:AC78),(C78-D78)*B78))</f>
        <v>0</v>
      </c>
      <c r="AE78" s="417">
        <f>IF(AE76&lt;A78,0,IF((SUM(E78:AD78)+((C78-D78)*B78))&gt;(C78-D78),C78-D78-SUM(E78:AD78),(C78-D78)*B78))</f>
        <v>0</v>
      </c>
      <c r="AF78" s="417">
        <f>IF(AF76&lt;A78,0,IF((SUM(E78:AE78)+((C78-D78)*B78))&gt;(C78-D78),C78-D78-SUM(E78:AE78),(C78-D78)*B78))</f>
        <v>0</v>
      </c>
      <c r="AG78" s="417">
        <f>IF(AG76&lt;A78,0,IF((SUM(E78:AF78)+((C78-D78)*B78))&gt;(C78-D78),C78-D78-SUM(E78:AF78),(C78-D78)*B78))</f>
        <v>0</v>
      </c>
      <c r="AH78" s="417">
        <f>IF(AH76&lt;A78,0,IF((SUM(E78:AG78)+((C78-D78)*B78))&gt;(C78-D78),C78-D78-SUM(E78:AG78),(C78-D78)*B78))</f>
        <v>0</v>
      </c>
    </row>
    <row r="79" spans="1:34" s="75" customFormat="1" ht="13.15" customHeight="1" outlineLevel="1" x14ac:dyDescent="0.2">
      <c r="A79" s="416">
        <v>3</v>
      </c>
      <c r="B79" s="374">
        <v>0.04</v>
      </c>
      <c r="C79" s="378">
        <f>SUMIF('14 - Investimentos'!B:B,'15 - Depreciação'!A74,'14 - Investimentos'!G:G)</f>
        <v>0</v>
      </c>
      <c r="D79" s="417">
        <f>C79*B74</f>
        <v>0</v>
      </c>
      <c r="E79" s="417">
        <f>IF(E76&lt;A79,0,(C79-D79)*B79)</f>
        <v>0</v>
      </c>
      <c r="F79" s="417">
        <f>IF(F76&lt;A79,0,IF((SUM(E79:E79)+((C79-D79)*B79))&gt;(C79-D79),C79-D79-SUM(E79:E79),(C79-D79)*B79))</f>
        <v>0</v>
      </c>
      <c r="G79" s="417">
        <f>IF(G76&lt;A79,0,IF((SUM(E79:F79)+((C79-D79)*B79))&gt;(C79-D79),C79-D79-SUM(E79:F79),(C79-D79)*B79))</f>
        <v>0</v>
      </c>
      <c r="H79" s="417">
        <f>IF(H76&lt;A79,0,IF((SUM(E79:G79)+((C79-D79)*B79))&gt;(C79-D79),C79-D79-SUM(E79:G79),(C79-D79)*B79))</f>
        <v>0</v>
      </c>
      <c r="I79" s="417">
        <f>IF(I76&lt;A79,0,IF((SUM(E79:H79)+((C79-D79)*B79))&gt;(C79-D79),C79-D79-SUM(E79:H79),(C79-D79)*B79))</f>
        <v>0</v>
      </c>
      <c r="J79" s="417">
        <f>IF(J76&lt;A79,0,IF((SUM(E79:I79)+((C79-D79)*B79))&gt;(C79-D79),C79-D79-SUM(E79:I79),(C79-D79)*B79))</f>
        <v>0</v>
      </c>
      <c r="K79" s="417">
        <f>IF(K76&lt;A79,0,IF((SUM(E79:J79)+((C79-D79)*B79))&gt;(C79-D79),C79-D79-SUM(E79:J79),(C79-D79)*B79))</f>
        <v>0</v>
      </c>
      <c r="L79" s="417">
        <f>IF(L76&lt;A79,0,IF((SUM(E79:K79)+((C79-D79)*B79))&gt;(C79-D79),C79-D79-SUM(E79:K79),(C79-D79)*B79))</f>
        <v>0</v>
      </c>
      <c r="M79" s="417">
        <f>IF(M76&lt;A79,0,IF((SUM(E79:L79)+((C79-D79)*B79))&gt;(C79-D79),C79-D79-SUM(E79:L79),(C79-D79)*B79))</f>
        <v>0</v>
      </c>
      <c r="N79" s="417">
        <f>IF(N76&lt;A79,0,IF((SUM(E79:M79)+((C79-D79)*B79))&gt;(C79-D79),C79-D79-SUM(E79:M79),(C79-D79)*B79))</f>
        <v>0</v>
      </c>
      <c r="O79" s="417">
        <f>IF(O76&lt;A79,0,IF((SUM(E79:N79)+((C79-D79)*B79))&gt;(C79-D79),C79-D79-SUM(E79:N79),(C79-D79)*B79))</f>
        <v>0</v>
      </c>
      <c r="P79" s="417">
        <f>IF(P76&lt;A79,0,IF((SUM(E79:O79)+((C79-D79)*B79))&gt;(C79-D79),C79-D79-SUM(E79:O79),(C79-D79)*B79))</f>
        <v>0</v>
      </c>
      <c r="Q79" s="417">
        <f>IF(Q76&lt;A79,0,IF((SUM(E79:P79)+((C79-D79)*B79))&gt;(C79-D79),C79-D79-SUM(E79:P79),(C79-D79)*B79))</f>
        <v>0</v>
      </c>
      <c r="R79" s="417">
        <f>IF(R76&lt;A79,0,IF((SUM(E79:Q79)+((C79-D79)*B79))&gt;(C79-D79),C79-D79-SUM(E79:Q79),(C79-D79)*B79))</f>
        <v>0</v>
      </c>
      <c r="S79" s="417">
        <f>IF(S76&lt;A79,0,IF((SUM(E79:R79)+((C79-D79)*B79))&gt;(C79-D79),C79-D79-SUM(E79:R79),(C79-D79)*B79))</f>
        <v>0</v>
      </c>
      <c r="T79" s="417">
        <f>IF(T76&lt;A79,0,IF((SUM(E79:S79)+((C79-D79)*B79))&gt;(C79-D79),C79-D79-SUM(E79:S79),(C79-D79)*B79))</f>
        <v>0</v>
      </c>
      <c r="U79" s="417">
        <f>IF(U76&lt;A79,0,IF((SUM(E79:T79)+((C79-D79)*B79))&gt;(C79-D79),C79-D79-SUM(E79:T79),(C79-D79)*B79))</f>
        <v>0</v>
      </c>
      <c r="V79" s="417">
        <f>IF(V76&lt;A79,0,IF((SUM(E79:U79)+((C79-D79)*B79))&gt;(C79-D79),C79-D79-SUM(E79:U79),(C79-D79)*B79))</f>
        <v>0</v>
      </c>
      <c r="W79" s="417">
        <f>IF(W76&lt;A79,0,IF((SUM(E79:V79)+((C79-D79)*B79))&gt;(C79-D79),C79-D79-SUM(E79:V79),(C79-D79)*B79))</f>
        <v>0</v>
      </c>
      <c r="X79" s="417">
        <f>IF(X76&lt;A79,0,IF((SUM(E79:W79)+((C79-D79)*B79))&gt;(C79-D79),C79-D79-SUM(E79:W79),(C79-D79)*B79))</f>
        <v>0</v>
      </c>
      <c r="Y79" s="417">
        <f>IF(Y76&lt;A79,0,IF((SUM(E79:X79)+((C79-D79)*B79))&gt;(C79-D79),C79-D79-SUM(E79:X79),(C79-D79)*B79))</f>
        <v>0</v>
      </c>
      <c r="Z79" s="417">
        <f>IF(Z76&lt;A79,0,IF((SUM(E79:Y79)+((C79-D79)*B79))&gt;(C79-D79),C79-D79-SUM(E79:Y79),(C79-D79)*B79))</f>
        <v>0</v>
      </c>
      <c r="AA79" s="417">
        <f>IF(AA76&lt;A79,0,IF((SUM(E79:Z79)+((C79-D79)*B79))&gt;(C79-D79),C79-D79-SUM(E79:Z79),(C79-D79)*B79))</f>
        <v>0</v>
      </c>
      <c r="AB79" s="417">
        <f>IF(AB76&lt;A79,0,IF((SUM(E79:AA79)+((C79-D79)*B79))&gt;(C79-D79),C79-D79-SUM(E79:AA79),(C79-D79)*B79))</f>
        <v>0</v>
      </c>
      <c r="AC79" s="417">
        <f>IF(AC76&lt;A79,0,IF((SUM(E79:AB79)+((C79-D79)*B79))&gt;(C79-D79),C79-D79-SUM(E79:AB79),(C79-D79)*B79))</f>
        <v>0</v>
      </c>
      <c r="AD79" s="417">
        <f>IF(AD76&lt;A79,0,IF((SUM(E79:AC79)+((C79-D79)*B79))&gt;(C79-D79),C79-D79-SUM(E79:AC79),(C79-D79)*B79))</f>
        <v>0</v>
      </c>
      <c r="AE79" s="417">
        <f>IF(AE76&lt;A79,0,IF((SUM(E79:AD79)+((C79-D79)*B79))&gt;(C79-D79),C79-D79-SUM(E79:AD79),(C79-D79)*B79))</f>
        <v>0</v>
      </c>
      <c r="AF79" s="417">
        <f>IF(AF76&lt;A79,0,IF((SUM(E79:AE79)+((C79-D79)*B79))&gt;(C79-D79),C79-D79-SUM(E79:AE79),(C79-D79)*B79))</f>
        <v>0</v>
      </c>
      <c r="AG79" s="417">
        <f>IF(AG76&lt;A79,0,IF((SUM(E79:AF79)+((C79-D79)*B79))&gt;(C79-D79),C79-D79-SUM(E79:AF79),(C79-D79)*B79))</f>
        <v>0</v>
      </c>
      <c r="AH79" s="417">
        <f>IF(AH76&lt;A79,0,IF((SUM(E79:AG79)+((C79-D79)*B79))&gt;(C79-D79),C79-D79-SUM(E79:AG79),(C79-D79)*B79))</f>
        <v>0</v>
      </c>
    </row>
    <row r="80" spans="1:34" s="75" customFormat="1" ht="13.15" customHeight="1" outlineLevel="1" x14ac:dyDescent="0.2">
      <c r="A80" s="416">
        <v>4</v>
      </c>
      <c r="B80" s="374">
        <v>0.04</v>
      </c>
      <c r="C80" s="378">
        <f>SUMIF('14 - Investimentos'!B:B,'15 - Depreciação'!A74,'14 - Investimentos'!H:H)</f>
        <v>0</v>
      </c>
      <c r="D80" s="417">
        <f>C80*B74</f>
        <v>0</v>
      </c>
      <c r="E80" s="417">
        <f>IF(E76&lt;A80,0,(C80-D80)*B80)</f>
        <v>0</v>
      </c>
      <c r="F80" s="417">
        <f>IF(F76&lt;A80,0,IF((SUM(E80:E80)+((C80-D80)*B80))&gt;(C80-D80),C80-D80-SUM(E80:E80),(C80-D80)*B80))</f>
        <v>0</v>
      </c>
      <c r="G80" s="417">
        <f>IF(G76&lt;A80,0,IF((SUM(E80:F80)+((C80-D80)*B80))&gt;(C80-D80),C80-D80-SUM(E80:F80),(C80-D80)*B80))</f>
        <v>0</v>
      </c>
      <c r="H80" s="417">
        <f>IF(H76&lt;A80,0,IF((SUM(E80:G80)+((C80-D80)*B80))&gt;(C80-D80),C80-D80-SUM(E80:G80),(C80-D80)*B80))</f>
        <v>0</v>
      </c>
      <c r="I80" s="417">
        <f>IF(I76&lt;A80,0,IF((SUM(E80:H80)+((C80-D80)*B80))&gt;(C80-D80),C80-D80-SUM(E80:H80),(C80-D80)*B80))</f>
        <v>0</v>
      </c>
      <c r="J80" s="417">
        <f>IF(J76&lt;A80,0,IF((SUM(E80:I80)+((C80-D80)*B80))&gt;(C80-D80),C80-D80-SUM(E80:I80),(C80-D80)*B80))</f>
        <v>0</v>
      </c>
      <c r="K80" s="417">
        <f>IF(K76&lt;A80,0,IF((SUM(E80:J80)+((C80-D80)*B80))&gt;(C80-D80),C80-D80-SUM(E80:J80),(C80-D80)*B80))</f>
        <v>0</v>
      </c>
      <c r="L80" s="417">
        <f>IF(L76&lt;A80,0,IF((SUM(E80:K80)+((C80-D80)*B80))&gt;(C80-D80),C80-D80-SUM(E80:K80),(C80-D80)*B80))</f>
        <v>0</v>
      </c>
      <c r="M80" s="417">
        <f>IF(M76&lt;A80,0,IF((SUM(E80:L80)+((C80-D80)*B80))&gt;(C80-D80),C80-D80-SUM(E80:L80),(C80-D80)*B80))</f>
        <v>0</v>
      </c>
      <c r="N80" s="417">
        <f>IF(N76&lt;A80,0,IF((SUM(E80:M80)+((C80-D80)*B80))&gt;(C80-D80),C80-D80-SUM(E80:M80),(C80-D80)*B80))</f>
        <v>0</v>
      </c>
      <c r="O80" s="417">
        <f>IF(O76&lt;A80,0,IF((SUM(E80:N80)+((C80-D80)*B80))&gt;(C80-D80),C80-D80-SUM(E80:N80),(C80-D80)*B80))</f>
        <v>0</v>
      </c>
      <c r="P80" s="417">
        <f>IF(P76&lt;A80,0,IF((SUM(E80:O80)+((C80-D80)*B80))&gt;(C80-D80),C80-D80-SUM(E80:O80),(C80-D80)*B80))</f>
        <v>0</v>
      </c>
      <c r="Q80" s="417">
        <f>IF(Q76&lt;A80,0,IF((SUM(E80:P80)+((C80-D80)*B80))&gt;(C80-D80),C80-D80-SUM(E80:P80),(C80-D80)*B80))</f>
        <v>0</v>
      </c>
      <c r="R80" s="417">
        <f>IF(R76&lt;A80,0,IF((SUM(E80:Q80)+((C80-D80)*B80))&gt;(C80-D80),C80-D80-SUM(E80:Q80),(C80-D80)*B80))</f>
        <v>0</v>
      </c>
      <c r="S80" s="417">
        <f>IF(S76&lt;A80,0,IF((SUM(E80:R80)+((C80-D80)*B80))&gt;(C80-D80),C80-D80-SUM(E80:R80),(C80-D80)*B80))</f>
        <v>0</v>
      </c>
      <c r="T80" s="417">
        <f>IF(T76&lt;A80,0,IF((SUM(E80:S80)+((C80-D80)*B80))&gt;(C80-D80),C80-D80-SUM(E80:S80),(C80-D80)*B80))</f>
        <v>0</v>
      </c>
      <c r="U80" s="417">
        <f>IF(U76&lt;A80,0,IF((SUM(E80:T80)+((C80-D80)*B80))&gt;(C80-D80),C80-D80-SUM(E80:T80),(C80-D80)*B80))</f>
        <v>0</v>
      </c>
      <c r="V80" s="417">
        <f>IF(V76&lt;A80,0,IF((SUM(E80:U80)+((C80-D80)*B80))&gt;(C80-D80),C80-D80-SUM(E80:U80),(C80-D80)*B80))</f>
        <v>0</v>
      </c>
      <c r="W80" s="417">
        <f>IF(W76&lt;A80,0,IF((SUM(E80:V80)+((C80-D80)*B80))&gt;(C80-D80),C80-D80-SUM(E80:V80),(C80-D80)*B80))</f>
        <v>0</v>
      </c>
      <c r="X80" s="417">
        <f>IF(X76&lt;A80,0,IF((SUM(E80:W80)+((C80-D80)*B80))&gt;(C80-D80),C80-D80-SUM(E80:W80),(C80-D80)*B80))</f>
        <v>0</v>
      </c>
      <c r="Y80" s="417">
        <f>IF(Y76&lt;A80,0,IF((SUM(E80:X80)+((C80-D80)*B80))&gt;(C80-D80),C80-D80-SUM(E80:X80),(C80-D80)*B80))</f>
        <v>0</v>
      </c>
      <c r="Z80" s="417">
        <f>IF(Z76&lt;A80,0,IF((SUM(E80:Y80)+((C80-D80)*B80))&gt;(C80-D80),C80-D80-SUM(E80:Y80),(C80-D80)*B80))</f>
        <v>0</v>
      </c>
      <c r="AA80" s="417">
        <f>IF(AA76&lt;A80,0,IF((SUM(E80:Z80)+((C80-D80)*B80))&gt;(C80-D80),C80-D80-SUM(E80:Z80),(C80-D80)*B80))</f>
        <v>0</v>
      </c>
      <c r="AB80" s="417">
        <f>IF(AB76&lt;A80,0,IF((SUM(E80:AA80)+((C80-D80)*B80))&gt;(C80-D80),C80-D80-SUM(E80:AA80),(C80-D80)*B80))</f>
        <v>0</v>
      </c>
      <c r="AC80" s="417">
        <f>IF(AC76&lt;A80,0,IF((SUM(E80:AB80)+((C80-D80)*B80))&gt;(C80-D80),C80-D80-SUM(E80:AB80),(C80-D80)*B80))</f>
        <v>0</v>
      </c>
      <c r="AD80" s="417">
        <f>IF(AD76&lt;A80,0,IF((SUM(E80:AC80)+((C80-D80)*B80))&gt;(C80-D80),C80-D80-SUM(E80:AC80),(C80-D80)*B80))</f>
        <v>0</v>
      </c>
      <c r="AE80" s="417">
        <f>IF(AE76&lt;A80,0,IF((SUM(E80:AD80)+((C80-D80)*B80))&gt;(C80-D80),C80-D80-SUM(E80:AD80),(C80-D80)*B80))</f>
        <v>0</v>
      </c>
      <c r="AF80" s="417">
        <f>IF(AF76&lt;A80,0,IF((SUM(E80:AE80)+((C80-D80)*B80))&gt;(C80-D80),C80-D80-SUM(E80:AE80),(C80-D80)*B80))</f>
        <v>0</v>
      </c>
      <c r="AG80" s="417">
        <f>IF(AG76&lt;A80,0,IF((SUM(E80:AF80)+((C80-D80)*B80))&gt;(C80-D80),C80-D80-SUM(E80:AF80),(C80-D80)*B80))</f>
        <v>0</v>
      </c>
      <c r="AH80" s="417">
        <f>IF(AH76&lt;A80,0,IF((SUM(E80:AG80)+((C80-D80)*B80))&gt;(C80-D80),C80-D80-SUM(E80:AG80),(C80-D80)*B80))</f>
        <v>0</v>
      </c>
    </row>
    <row r="81" spans="1:34" s="75" customFormat="1" ht="13.15" customHeight="1" outlineLevel="1" x14ac:dyDescent="0.2">
      <c r="A81" s="416">
        <v>5</v>
      </c>
      <c r="B81" s="374">
        <v>0.04</v>
      </c>
      <c r="C81" s="378">
        <f>SUMIF('14 - Investimentos'!B:B,'15 - Depreciação'!A74,'14 - Investimentos'!I:I)</f>
        <v>0</v>
      </c>
      <c r="D81" s="417">
        <f>C81*B74</f>
        <v>0</v>
      </c>
      <c r="E81" s="417">
        <f>IF(E76&lt;A81,0,(C81-D81)*B81)</f>
        <v>0</v>
      </c>
      <c r="F81" s="417">
        <f>IF(F76&lt;A81,0,IF((SUM(E81:E81)+((C81-D81)*B81))&gt;(C81-D81),C81-D81-SUM(E81:E81),(C81-D81)*B81))</f>
        <v>0</v>
      </c>
      <c r="G81" s="417">
        <f>IF(G76&lt;A81,0,IF((SUM(E81:F81)+((C81-D81)*B81))&gt;(C81-D81),C81-D81-SUM(E81:F81),(C81-D81)*B81))</f>
        <v>0</v>
      </c>
      <c r="H81" s="417">
        <f>IF(H76&lt;A81,0,IF((SUM(E81:G81)+((C81-D81)*B81))&gt;(C81-D81),C81-D81-SUM(E81:G81),(C81-D81)*B81))</f>
        <v>0</v>
      </c>
      <c r="I81" s="417">
        <f>IF(I76&lt;A81,0,IF((SUM(E81:H81)+((C81-D81)*B81))&gt;(C81-D81),C81-D81-SUM(E81:H81),(C81-D81)*B81))</f>
        <v>0</v>
      </c>
      <c r="J81" s="417">
        <f>IF(J76&lt;A81,0,IF((SUM(E81:I81)+((C81-D81)*B81))&gt;(C81-D81),C81-D81-SUM(E81:I81),(C81-D81)*B81))</f>
        <v>0</v>
      </c>
      <c r="K81" s="417">
        <f>IF(K76&lt;A81,0,IF((SUM(E81:J81)+((C81-D81)*B81))&gt;(C81-D81),C81-D81-SUM(E81:J81),(C81-D81)*B81))</f>
        <v>0</v>
      </c>
      <c r="L81" s="417">
        <f>IF(L76&lt;A81,0,IF((SUM(E81:K81)+((C81-D81)*B81))&gt;(C81-D81),C81-D81-SUM(E81:K81),(C81-D81)*B81))</f>
        <v>0</v>
      </c>
      <c r="M81" s="417">
        <f>IF(M76&lt;A81,0,IF((SUM(E81:L81)+((C81-D81)*B81))&gt;(C81-D81),C81-D81-SUM(E81:L81),(C81-D81)*B81))</f>
        <v>0</v>
      </c>
      <c r="N81" s="417">
        <f>IF(N76&lt;A81,0,IF((SUM(E81:M81)+((C81-D81)*B81))&gt;(C81-D81),C81-D81-SUM(E81:M81),(C81-D81)*B81))</f>
        <v>0</v>
      </c>
      <c r="O81" s="417">
        <f>IF(O76&lt;A81,0,IF((SUM(E81:N81)+((C81-D81)*B81))&gt;(C81-D81),C81-D81-SUM(E81:N81),(C81-D81)*B81))</f>
        <v>0</v>
      </c>
      <c r="P81" s="417">
        <f>IF(P76&lt;A81,0,IF((SUM(E81:O81)+((C81-D81)*B81))&gt;(C81-D81),C81-D81-SUM(E81:O81),(C81-D81)*B81))</f>
        <v>0</v>
      </c>
      <c r="Q81" s="417">
        <f>IF(Q76&lt;A81,0,IF((SUM(E81:P81)+((C81-D81)*B81))&gt;(C81-D81),C81-D81-SUM(E81:P81),(C81-D81)*B81))</f>
        <v>0</v>
      </c>
      <c r="R81" s="417">
        <f>IF(R76&lt;A81,0,IF((SUM(E81:Q81)+((C81-D81)*B81))&gt;(C81-D81),C81-D81-SUM(E81:Q81),(C81-D81)*B81))</f>
        <v>0</v>
      </c>
      <c r="S81" s="417">
        <f>IF(S76&lt;A81,0,IF((SUM(E81:R81)+((C81-D81)*B81))&gt;(C81-D81),C81-D81-SUM(E81:R81),(C81-D81)*B81))</f>
        <v>0</v>
      </c>
      <c r="T81" s="417">
        <f>IF(T76&lt;A81,0,IF((SUM(E81:S81)+((C81-D81)*B81))&gt;(C81-D81),C81-D81-SUM(E81:S81),(C81-D81)*B81))</f>
        <v>0</v>
      </c>
      <c r="U81" s="417">
        <f>IF(U76&lt;A81,0,IF((SUM(E81:T81)+((C81-D81)*B81))&gt;(C81-D81),C81-D81-SUM(E81:T81),(C81-D81)*B81))</f>
        <v>0</v>
      </c>
      <c r="V81" s="417">
        <f>IF(V76&lt;A81,0,IF((SUM(E81:U81)+((C81-D81)*B81))&gt;(C81-D81),C81-D81-SUM(E81:U81),(C81-D81)*B81))</f>
        <v>0</v>
      </c>
      <c r="W81" s="417">
        <f>IF(W76&lt;A81,0,IF((SUM(E81:V81)+((C81-D81)*B81))&gt;(C81-D81),C81-D81-SUM(E81:V81),(C81-D81)*B81))</f>
        <v>0</v>
      </c>
      <c r="X81" s="417">
        <f>IF(X76&lt;A81,0,IF((SUM(E81:W81)+((C81-D81)*B81))&gt;(C81-D81),C81-D81-SUM(E81:W81),(C81-D81)*B81))</f>
        <v>0</v>
      </c>
      <c r="Y81" s="417">
        <f>IF(Y76&lt;A81,0,IF((SUM(E81:X81)+((C81-D81)*B81))&gt;(C81-D81),C81-D81-SUM(E81:X81),(C81-D81)*B81))</f>
        <v>0</v>
      </c>
      <c r="Z81" s="417">
        <f>IF(Z76&lt;A81,0,IF((SUM(E81:Y81)+((C81-D81)*B81))&gt;(C81-D81),C81-D81-SUM(E81:Y81),(C81-D81)*B81))</f>
        <v>0</v>
      </c>
      <c r="AA81" s="417">
        <f>IF(AA76&lt;A81,0,IF((SUM(E81:Z81)+((C81-D81)*B81))&gt;(C81-D81),C81-D81-SUM(E81:Z81),(C81-D81)*B81))</f>
        <v>0</v>
      </c>
      <c r="AB81" s="417">
        <f>IF(AB76&lt;A81,0,IF((SUM(E81:AA81)+((C81-D81)*B81))&gt;(C81-D81),C81-D81-SUM(E81:AA81),(C81-D81)*B81))</f>
        <v>0</v>
      </c>
      <c r="AC81" s="417">
        <f>IF(AC76&lt;A81,0,IF((SUM(E81:AB81)+((C81-D81)*B81))&gt;(C81-D81),C81-D81-SUM(E81:AB81),(C81-D81)*B81))</f>
        <v>0</v>
      </c>
      <c r="AD81" s="417">
        <f>IF(AD76&lt;A81,0,IF((SUM(E81:AC81)+((C81-D81)*B81))&gt;(C81-D81),C81-D81-SUM(E81:AC81),(C81-D81)*B81))</f>
        <v>0</v>
      </c>
      <c r="AE81" s="417">
        <f>IF(AE76&lt;A81,0,IF((SUM(E81:AD81)+((C81-D81)*B81))&gt;(C81-D81),C81-D81-SUM(E81:AD81),(C81-D81)*B81))</f>
        <v>0</v>
      </c>
      <c r="AF81" s="417">
        <f>IF(AF76&lt;A81,0,IF((SUM(E81:AE81)+((C81-D81)*B81))&gt;(C81-D81),C81-D81-SUM(E81:AE81),(C81-D81)*B81))</f>
        <v>0</v>
      </c>
      <c r="AG81" s="417">
        <f>IF(AG76&lt;A81,0,IF((SUM(E81:AF81)+((C81-D81)*B81))&gt;(C81-D81),C81-D81-SUM(E81:AF81),(C81-D81)*B81))</f>
        <v>0</v>
      </c>
      <c r="AH81" s="417">
        <f>IF(AH76&lt;A81,0,IF((SUM(E81:AG81)+((C81-D81)*B81))&gt;(C81-D81),C81-D81-SUM(E81:AG81),(C81-D81)*B81))</f>
        <v>0</v>
      </c>
    </row>
    <row r="82" spans="1:34" s="75" customFormat="1" ht="13.15" customHeight="1" outlineLevel="1" x14ac:dyDescent="0.2">
      <c r="A82" s="416">
        <v>6</v>
      </c>
      <c r="B82" s="374">
        <v>0.04</v>
      </c>
      <c r="C82" s="378">
        <f>SUMIF('14 - Investimentos'!B:B,'15 - Depreciação'!A74,'14 - Investimentos'!J:J)</f>
        <v>0</v>
      </c>
      <c r="D82" s="417">
        <f>C82*B74</f>
        <v>0</v>
      </c>
      <c r="E82" s="417">
        <f>IF(E76&lt;A82,0,(C82-D82)*B82)</f>
        <v>0</v>
      </c>
      <c r="F82" s="417">
        <f>IF(F76&lt;A82,0,IF((SUM(E82:E82)+((C82-D82)*B82))&gt;(C82-D82),C82-D82-SUM(E82:E82),(C82-D82)*B82))</f>
        <v>0</v>
      </c>
      <c r="G82" s="417">
        <f>IF(G76&lt;A82,0,IF((SUM(E82:F82)+((C82-D82)*B82))&gt;(C82-D82),C82-D82-SUM(E82:F82),(C82-D82)*B82))</f>
        <v>0</v>
      </c>
      <c r="H82" s="417">
        <f>IF(H76&lt;A82,0,IF((SUM(E82:G82)+((C82-D82)*B82))&gt;(C82-D82),C82-D82-SUM(E82:G82),(C82-D82)*B82))</f>
        <v>0</v>
      </c>
      <c r="I82" s="417">
        <f>IF(I76&lt;A82,0,IF((SUM(E82:H82)+((C82-D82)*B82))&gt;(C82-D82),C82-D82-SUM(E82:H82),(C82-D82)*B82))</f>
        <v>0</v>
      </c>
      <c r="J82" s="417">
        <f>IF(J76&lt;A82,0,IF((SUM(E82:I82)+((C82-D82)*B82))&gt;(C82-D82),C82-D82-SUM(E82:I82),(C82-D82)*B82))</f>
        <v>0</v>
      </c>
      <c r="K82" s="417">
        <f>IF(K76&lt;A82,0,IF((SUM(E82:J82)+((C82-D82)*B82))&gt;(C82-D82),C82-D82-SUM(E82:J82),(C82-D82)*B82))</f>
        <v>0</v>
      </c>
      <c r="L82" s="417">
        <f>IF(L76&lt;A82,0,IF((SUM(E82:K82)+((C82-D82)*B82))&gt;(C82-D82),C82-D82-SUM(E82:K82),(C82-D82)*B82))</f>
        <v>0</v>
      </c>
      <c r="M82" s="417">
        <f>IF(M76&lt;A82,0,IF((SUM(E82:L82)+((C82-D82)*B82))&gt;(C82-D82),C82-D82-SUM(E82:L82),(C82-D82)*B82))</f>
        <v>0</v>
      </c>
      <c r="N82" s="417">
        <f>IF(N76&lt;A82,0,IF((SUM(E82:M82)+((C82-D82)*B82))&gt;(C82-D82),C82-D82-SUM(E82:M82),(C82-D82)*B82))</f>
        <v>0</v>
      </c>
      <c r="O82" s="417">
        <f>IF(O76&lt;A82,0,IF((SUM(E82:N82)+((C82-D82)*B82))&gt;(C82-D82),C82-D82-SUM(E82:N82),(C82-D82)*B82))</f>
        <v>0</v>
      </c>
      <c r="P82" s="417">
        <f>IF(P76&lt;A82,0,IF((SUM(E82:O82)+((C82-D82)*B82))&gt;(C82-D82),C82-D82-SUM(E82:O82),(C82-D82)*B82))</f>
        <v>0</v>
      </c>
      <c r="Q82" s="417">
        <f>IF(Q76&lt;A82,0,IF((SUM(E82:P82)+((C82-D82)*B82))&gt;(C82-D82),C82-D82-SUM(E82:P82),(C82-D82)*B82))</f>
        <v>0</v>
      </c>
      <c r="R82" s="417">
        <f>IF(R76&lt;A82,0,IF((SUM(E82:Q82)+((C82-D82)*B82))&gt;(C82-D82),C82-D82-SUM(E82:Q82),(C82-D82)*B82))</f>
        <v>0</v>
      </c>
      <c r="S82" s="417">
        <f>IF(S76&lt;A82,0,IF((SUM(E82:R82)+((C82-D82)*B82))&gt;(C82-D82),C82-D82-SUM(E82:R82),(C82-D82)*B82))</f>
        <v>0</v>
      </c>
      <c r="T82" s="417">
        <f>IF(T76&lt;A82,0,IF((SUM(E82:S82)+((C82-D82)*B82))&gt;(C82-D82),C82-D82-SUM(E82:S82),(C82-D82)*B82))</f>
        <v>0</v>
      </c>
      <c r="U82" s="417">
        <f>IF(U76&lt;A82,0,IF((SUM(E82:T82)+((C82-D82)*B82))&gt;(C82-D82),C82-D82-SUM(E82:T82),(C82-D82)*B82))</f>
        <v>0</v>
      </c>
      <c r="V82" s="417">
        <f>IF(V76&lt;A82,0,IF((SUM(E82:U82)+((C82-D82)*B82))&gt;(C82-D82),C82-D82-SUM(E82:U82),(C82-D82)*B82))</f>
        <v>0</v>
      </c>
      <c r="W82" s="417">
        <f>IF(W76&lt;A82,0,IF((SUM(E82:V82)+((C82-D82)*B82))&gt;(C82-D82),C82-D82-SUM(E82:V82),(C82-D82)*B82))</f>
        <v>0</v>
      </c>
      <c r="X82" s="417">
        <f>IF(X76&lt;A82,0,IF((SUM(E82:W82)+((C82-D82)*B82))&gt;(C82-D82),C82-D82-SUM(E82:W82),(C82-D82)*B82))</f>
        <v>0</v>
      </c>
      <c r="Y82" s="417">
        <f>IF(Y76&lt;A82,0,IF((SUM(E82:X82)+((C82-D82)*B82))&gt;(C82-D82),C82-D82-SUM(E82:X82),(C82-D82)*B82))</f>
        <v>0</v>
      </c>
      <c r="Z82" s="417">
        <f>IF(Z76&lt;A82,0,IF((SUM(E82:Y82)+((C82-D82)*B82))&gt;(C82-D82),C82-D82-SUM(E82:Y82),(C82-D82)*B82))</f>
        <v>0</v>
      </c>
      <c r="AA82" s="417">
        <f>IF(AA76&lt;A82,0,IF((SUM(E82:Z82)+((C82-D82)*B82))&gt;(C82-D82),C82-D82-SUM(E82:Z82),(C82-D82)*B82))</f>
        <v>0</v>
      </c>
      <c r="AB82" s="417">
        <f>IF(AB76&lt;A82,0,IF((SUM(E82:AA82)+((C82-D82)*B82))&gt;(C82-D82),C82-D82-SUM(E82:AA82),(C82-D82)*B82))</f>
        <v>0</v>
      </c>
      <c r="AC82" s="417">
        <f>IF(AC76&lt;A82,0,IF((SUM(E82:AB82)+((C82-D82)*B82))&gt;(C82-D82),C82-D82-SUM(E82:AB82),(C82-D82)*B82))</f>
        <v>0</v>
      </c>
      <c r="AD82" s="417">
        <f>IF(AD76&lt;A82,0,IF((SUM(E82:AC82)+((C82-D82)*B82))&gt;(C82-D82),C82-D82-SUM(E82:AC82),(C82-D82)*B82))</f>
        <v>0</v>
      </c>
      <c r="AE82" s="417">
        <f>IF(AE76&lt;A82,0,IF((SUM(E82:AD82)+((C82-D82)*B82))&gt;(C82-D82),C82-D82-SUM(E82:AD82),(C82-D82)*B82))</f>
        <v>0</v>
      </c>
      <c r="AF82" s="417">
        <f>IF(AF76&lt;A82,0,IF((SUM(E82:AE82)+((C82-D82)*B82))&gt;(C82-D82),C82-D82-SUM(E82:AE82),(C82-D82)*B82))</f>
        <v>0</v>
      </c>
      <c r="AG82" s="417">
        <f>IF(AG76&lt;A82,0,IF((SUM(E82:AF82)+((C82-D82)*B82))&gt;(C82-D82),C82-D82-SUM(E82:AF82),(C82-D82)*B82))</f>
        <v>0</v>
      </c>
      <c r="AH82" s="417">
        <f>IF(AH76&lt;A82,0,IF((SUM(E82:AG82)+((C82-D82)*B82))&gt;(C82-D82),C82-D82-SUM(E82:AG82),(C82-D82)*B82))</f>
        <v>0</v>
      </c>
    </row>
    <row r="83" spans="1:34" s="75" customFormat="1" ht="13.15" customHeight="1" outlineLevel="1" x14ac:dyDescent="0.2">
      <c r="A83" s="416">
        <v>7</v>
      </c>
      <c r="B83" s="374">
        <v>0.04</v>
      </c>
      <c r="C83" s="378">
        <f>SUMIF('14 - Investimentos'!B:B,'15 - Depreciação'!A74,'14 - Investimentos'!K:K)</f>
        <v>0</v>
      </c>
      <c r="D83" s="417">
        <f>C83*B74</f>
        <v>0</v>
      </c>
      <c r="E83" s="417">
        <f>IF(E76&lt;A83,0,(C83-D83)*B83)</f>
        <v>0</v>
      </c>
      <c r="F83" s="417">
        <f>IF(F76&lt;A83,0,IF((SUM(E83:E83)+((C83-D83)*B83))&gt;(C83-D83),C83-D83-SUM(E83:E83),(C83-D83)*B83))</f>
        <v>0</v>
      </c>
      <c r="G83" s="417">
        <f>IF(G76&lt;A83,0,IF((SUM(E83:F83)+((C83-D83)*B83))&gt;(C83-D83),C83-D83-SUM(E83:F83),(C83-D83)*B83))</f>
        <v>0</v>
      </c>
      <c r="H83" s="417">
        <f>IF(H76&lt;A83,0,IF((SUM(E83:G83)+((C83-D83)*B83))&gt;(C83-D83),C83-D83-SUM(E83:G83),(C83-D83)*B83))</f>
        <v>0</v>
      </c>
      <c r="I83" s="417">
        <f>IF(I76&lt;A83,0,IF((SUM(E83:H83)+((C83-D83)*B83))&gt;(C83-D83),C83-D83-SUM(E83:H83),(C83-D83)*B83))</f>
        <v>0</v>
      </c>
      <c r="J83" s="417">
        <f>IF(J76&lt;A83,0,IF((SUM(E83:I83)+((C83-D83)*B83))&gt;(C83-D83),C83-D83-SUM(E83:I83),(C83-D83)*B83))</f>
        <v>0</v>
      </c>
      <c r="K83" s="417">
        <f>IF(K76&lt;A83,0,IF((SUM(E83:J83)+((C83-D83)*B83))&gt;(C83-D83),C83-D83-SUM(E83:J83),(C83-D83)*B83))</f>
        <v>0</v>
      </c>
      <c r="L83" s="417">
        <f>IF(L76&lt;A83,0,IF((SUM(E83:K83)+((C83-D83)*B83))&gt;(C83-D83),C83-D83-SUM(E83:K83),(C83-D83)*B83))</f>
        <v>0</v>
      </c>
      <c r="M83" s="417">
        <f>IF(M76&lt;A83,0,IF((SUM(E83:L83)+((C83-D83)*B83))&gt;(C83-D83),C83-D83-SUM(E83:L83),(C83-D83)*B83))</f>
        <v>0</v>
      </c>
      <c r="N83" s="417">
        <f>IF(N76&lt;A83,0,IF((SUM(E83:M83)+((C83-D83)*B83))&gt;(C83-D83),C83-D83-SUM(E83:M83),(C83-D83)*B83))</f>
        <v>0</v>
      </c>
      <c r="O83" s="417">
        <f>IF(O76&lt;A83,0,IF((SUM(E83:N83)+((C83-D83)*B83))&gt;(C83-D83),C83-D83-SUM(E83:N83),(C83-D83)*B83))</f>
        <v>0</v>
      </c>
      <c r="P83" s="417">
        <f>IF(P76&lt;A83,0,IF((SUM(E83:O83)+((C83-D83)*B83))&gt;(C83-D83),C83-D83-SUM(E83:O83),(C83-D83)*B83))</f>
        <v>0</v>
      </c>
      <c r="Q83" s="417">
        <f>IF(Q76&lt;A83,0,IF((SUM(E83:P83)+((C83-D83)*B83))&gt;(C83-D83),C83-D83-SUM(E83:P83),(C83-D83)*B83))</f>
        <v>0</v>
      </c>
      <c r="R83" s="417">
        <f>IF(R76&lt;A83,0,IF((SUM(E83:Q83)+((C83-D83)*B83))&gt;(C83-D83),C83-D83-SUM(E83:Q83),(C83-D83)*B83))</f>
        <v>0</v>
      </c>
      <c r="S83" s="417">
        <f>IF(S76&lt;A83,0,IF((SUM(E83:R83)+((C83-D83)*B83))&gt;(C83-D83),C83-D83-SUM(E83:R83),(C83-D83)*B83))</f>
        <v>0</v>
      </c>
      <c r="T83" s="417">
        <f>IF(T76&lt;A83,0,IF((SUM(E83:S83)+((C83-D83)*B83))&gt;(C83-D83),C83-D83-SUM(E83:S83),(C83-D83)*B83))</f>
        <v>0</v>
      </c>
      <c r="U83" s="417">
        <f>IF(U76&lt;A83,0,IF((SUM(E83:T83)+((C83-D83)*B83))&gt;(C83-D83),C83-D83-SUM(E83:T83),(C83-D83)*B83))</f>
        <v>0</v>
      </c>
      <c r="V83" s="417">
        <f>IF(V76&lt;A83,0,IF((SUM(E83:U83)+((C83-D83)*B83))&gt;(C83-D83),C83-D83-SUM(E83:U83),(C83-D83)*B83))</f>
        <v>0</v>
      </c>
      <c r="W83" s="417">
        <f>IF(W76&lt;A83,0,IF((SUM(E83:V83)+((C83-D83)*B83))&gt;(C83-D83),C83-D83-SUM(E83:V83),(C83-D83)*B83))</f>
        <v>0</v>
      </c>
      <c r="X83" s="417">
        <f>IF(X76&lt;A83,0,IF((SUM(E83:W83)+((C83-D83)*B83))&gt;(C83-D83),C83-D83-SUM(E83:W83),(C83-D83)*B83))</f>
        <v>0</v>
      </c>
      <c r="Y83" s="417">
        <f>IF(Y76&lt;A83,0,IF((SUM(E83:X83)+((C83-D83)*B83))&gt;(C83-D83),C83-D83-SUM(E83:X83),(C83-D83)*B83))</f>
        <v>0</v>
      </c>
      <c r="Z83" s="417">
        <f>IF(Z76&lt;A83,0,IF((SUM(E83:Y83)+((C83-D83)*B83))&gt;(C83-D83),C83-D83-SUM(E83:Y83),(C83-D83)*B83))</f>
        <v>0</v>
      </c>
      <c r="AA83" s="417">
        <f>IF(AA76&lt;A83,0,IF((SUM(E83:Z83)+((C83-D83)*B83))&gt;(C83-D83),C83-D83-SUM(E83:Z83),(C83-D83)*B83))</f>
        <v>0</v>
      </c>
      <c r="AB83" s="417">
        <f>IF(AB76&lt;A83,0,IF((SUM(E83:AA83)+((C83-D83)*B83))&gt;(C83-D83),C83-D83-SUM(E83:AA83),(C83-D83)*B83))</f>
        <v>0</v>
      </c>
      <c r="AC83" s="417">
        <f>IF(AC76&lt;A83,0,IF((SUM(E83:AB83)+((C83-D83)*B83))&gt;(C83-D83),C83-D83-SUM(E83:AB83),(C83-D83)*B83))</f>
        <v>0</v>
      </c>
      <c r="AD83" s="417">
        <f>IF(AD76&lt;A83,0,IF((SUM(E83:AC83)+((C83-D83)*B83))&gt;(C83-D83),C83-D83-SUM(E83:AC83),(C83-D83)*B83))</f>
        <v>0</v>
      </c>
      <c r="AE83" s="417">
        <f>IF(AE76&lt;A83,0,IF((SUM(E83:AD83)+((C83-D83)*B83))&gt;(C83-D83),C83-D83-SUM(E83:AD83),(C83-D83)*B83))</f>
        <v>0</v>
      </c>
      <c r="AF83" s="417">
        <f>IF(AF76&lt;A83,0,IF((SUM(E83:AE83)+((C83-D83)*B83))&gt;(C83-D83),C83-D83-SUM(E83:AE83),(C83-D83)*B83))</f>
        <v>0</v>
      </c>
      <c r="AG83" s="417">
        <f>IF(AG76&lt;A83,0,IF((SUM(E83:AF83)+((C83-D83)*B83))&gt;(C83-D83),C83-D83-SUM(E83:AF83),(C83-D83)*B83))</f>
        <v>0</v>
      </c>
      <c r="AH83" s="417">
        <f>IF(AH76&lt;A83,0,IF((SUM(E83:AG83)+((C83-D83)*B83))&gt;(C83-D83),C83-D83-SUM(E83:AG83),(C83-D83)*B83))</f>
        <v>0</v>
      </c>
    </row>
    <row r="84" spans="1:34" s="75" customFormat="1" ht="13.15" customHeight="1" outlineLevel="1" x14ac:dyDescent="0.2">
      <c r="A84" s="416">
        <v>8</v>
      </c>
      <c r="B84" s="374">
        <v>0.04</v>
      </c>
      <c r="C84" s="378">
        <f>SUMIF('14 - Investimentos'!B:B,'15 - Depreciação'!A74,'14 - Investimentos'!L:L)</f>
        <v>0</v>
      </c>
      <c r="D84" s="417">
        <f>C84*B74</f>
        <v>0</v>
      </c>
      <c r="E84" s="417">
        <f>IF(E76&lt;A84,0,(C84-D84)*B84)</f>
        <v>0</v>
      </c>
      <c r="F84" s="417">
        <f>IF(F76&lt;A84,0,IF((SUM(E84:E84)+((C84-D84)*B84))&gt;(C84-D84),C84-D84-SUM(E84:E84),(C84-D84)*B84))</f>
        <v>0</v>
      </c>
      <c r="G84" s="417">
        <f>IF(G76&lt;A84,0,IF((SUM(E84:F84)+((C84-D84)*B84))&gt;(C84-D84),C84-D84-SUM(E84:F84),(C84-D84)*B84))</f>
        <v>0</v>
      </c>
      <c r="H84" s="417">
        <f>IF(H76&lt;A84,0,IF((SUM(E84:G84)+((C84-D84)*B84))&gt;(C84-D84),C84-D84-SUM(E84:G84),(C84-D84)*B84))</f>
        <v>0</v>
      </c>
      <c r="I84" s="417">
        <f>IF(I76&lt;A84,0,IF((SUM(E84:H84)+((C84-D84)*B84))&gt;(C84-D84),C84-D84-SUM(E84:H84),(C84-D84)*B84))</f>
        <v>0</v>
      </c>
      <c r="J84" s="417">
        <f>IF(J76&lt;A84,0,IF((SUM(E84:I84)+((C84-D84)*B84))&gt;(C84-D84),C84-D84-SUM(E84:I84),(C84-D84)*B84))</f>
        <v>0</v>
      </c>
      <c r="K84" s="417">
        <f>IF(K76&lt;A84,0,IF((SUM(E84:J84)+((C84-D84)*B84))&gt;(C84-D84),C84-D84-SUM(E84:J84),(C84-D84)*B84))</f>
        <v>0</v>
      </c>
      <c r="L84" s="417">
        <f>IF(L76&lt;A84,0,IF((SUM(E84:K84)+((C84-D84)*B84))&gt;(C84-D84),C84-D84-SUM(E84:K84),(C84-D84)*B84))</f>
        <v>0</v>
      </c>
      <c r="M84" s="417">
        <f>IF(M76&lt;A84,0,IF((SUM(E84:L84)+((C84-D84)*B84))&gt;(C84-D84),C84-D84-SUM(E84:L84),(C84-D84)*B84))</f>
        <v>0</v>
      </c>
      <c r="N84" s="417">
        <f>IF(N76&lt;A84,0,IF((SUM(E84:M84)+((C84-D84)*B84))&gt;(C84-D84),C84-D84-SUM(E84:M84),(C84-D84)*B84))</f>
        <v>0</v>
      </c>
      <c r="O84" s="417">
        <f>IF(O76&lt;A84,0,IF((SUM(E84:N84)+((C84-D84)*B84))&gt;(C84-D84),C84-D84-SUM(E84:N84),(C84-D84)*B84))</f>
        <v>0</v>
      </c>
      <c r="P84" s="417">
        <f>IF(P76&lt;A84,0,IF((SUM(E84:O84)+((C84-D84)*B84))&gt;(C84-D84),C84-D84-SUM(E84:O84),(C84-D84)*B84))</f>
        <v>0</v>
      </c>
      <c r="Q84" s="417">
        <f>IF(Q76&lt;A84,0,IF((SUM(E84:P84)+((C84-D84)*B84))&gt;(C84-D84),C84-D84-SUM(E84:P84),(C84-D84)*B84))</f>
        <v>0</v>
      </c>
      <c r="R84" s="417">
        <f>IF(R76&lt;A84,0,IF((SUM(E84:Q84)+((C84-D84)*B84))&gt;(C84-D84),C84-D84-SUM(E84:Q84),(C84-D84)*B84))</f>
        <v>0</v>
      </c>
      <c r="S84" s="417">
        <f>IF(S76&lt;A84,0,IF((SUM(E84:R84)+((C84-D84)*B84))&gt;(C84-D84),C84-D84-SUM(E84:R84),(C84-D84)*B84))</f>
        <v>0</v>
      </c>
      <c r="T84" s="417">
        <f>IF(T76&lt;A84,0,IF((SUM(E84:S84)+((C84-D84)*B84))&gt;(C84-D84),C84-D84-SUM(E84:S84),(C84-D84)*B84))</f>
        <v>0</v>
      </c>
      <c r="U84" s="417">
        <f>IF(U76&lt;A84,0,IF((SUM(E84:T84)+((C84-D84)*B84))&gt;(C84-D84),C84-D84-SUM(E84:T84),(C84-D84)*B84))</f>
        <v>0</v>
      </c>
      <c r="V84" s="417">
        <f>IF(V76&lt;A84,0,IF((SUM(E84:U84)+((C84-D84)*B84))&gt;(C84-D84),C84-D84-SUM(E84:U84),(C84-D84)*B84))</f>
        <v>0</v>
      </c>
      <c r="W84" s="417">
        <f>IF(W76&lt;A84,0,IF((SUM(E84:V84)+((C84-D84)*B84))&gt;(C84-D84),C84-D84-SUM(E84:V84),(C84-D84)*B84))</f>
        <v>0</v>
      </c>
      <c r="X84" s="417">
        <f>IF(X76&lt;A84,0,IF((SUM(E84:W84)+((C84-D84)*B84))&gt;(C84-D84),C84-D84-SUM(E84:W84),(C84-D84)*B84))</f>
        <v>0</v>
      </c>
      <c r="Y84" s="417">
        <f>IF(Y76&lt;A84,0,IF((SUM(E84:X84)+((C84-D84)*B84))&gt;(C84-D84),C84-D84-SUM(E84:X84),(C84-D84)*B84))</f>
        <v>0</v>
      </c>
      <c r="Z84" s="417">
        <f>IF(Z76&lt;A84,0,IF((SUM(E84:Y84)+((C84-D84)*B84))&gt;(C84-D84),C84-D84-SUM(E84:Y84),(C84-D84)*B84))</f>
        <v>0</v>
      </c>
      <c r="AA84" s="417">
        <f>IF(AA76&lt;A84,0,IF((SUM(E84:Z84)+((C84-D84)*B84))&gt;(C84-D84),C84-D84-SUM(E84:Z84),(C84-D84)*B84))</f>
        <v>0</v>
      </c>
      <c r="AB84" s="417">
        <f>IF(AB76&lt;A84,0,IF((SUM(E84:AA84)+((C84-D84)*B84))&gt;(C84-D84),C84-D84-SUM(E84:AA84),(C84-D84)*B84))</f>
        <v>0</v>
      </c>
      <c r="AC84" s="417">
        <f>IF(AC76&lt;A84,0,IF((SUM(E84:AB84)+((C84-D84)*B84))&gt;(C84-D84),C84-D84-SUM(E84:AB84),(C84-D84)*B84))</f>
        <v>0</v>
      </c>
      <c r="AD84" s="417">
        <f>IF(AD76&lt;A84,0,IF((SUM(E84:AC84)+((C84-D84)*B84))&gt;(C84-D84),C84-D84-SUM(E84:AC84),(C84-D84)*B84))</f>
        <v>0</v>
      </c>
      <c r="AE84" s="417">
        <f>IF(AE76&lt;A84,0,IF((SUM(E84:AD84)+((C84-D84)*B84))&gt;(C84-D84),C84-D84-SUM(E84:AD84),(C84-D84)*B84))</f>
        <v>0</v>
      </c>
      <c r="AF84" s="417">
        <f>IF(AF76&lt;A84,0,IF((SUM(E84:AE84)+((C84-D84)*B84))&gt;(C84-D84),C84-D84-SUM(E84:AE84),(C84-D84)*B84))</f>
        <v>0</v>
      </c>
      <c r="AG84" s="417">
        <f>IF(AG76&lt;A84,0,IF((SUM(E84:AF84)+((C84-D84)*B84))&gt;(C84-D84),C84-D84-SUM(E84:AF84),(C84-D84)*B84))</f>
        <v>0</v>
      </c>
      <c r="AH84" s="417">
        <f>IF(AH76&lt;A84,0,IF((SUM(E84:AG84)+((C84-D84)*B84))&gt;(C84-D84),C84-D84-SUM(E84:AG84),(C84-D84)*B84))</f>
        <v>0</v>
      </c>
    </row>
    <row r="85" spans="1:34" s="75" customFormat="1" ht="13.15" customHeight="1" outlineLevel="1" x14ac:dyDescent="0.2">
      <c r="A85" s="416">
        <v>9</v>
      </c>
      <c r="B85" s="374">
        <v>0.04</v>
      </c>
      <c r="C85" s="378">
        <f>SUMIF('14 - Investimentos'!B:B,'15 - Depreciação'!A74,'14 - Investimentos'!M:M)</f>
        <v>0</v>
      </c>
      <c r="D85" s="417">
        <f>C85*B74</f>
        <v>0</v>
      </c>
      <c r="E85" s="417">
        <f>IF(E76&lt;A85,0,(C85-D85)*B85)</f>
        <v>0</v>
      </c>
      <c r="F85" s="417">
        <f>IF(F76&lt;A85,0,IF((SUM(E85:E85)+((C85-D85)*B85))&gt;(C85-D85),C85-D85-SUM(E85:E85),(C85-D85)*B85))</f>
        <v>0</v>
      </c>
      <c r="G85" s="417">
        <f>IF(G76&lt;A85,0,IF((SUM(E85:F85)+((C85-D85)*B85))&gt;(C85-D85),C85-D85-SUM(E85:F85),(C85-D85)*B85))</f>
        <v>0</v>
      </c>
      <c r="H85" s="417">
        <f>IF(H76&lt;A85,0,IF((SUM(E85:G85)+((C85-D85)*B85))&gt;(C85-D85),C85-D85-SUM(E85:G85),(C85-D85)*B85))</f>
        <v>0</v>
      </c>
      <c r="I85" s="417">
        <f>IF(I76&lt;A85,0,IF((SUM(E85:H85)+((C85-D85)*B85))&gt;(C85-D85),C85-D85-SUM(E85:H85),(C85-D85)*B85))</f>
        <v>0</v>
      </c>
      <c r="J85" s="417">
        <f>IF(J76&lt;A85,0,IF((SUM(E85:I85)+((C85-D85)*B85))&gt;(C85-D85),C85-D85-SUM(E85:I85),(C85-D85)*B85))</f>
        <v>0</v>
      </c>
      <c r="K85" s="417">
        <f>IF(K76&lt;A85,0,IF((SUM(E85:J85)+((C85-D85)*B85))&gt;(C85-D85),C85-D85-SUM(E85:J85),(C85-D85)*B85))</f>
        <v>0</v>
      </c>
      <c r="L85" s="417">
        <f>IF(L76&lt;A85,0,IF((SUM(E85:K85)+((C85-D85)*B85))&gt;(C85-D85),C85-D85-SUM(E85:K85),(C85-D85)*B85))</f>
        <v>0</v>
      </c>
      <c r="M85" s="417">
        <f>IF(M76&lt;A85,0,IF((SUM(E85:L85)+((C85-D85)*B85))&gt;(C85-D85),C85-D85-SUM(E85:L85),(C85-D85)*B85))</f>
        <v>0</v>
      </c>
      <c r="N85" s="417">
        <f>IF(N76&lt;A85,0,IF((SUM(E85:M85)+((C85-D85)*B85))&gt;(C85-D85),C85-D85-SUM(E85:M85),(C85-D85)*B85))</f>
        <v>0</v>
      </c>
      <c r="O85" s="417">
        <f>IF(O76&lt;A85,0,IF((SUM(E85:N85)+((C85-D85)*B85))&gt;(C85-D85),C85-D85-SUM(E85:N85),(C85-D85)*B85))</f>
        <v>0</v>
      </c>
      <c r="P85" s="417">
        <f>IF(P76&lt;A85,0,IF((SUM(E85:O85)+((C85-D85)*B85))&gt;(C85-D85),C85-D85-SUM(E85:O85),(C85-D85)*B85))</f>
        <v>0</v>
      </c>
      <c r="Q85" s="417">
        <f>IF(Q76&lt;A85,0,IF((SUM(E85:P85)+((C85-D85)*B85))&gt;(C85-D85),C85-D85-SUM(E85:P85),(C85-D85)*B85))</f>
        <v>0</v>
      </c>
      <c r="R85" s="417">
        <f>IF(R76&lt;A85,0,IF((SUM(E85:Q85)+((C85-D85)*B85))&gt;(C85-D85),C85-D85-SUM(E85:Q85),(C85-D85)*B85))</f>
        <v>0</v>
      </c>
      <c r="S85" s="417">
        <f>IF(S76&lt;A85,0,IF((SUM(E85:R85)+((C85-D85)*B85))&gt;(C85-D85),C85-D85-SUM(E85:R85),(C85-D85)*B85))</f>
        <v>0</v>
      </c>
      <c r="T85" s="417">
        <f>IF(T76&lt;A85,0,IF((SUM(E85:S85)+((C85-D85)*B85))&gt;(C85-D85),C85-D85-SUM(E85:S85),(C85-D85)*B85))</f>
        <v>0</v>
      </c>
      <c r="U85" s="417">
        <f>IF(U76&lt;A85,0,IF((SUM(E85:T85)+((C85-D85)*B85))&gt;(C85-D85),C85-D85-SUM(E85:T85),(C85-D85)*B85))</f>
        <v>0</v>
      </c>
      <c r="V85" s="417">
        <f>IF(V76&lt;A85,0,IF((SUM(E85:U85)+((C85-D85)*B85))&gt;(C85-D85),C85-D85-SUM(E85:U85),(C85-D85)*B85))</f>
        <v>0</v>
      </c>
      <c r="W85" s="417">
        <f>IF(W76&lt;A85,0,IF((SUM(E85:V85)+((C85-D85)*B85))&gt;(C85-D85),C85-D85-SUM(E85:V85),(C85-D85)*B85))</f>
        <v>0</v>
      </c>
      <c r="X85" s="417">
        <f>IF(X76&lt;A85,0,IF((SUM(E85:W85)+((C85-D85)*B85))&gt;(C85-D85),C85-D85-SUM(E85:W85),(C85-D85)*B85))</f>
        <v>0</v>
      </c>
      <c r="Y85" s="417">
        <f>IF(Y76&lt;A85,0,IF((SUM(E85:X85)+((C85-D85)*B85))&gt;(C85-D85),C85-D85-SUM(E85:X85),(C85-D85)*B85))</f>
        <v>0</v>
      </c>
      <c r="Z85" s="417">
        <f>IF(Z76&lt;A85,0,IF((SUM(E85:Y85)+((C85-D85)*B85))&gt;(C85-D85),C85-D85-SUM(E85:Y85),(C85-D85)*B85))</f>
        <v>0</v>
      </c>
      <c r="AA85" s="417">
        <f>IF(AA76&lt;A85,0,IF((SUM(E85:Z85)+((C85-D85)*B85))&gt;(C85-D85),C85-D85-SUM(E85:Z85),(C85-D85)*B85))</f>
        <v>0</v>
      </c>
      <c r="AB85" s="417">
        <f>IF(AB76&lt;A85,0,IF((SUM(E85:AA85)+((C85-D85)*B85))&gt;(C85-D85),C85-D85-SUM(E85:AA85),(C85-D85)*B85))</f>
        <v>0</v>
      </c>
      <c r="AC85" s="417">
        <f>IF(AC76&lt;A85,0,IF((SUM(E85:AB85)+((C85-D85)*B85))&gt;(C85-D85),C85-D85-SUM(E85:AB85),(C85-D85)*B85))</f>
        <v>0</v>
      </c>
      <c r="AD85" s="417">
        <f>IF(AD76&lt;A85,0,IF((SUM(E85:AC85)+((C85-D85)*B85))&gt;(C85-D85),C85-D85-SUM(E85:AC85),(C85-D85)*B85))</f>
        <v>0</v>
      </c>
      <c r="AE85" s="417">
        <f>IF(AE76&lt;A85,0,IF((SUM(E85:AD85)+((C85-D85)*B85))&gt;(C85-D85),C85-D85-SUM(E85:AD85),(C85-D85)*B85))</f>
        <v>0</v>
      </c>
      <c r="AF85" s="417">
        <f>IF(AF76&lt;A85,0,IF((SUM(E85:AE85)+((C85-D85)*B85))&gt;(C85-D85),C85-D85-SUM(E85:AE85),(C85-D85)*B85))</f>
        <v>0</v>
      </c>
      <c r="AG85" s="417">
        <f>IF(AG76&lt;A85,0,IF((SUM(E85:AF85)+((C85-D85)*B85))&gt;(C85-D85),C85-D85-SUM(E85:AF85),(C85-D85)*B85))</f>
        <v>0</v>
      </c>
      <c r="AH85" s="417">
        <f>IF(AH76&lt;A85,0,IF((SUM(E85:AG85)+((C85-D85)*B85))&gt;(C85-D85),C85-D85-SUM(E85:AG85),(C85-D85)*B85))</f>
        <v>0</v>
      </c>
    </row>
    <row r="86" spans="1:34" s="75" customFormat="1" ht="13.15" customHeight="1" outlineLevel="1" x14ac:dyDescent="0.2">
      <c r="A86" s="416">
        <v>10</v>
      </c>
      <c r="B86" s="374">
        <v>0.04</v>
      </c>
      <c r="C86" s="378">
        <f>SUMIF('14 - Investimentos'!B:B,'15 - Depreciação'!A74,'14 - Investimentos'!N:N)</f>
        <v>0</v>
      </c>
      <c r="D86" s="417">
        <f>C86*B74</f>
        <v>0</v>
      </c>
      <c r="E86" s="417">
        <f>IF(E76&lt;A86,0,(C86-D86)*B86)</f>
        <v>0</v>
      </c>
      <c r="F86" s="417">
        <f>IF(F76&lt;A86,0,IF((SUM(E86:E86)+((C86-D86)*B86))&gt;(C86-D86),C86-D86-SUM(E86:E86),(C86-D86)*B86))</f>
        <v>0</v>
      </c>
      <c r="G86" s="417">
        <f>IF(G76&lt;A86,0,IF((SUM(E86:F86)+((C86-D86)*B86))&gt;(C86-D86),C86-D86-SUM(E86:F86),(C86-D86)*B86))</f>
        <v>0</v>
      </c>
      <c r="H86" s="417">
        <f>IF(H76&lt;A86,0,IF((SUM(E86:G86)+((C86-D86)*B86))&gt;(C86-D86),C86-D86-SUM(E86:G86),(C86-D86)*B86))</f>
        <v>0</v>
      </c>
      <c r="I86" s="417">
        <f>IF(I76&lt;A86,0,IF((SUM(E86:H86)+((C86-D86)*B86))&gt;(C86-D86),C86-D86-SUM(E86:H86),(C86-D86)*B86))</f>
        <v>0</v>
      </c>
      <c r="J86" s="417">
        <f>IF(J76&lt;A86,0,IF((SUM(E86:I86)+((C86-D86)*B86))&gt;(C86-D86),C86-D86-SUM(E86:I86),(C86-D86)*B86))</f>
        <v>0</v>
      </c>
      <c r="K86" s="417">
        <f>IF(K76&lt;A86,0,IF((SUM(E86:J86)+((C86-D86)*B86))&gt;(C86-D86),C86-D86-SUM(E86:J86),(C86-D86)*B86))</f>
        <v>0</v>
      </c>
      <c r="L86" s="417">
        <f>IF(L76&lt;A86,0,IF((SUM(E86:K86)+((C86-D86)*B86))&gt;(C86-D86),C86-D86-SUM(E86:K86),(C86-D86)*B86))</f>
        <v>0</v>
      </c>
      <c r="M86" s="417">
        <f>IF(M76&lt;A86,0,IF((SUM(E86:L86)+((C86-D86)*B86))&gt;(C86-D86),C86-D86-SUM(E86:L86),(C86-D86)*B86))</f>
        <v>0</v>
      </c>
      <c r="N86" s="417">
        <f>IF(N76&lt;A86,0,IF((SUM(E86:M86)+((C86-D86)*B86))&gt;(C86-D86),C86-D86-SUM(E86:M86),(C86-D86)*B86))</f>
        <v>0</v>
      </c>
      <c r="O86" s="417">
        <f>IF(O76&lt;A86,0,IF((SUM(E86:N86)+((C86-D86)*B86))&gt;(C86-D86),C86-D86-SUM(E86:N86),(C86-D86)*B86))</f>
        <v>0</v>
      </c>
      <c r="P86" s="417">
        <f>IF(P76&lt;A86,0,IF((SUM(E86:O86)+((C86-D86)*B86))&gt;(C86-D86),C86-D86-SUM(E86:O86),(C86-D86)*B86))</f>
        <v>0</v>
      </c>
      <c r="Q86" s="417">
        <f>IF(Q76&lt;A86,0,IF((SUM(E86:P86)+((C86-D86)*B86))&gt;(C86-D86),C86-D86-SUM(E86:P86),(C86-D86)*B86))</f>
        <v>0</v>
      </c>
      <c r="R86" s="417">
        <f>IF(R76&lt;A86,0,IF((SUM(E86:Q86)+((C86-D86)*B86))&gt;(C86-D86),C86-D86-SUM(E86:Q86),(C86-D86)*B86))</f>
        <v>0</v>
      </c>
      <c r="S86" s="417">
        <f>IF(S76&lt;A86,0,IF((SUM(E86:R86)+((C86-D86)*B86))&gt;(C86-D86),C86-D86-SUM(E86:R86),(C86-D86)*B86))</f>
        <v>0</v>
      </c>
      <c r="T86" s="417">
        <f>IF(T76&lt;A86,0,IF((SUM(E86:S86)+((C86-D86)*B86))&gt;(C86-D86),C86-D86-SUM(E86:S86),(C86-D86)*B86))</f>
        <v>0</v>
      </c>
      <c r="U86" s="417">
        <f>IF(U76&lt;A86,0,IF((SUM(E86:T86)+((C86-D86)*B86))&gt;(C86-D86),C86-D86-SUM(E86:T86),(C86-D86)*B86))</f>
        <v>0</v>
      </c>
      <c r="V86" s="417">
        <f>IF(V76&lt;A86,0,IF((SUM(E86:U86)+((C86-D86)*B86))&gt;(C86-D86),C86-D86-SUM(E86:U86),(C86-D86)*B86))</f>
        <v>0</v>
      </c>
      <c r="W86" s="417">
        <f>IF(W76&lt;A86,0,IF((SUM(E86:V86)+((C86-D86)*B86))&gt;(C86-D86),C86-D86-SUM(E86:V86),(C86-D86)*B86))</f>
        <v>0</v>
      </c>
      <c r="X86" s="417">
        <f>IF(X76&lt;A86,0,IF((SUM(E86:W86)+((C86-D86)*B86))&gt;(C86-D86),C86-D86-SUM(E86:W86),(C86-D86)*B86))</f>
        <v>0</v>
      </c>
      <c r="Y86" s="417">
        <f>IF(Y76&lt;A86,0,IF((SUM(E86:X86)+((C86-D86)*B86))&gt;(C86-D86),C86-D86-SUM(E86:X86),(C86-D86)*B86))</f>
        <v>0</v>
      </c>
      <c r="Z86" s="417">
        <f>IF(Z76&lt;A86,0,IF((SUM(E86:Y86)+((C86-D86)*B86))&gt;(C86-D86),C86-D86-SUM(E86:Y86),(C86-D86)*B86))</f>
        <v>0</v>
      </c>
      <c r="AA86" s="417">
        <f>IF(AA76&lt;A86,0,IF((SUM(E86:Z86)+((C86-D86)*B86))&gt;(C86-D86),C86-D86-SUM(E86:Z86),(C86-D86)*B86))</f>
        <v>0</v>
      </c>
      <c r="AB86" s="417">
        <f>IF(AB76&lt;A86,0,IF((SUM(E86:AA86)+((C86-D86)*B86))&gt;(C86-D86),C86-D86-SUM(E86:AA86),(C86-D86)*B86))</f>
        <v>0</v>
      </c>
      <c r="AC86" s="417">
        <f>IF(AC76&lt;A86,0,IF((SUM(E86:AB86)+((C86-D86)*B86))&gt;(C86-D86),C86-D86-SUM(E86:AB86),(C86-D86)*B86))</f>
        <v>0</v>
      </c>
      <c r="AD86" s="417">
        <f>IF(AD76&lt;A86,0,IF((SUM(E86:AC86)+((C86-D86)*B86))&gt;(C86-D86),C86-D86-SUM(E86:AC86),(C86-D86)*B86))</f>
        <v>0</v>
      </c>
      <c r="AE86" s="417">
        <f>IF(AE76&lt;A86,0,IF((SUM(E86:AD86)+((C86-D86)*B86))&gt;(C86-D86),C86-D86-SUM(E86:AD86),(C86-D86)*B86))</f>
        <v>0</v>
      </c>
      <c r="AF86" s="417">
        <f>IF(AF76&lt;A86,0,IF((SUM(E86:AE86)+((C86-D86)*B86))&gt;(C86-D86),C86-D86-SUM(E86:AE86),(C86-D86)*B86))</f>
        <v>0</v>
      </c>
      <c r="AG86" s="417">
        <f>IF(AG76&lt;A86,0,IF((SUM(E86:AF86)+((C86-D86)*B86))&gt;(C86-D86),C86-D86-SUM(E86:AF86),(C86-D86)*B86))</f>
        <v>0</v>
      </c>
      <c r="AH86" s="417">
        <f>IF(AH76&lt;A86,0,IF((SUM(E86:AG86)+((C86-D86)*B86))&gt;(C86-D86),C86-D86-SUM(E86:AG86),(C86-D86)*B86))</f>
        <v>0</v>
      </c>
    </row>
    <row r="87" spans="1:34" s="75" customFormat="1" ht="13.15" customHeight="1" outlineLevel="1" x14ac:dyDescent="0.2">
      <c r="A87" s="416">
        <v>11</v>
      </c>
      <c r="B87" s="374">
        <v>0.04</v>
      </c>
      <c r="C87" s="378">
        <f>SUMIF('14 - Investimentos'!B:B,'15 - Depreciação'!A74,'14 - Investimentos'!O:O)</f>
        <v>767552.71200000006</v>
      </c>
      <c r="D87" s="417">
        <f>C87*B74</f>
        <v>0</v>
      </c>
      <c r="E87" s="417">
        <f>IF(E76&lt;A87,0,(C87-D87)*B87)</f>
        <v>0</v>
      </c>
      <c r="F87" s="417">
        <f>IF(F76&lt;A87,0,IF((SUM(E87:E87)+((C87-D87)*B87))&gt;(C87-D87),C87-D87-SUM(E87:E87),(C87-D87)*B87))</f>
        <v>0</v>
      </c>
      <c r="G87" s="417">
        <f>IF(G76&lt;A87,0,IF((SUM(E87:F87)+((C87-D87)*B87))&gt;(C87-D87),C87-D87-SUM(E87:F87),(C87-D87)*B87))</f>
        <v>0</v>
      </c>
      <c r="H87" s="417">
        <f>IF(H76&lt;A87,0,IF((SUM(E87:G87)+((C87-D87)*B87))&gt;(C87-D87),C87-D87-SUM(E87:G87),(C87-D87)*B87))</f>
        <v>0</v>
      </c>
      <c r="I87" s="417">
        <f>IF(I76&lt;A87,0,IF((SUM(E87:H87)+((C87-D87)*B87))&gt;(C87-D87),C87-D87-SUM(E87:H87),(C87-D87)*B87))</f>
        <v>0</v>
      </c>
      <c r="J87" s="417">
        <f>IF(J76&lt;A87,0,IF((SUM(E87:I87)+((C87-D87)*B87))&gt;(C87-D87),C87-D87-SUM(E87:I87),(C87-D87)*B87))</f>
        <v>0</v>
      </c>
      <c r="K87" s="417">
        <f>IF(K76&lt;A87,0,IF((SUM(E87:J87)+((C87-D87)*B87))&gt;(C87-D87),C87-D87-SUM(E87:J87),(C87-D87)*B87))</f>
        <v>0</v>
      </c>
      <c r="L87" s="417">
        <f>IF(L76&lt;A87,0,IF((SUM(E87:K87)+((C87-D87)*B87))&gt;(C87-D87),C87-D87-SUM(E87:K87),(C87-D87)*B87))</f>
        <v>0</v>
      </c>
      <c r="M87" s="417">
        <f>IF(M76&lt;A87,0,IF((SUM(E87:L87)+((C87-D87)*B87))&gt;(C87-D87),C87-D87-SUM(E87:L87),(C87-D87)*B87))</f>
        <v>0</v>
      </c>
      <c r="N87" s="417">
        <f>IF(N76&lt;A87,0,IF((SUM(E87:M87)+((C87-D87)*B87))&gt;(C87-D87),C87-D87-SUM(E87:M87),(C87-D87)*B87))</f>
        <v>0</v>
      </c>
      <c r="O87" s="417">
        <f>IF(O76&lt;A87,0,IF((SUM(E87:N87)+((C87-D87)*B87))&gt;(C87-D87),C87-D87-SUM(E87:N87),(C87-D87)*B87))</f>
        <v>30702.108480000003</v>
      </c>
      <c r="P87" s="417">
        <f>IF(P76&lt;A87,0,IF((SUM(E87:O87)+((C87-D87)*B87))&gt;(C87-D87),C87-D87-SUM(E87:O87),(C87-D87)*B87))</f>
        <v>30702.108480000003</v>
      </c>
      <c r="Q87" s="417">
        <f>IF(Q76&lt;A87,0,IF((SUM(E87:P87)+((C87-D87)*B87))&gt;(C87-D87),C87-D87-SUM(E87:P87),(C87-D87)*B87))</f>
        <v>30702.108480000003</v>
      </c>
      <c r="R87" s="417">
        <f>IF(R76&lt;A87,0,IF((SUM(E87:Q87)+((C87-D87)*B87))&gt;(C87-D87),C87-D87-SUM(E87:Q87),(C87-D87)*B87))</f>
        <v>30702.108480000003</v>
      </c>
      <c r="S87" s="417">
        <f>IF(S76&lt;A87,0,IF((SUM(E87:R87)+((C87-D87)*B87))&gt;(C87-D87),C87-D87-SUM(E87:R87),(C87-D87)*B87))</f>
        <v>30702.108480000003</v>
      </c>
      <c r="T87" s="417">
        <f>IF(T76&lt;A87,0,IF((SUM(E87:S87)+((C87-D87)*B87))&gt;(C87-D87),C87-D87-SUM(E87:S87),(C87-D87)*B87))</f>
        <v>30702.108480000003</v>
      </c>
      <c r="U87" s="417">
        <f>IF(U76&lt;A87,0,IF((SUM(E87:T87)+((C87-D87)*B87))&gt;(C87-D87),C87-D87-SUM(E87:T87),(C87-D87)*B87))</f>
        <v>30702.108480000003</v>
      </c>
      <c r="V87" s="417">
        <f>IF(V76&lt;A87,0,IF((SUM(E87:U87)+((C87-D87)*B87))&gt;(C87-D87),C87-D87-SUM(E87:U87),(C87-D87)*B87))</f>
        <v>30702.108480000003</v>
      </c>
      <c r="W87" s="417">
        <f>IF(W76&lt;A87,0,IF((SUM(E87:V87)+((C87-D87)*B87))&gt;(C87-D87),C87-D87-SUM(E87:V87),(C87-D87)*B87))</f>
        <v>30702.108480000003</v>
      </c>
      <c r="X87" s="417">
        <f>IF(X76&lt;A87,0,IF((SUM(E87:W87)+((C87-D87)*B87))&gt;(C87-D87),C87-D87-SUM(E87:W87),(C87-D87)*B87))</f>
        <v>30702.108480000003</v>
      </c>
      <c r="Y87" s="417">
        <f>IF(Y76&lt;A87,0,IF((SUM(E87:X87)+((C87-D87)*B87))&gt;(C87-D87),C87-D87-SUM(E87:X87),(C87-D87)*B87))</f>
        <v>30702.108480000003</v>
      </c>
      <c r="Z87" s="417">
        <f>IF(Z76&lt;A87,0,IF((SUM(E87:Y87)+((C87-D87)*B87))&gt;(C87-D87),C87-D87-SUM(E87:Y87),(C87-D87)*B87))</f>
        <v>30702.108480000003</v>
      </c>
      <c r="AA87" s="417">
        <f>IF(AA76&lt;A87,0,IF((SUM(E87:Z87)+((C87-D87)*B87))&gt;(C87-D87),C87-D87-SUM(E87:Z87),(C87-D87)*B87))</f>
        <v>30702.108480000003</v>
      </c>
      <c r="AB87" s="417">
        <f>IF(AB76&lt;A87,0,IF((SUM(E87:AA87)+((C87-D87)*B87))&gt;(C87-D87),C87-D87-SUM(E87:AA87),(C87-D87)*B87))</f>
        <v>30702.108480000003</v>
      </c>
      <c r="AC87" s="417">
        <f>IF(AC76&lt;A87,0,IF((SUM(E87:AB87)+((C87-D87)*B87))&gt;(C87-D87),C87-D87-SUM(E87:AB87),(C87-D87)*B87))</f>
        <v>30702.108480000003</v>
      </c>
      <c r="AD87" s="417">
        <f>IF(AD76&lt;A87,0,IF((SUM(E87:AC87)+((C87-D87)*B87))&gt;(C87-D87),C87-D87-SUM(E87:AC87),(C87-D87)*B87))</f>
        <v>30702.108480000003</v>
      </c>
      <c r="AE87" s="417">
        <f>IF(AE76&lt;A87,0,IF((SUM(E87:AD87)+((C87-D87)*B87))&gt;(C87-D87),C87-D87-SUM(E87:AD87),(C87-D87)*B87))</f>
        <v>30702.108480000003</v>
      </c>
      <c r="AF87" s="417">
        <f>IF(AF76&lt;A87,0,IF((SUM(E87:AE87)+((C87-D87)*B87))&gt;(C87-D87),C87-D87-SUM(E87:AE87),(C87-D87)*B87))</f>
        <v>30702.108480000003</v>
      </c>
      <c r="AG87" s="417">
        <f>IF(AG76&lt;A87,0,IF((SUM(E87:AF87)+((C87-D87)*B87))&gt;(C87-D87),C87-D87-SUM(E87:AF87),(C87-D87)*B87))</f>
        <v>30702.108480000003</v>
      </c>
      <c r="AH87" s="417">
        <f>IF(AH76&lt;A87,0,IF((SUM(E87:AG87)+((C87-D87)*B87))&gt;(C87-D87),C87-D87-SUM(E87:AG87),(C87-D87)*B87))</f>
        <v>30702.108480000003</v>
      </c>
    </row>
    <row r="88" spans="1:34" s="75" customFormat="1" ht="13.15" customHeight="1" outlineLevel="1" x14ac:dyDescent="0.2">
      <c r="A88" s="416">
        <v>12</v>
      </c>
      <c r="B88" s="374">
        <v>0.04</v>
      </c>
      <c r="C88" s="378">
        <f>SUMIF('14 - Investimentos'!B:B,'15 - Depreciação'!A74,'14 - Investimentos'!P:P)</f>
        <v>0</v>
      </c>
      <c r="D88" s="417">
        <f>C88*B74</f>
        <v>0</v>
      </c>
      <c r="E88" s="417">
        <f>IF(E76&lt;A88,0,(C88-D88)*B88)</f>
        <v>0</v>
      </c>
      <c r="F88" s="417">
        <f>IF(F76&lt;A88,0,IF((SUM(E88:E88)+((C88-D88)*B88))&gt;(C88-D88),C88-D88-SUM(E88:E88),(C88-D88)*B88))</f>
        <v>0</v>
      </c>
      <c r="G88" s="417">
        <f>IF(G76&lt;A88,0,IF((SUM(E88:F88)+((C88-D88)*B88))&gt;(C88-D88),C88-D88-SUM(E88:F88),(C88-D88)*B88))</f>
        <v>0</v>
      </c>
      <c r="H88" s="417">
        <f>IF(H76&lt;A88,0,IF((SUM(E88:G88)+((C88-D88)*B88))&gt;(C88-D88),C88-D88-SUM(E88:G88),(C88-D88)*B88))</f>
        <v>0</v>
      </c>
      <c r="I88" s="417">
        <f>IF(I76&lt;A88,0,IF((SUM(E88:H88)+((C88-D88)*B88))&gt;(C88-D88),C88-D88-SUM(E88:H88),(C88-D88)*B88))</f>
        <v>0</v>
      </c>
      <c r="J88" s="417">
        <f>IF(J76&lt;A88,0,IF((SUM(E88:I88)+((C88-D88)*B88))&gt;(C88-D88),C88-D88-SUM(E88:I88),(C88-D88)*B88))</f>
        <v>0</v>
      </c>
      <c r="K88" s="417">
        <f>IF(K76&lt;A88,0,IF((SUM(E88:J88)+((C88-D88)*B88))&gt;(C88-D88),C88-D88-SUM(E88:J88),(C88-D88)*B88))</f>
        <v>0</v>
      </c>
      <c r="L88" s="417">
        <f>IF(L76&lt;A88,0,IF((SUM(E88:K88)+((C88-D88)*B88))&gt;(C88-D88),C88-D88-SUM(E88:K88),(C88-D88)*B88))</f>
        <v>0</v>
      </c>
      <c r="M88" s="417">
        <f>IF(M76&lt;A88,0,IF((SUM(E88:L88)+((C88-D88)*B88))&gt;(C88-D88),C88-D88-SUM(E88:L88),(C88-D88)*B88))</f>
        <v>0</v>
      </c>
      <c r="N88" s="417">
        <f>IF(N76&lt;A88,0,IF((SUM(E88:M88)+((C88-D88)*B88))&gt;(C88-D88),C88-D88-SUM(E88:M88),(C88-D88)*B88))</f>
        <v>0</v>
      </c>
      <c r="O88" s="417">
        <f>IF(O76&lt;A88,0,IF((SUM(E88:N88)+((C88-D88)*B88))&gt;(C88-D88),C88-D88-SUM(E88:N88),(C88-D88)*B88))</f>
        <v>0</v>
      </c>
      <c r="P88" s="417">
        <f>IF(P76&lt;A88,0,IF((SUM(E88:O88)+((C88-D88)*B88))&gt;(C88-D88),C88-D88-SUM(E88:O88),(C88-D88)*B88))</f>
        <v>0</v>
      </c>
      <c r="Q88" s="417">
        <f>IF(Q76&lt;A88,0,IF((SUM(E88:P88)+((C88-D88)*B88))&gt;(C88-D88),C88-D88-SUM(E88:P88),(C88-D88)*B88))</f>
        <v>0</v>
      </c>
      <c r="R88" s="417">
        <f>IF(R76&lt;A88,0,IF((SUM(E88:Q88)+((C88-D88)*B88))&gt;(C88-D88),C88-D88-SUM(E88:Q88),(C88-D88)*B88))</f>
        <v>0</v>
      </c>
      <c r="S88" s="417">
        <f>IF(S76&lt;A88,0,IF((SUM(E88:R88)+((C88-D88)*B88))&gt;(C88-D88),C88-D88-SUM(E88:R88),(C88-D88)*B88))</f>
        <v>0</v>
      </c>
      <c r="T88" s="417">
        <f>IF(T76&lt;A88,0,IF((SUM(E88:S88)+((C88-D88)*B88))&gt;(C88-D88),C88-D88-SUM(E88:S88),(C88-D88)*B88))</f>
        <v>0</v>
      </c>
      <c r="U88" s="417">
        <f>IF(U76&lt;A88,0,IF((SUM(E88:T88)+((C88-D88)*B88))&gt;(C88-D88),C88-D88-SUM(E88:T88),(C88-D88)*B88))</f>
        <v>0</v>
      </c>
      <c r="V88" s="417">
        <f>IF(V76&lt;A88,0,IF((SUM(E88:U88)+((C88-D88)*B88))&gt;(C88-D88),C88-D88-SUM(E88:U88),(C88-D88)*B88))</f>
        <v>0</v>
      </c>
      <c r="W88" s="417">
        <f>IF(W76&lt;A88,0,IF((SUM(E88:V88)+((C88-D88)*B88))&gt;(C88-D88),C88-D88-SUM(E88:V88),(C88-D88)*B88))</f>
        <v>0</v>
      </c>
      <c r="X88" s="417">
        <f>IF(X76&lt;A88,0,IF((SUM(E88:W88)+((C88-D88)*B88))&gt;(C88-D88),C88-D88-SUM(E88:W88),(C88-D88)*B88))</f>
        <v>0</v>
      </c>
      <c r="Y88" s="417">
        <f>IF(Y76&lt;A88,0,IF((SUM(E88:X88)+((C88-D88)*B88))&gt;(C88-D88),C88-D88-SUM(E88:X88),(C88-D88)*B88))</f>
        <v>0</v>
      </c>
      <c r="Z88" s="417">
        <f>IF(Z76&lt;A88,0,IF((SUM(E88:Y88)+((C88-D88)*B88))&gt;(C88-D88),C88-D88-SUM(E88:Y88),(C88-D88)*B88))</f>
        <v>0</v>
      </c>
      <c r="AA88" s="417">
        <f>IF(AA76&lt;A88,0,IF((SUM(E88:Z88)+((C88-D88)*B88))&gt;(C88-D88),C88-D88-SUM(E88:Z88),(C88-D88)*B88))</f>
        <v>0</v>
      </c>
      <c r="AB88" s="417">
        <f>IF(AB76&lt;A88,0,IF((SUM(E88:AA88)+((C88-D88)*B88))&gt;(C88-D88),C88-D88-SUM(E88:AA88),(C88-D88)*B88))</f>
        <v>0</v>
      </c>
      <c r="AC88" s="417">
        <f>IF(AC76&lt;A88,0,IF((SUM(E88:AB88)+((C88-D88)*B88))&gt;(C88-D88),C88-D88-SUM(E88:AB88),(C88-D88)*B88))</f>
        <v>0</v>
      </c>
      <c r="AD88" s="417">
        <f>IF(AD76&lt;A88,0,IF((SUM(E88:AC88)+((C88-D88)*B88))&gt;(C88-D88),C88-D88-SUM(E88:AC88),(C88-D88)*B88))</f>
        <v>0</v>
      </c>
      <c r="AE88" s="417">
        <f>IF(AE76&lt;A88,0,IF((SUM(E88:AD88)+((C88-D88)*B88))&gt;(C88-D88),C88-D88-SUM(E88:AD88),(C88-D88)*B88))</f>
        <v>0</v>
      </c>
      <c r="AF88" s="417">
        <f>IF(AF76&lt;A88,0,IF((SUM(E88:AE88)+((C88-D88)*B88))&gt;(C88-D88),C88-D88-SUM(E88:AE88),(C88-D88)*B88))</f>
        <v>0</v>
      </c>
      <c r="AG88" s="417">
        <f>IF(AG76&lt;A88,0,IF((SUM(E88:AF88)+((C88-D88)*B88))&gt;(C88-D88),C88-D88-SUM(E88:AF88),(C88-D88)*B88))</f>
        <v>0</v>
      </c>
      <c r="AH88" s="417">
        <f>IF(AH76&lt;A88,0,IF((SUM(E88:AG88)+((C88-D88)*B88))&gt;(C88-D88),C88-D88-SUM(E88:AG88),(C88-D88)*B88))</f>
        <v>0</v>
      </c>
    </row>
    <row r="89" spans="1:34" s="75" customFormat="1" ht="13.15" customHeight="1" outlineLevel="1" x14ac:dyDescent="0.2">
      <c r="A89" s="416">
        <v>13</v>
      </c>
      <c r="B89" s="374">
        <v>0.04</v>
      </c>
      <c r="C89" s="378">
        <f>SUMIF('14 - Investimentos'!B:B,'15 - Depreciação'!A74,'14 - Investimentos'!Q:Q)</f>
        <v>0</v>
      </c>
      <c r="D89" s="417">
        <f>C89*B74</f>
        <v>0</v>
      </c>
      <c r="E89" s="417">
        <f>IF(E76&lt;A89,0,(C89-D89)*B89)</f>
        <v>0</v>
      </c>
      <c r="F89" s="417">
        <f>IF(F76&lt;A89,0,IF((SUM(E89:E89)+((C89-D89)*B89))&gt;(C89-D89),C89-D89-SUM(E89:E89),(C89-D89)*B89))</f>
        <v>0</v>
      </c>
      <c r="G89" s="417">
        <f>IF(G76&lt;A89,0,IF((SUM(E89:F89)+((C89-D89)*B89))&gt;(C89-D89),C89-D89-SUM(E89:F89),(C89-D89)*B89))</f>
        <v>0</v>
      </c>
      <c r="H89" s="417">
        <f>IF(H76&lt;A89,0,IF((SUM(E89:G89)+((C89-D89)*B89))&gt;(C89-D89),C89-D89-SUM(E89:G89),(C89-D89)*B89))</f>
        <v>0</v>
      </c>
      <c r="I89" s="417">
        <f>IF(I76&lt;A89,0,IF((SUM(E89:H89)+((C89-D89)*B89))&gt;(C89-D89),C89-D89-SUM(E89:H89),(C89-D89)*B89))</f>
        <v>0</v>
      </c>
      <c r="J89" s="417">
        <f>IF(J76&lt;A89,0,IF((SUM(E89:I89)+((C89-D89)*B89))&gt;(C89-D89),C89-D89-SUM(E89:I89),(C89-D89)*B89))</f>
        <v>0</v>
      </c>
      <c r="K89" s="417">
        <f>IF(K76&lt;A89,0,IF((SUM(E89:J89)+((C89-D89)*B89))&gt;(C89-D89),C89-D89-SUM(E89:J89),(C89-D89)*B89))</f>
        <v>0</v>
      </c>
      <c r="L89" s="417">
        <f>IF(L76&lt;A89,0,IF((SUM(E89:K89)+((C89-D89)*B89))&gt;(C89-D89),C89-D89-SUM(E89:K89),(C89-D89)*B89))</f>
        <v>0</v>
      </c>
      <c r="M89" s="417">
        <f>IF(M76&lt;A89,0,IF((SUM(E89:L89)+((C89-D89)*B89))&gt;(C89-D89),C89-D89-SUM(E89:L89),(C89-D89)*B89))</f>
        <v>0</v>
      </c>
      <c r="N89" s="417">
        <f>IF(N76&lt;A89,0,IF((SUM(E89:M89)+((C89-D89)*B89))&gt;(C89-D89),C89-D89-SUM(E89:M89),(C89-D89)*B89))</f>
        <v>0</v>
      </c>
      <c r="O89" s="417">
        <f>IF(O76&lt;A89,0,IF((SUM(E89:N89)+((C89-D89)*B89))&gt;(C89-D89),C89-D89-SUM(E89:N89),(C89-D89)*B89))</f>
        <v>0</v>
      </c>
      <c r="P89" s="417">
        <f>IF(P76&lt;A89,0,IF((SUM(E89:O89)+((C89-D89)*B89))&gt;(C89-D89),C89-D89-SUM(E89:O89),(C89-D89)*B89))</f>
        <v>0</v>
      </c>
      <c r="Q89" s="417">
        <f>IF(Q76&lt;A89,0,IF((SUM(E89:P89)+((C89-D89)*B89))&gt;(C89-D89),C89-D89-SUM(E89:P89),(C89-D89)*B89))</f>
        <v>0</v>
      </c>
      <c r="R89" s="417">
        <f>IF(R76&lt;A89,0,IF((SUM(E89:Q89)+((C89-D89)*B89))&gt;(C89-D89),C89-D89-SUM(E89:Q89),(C89-D89)*B89))</f>
        <v>0</v>
      </c>
      <c r="S89" s="417">
        <f>IF(S76&lt;A89,0,IF((SUM(E89:R89)+((C89-D89)*B89))&gt;(C89-D89),C89-D89-SUM(E89:R89),(C89-D89)*B89))</f>
        <v>0</v>
      </c>
      <c r="T89" s="417">
        <f>IF(T76&lt;A89,0,IF((SUM(E89:S89)+((C89-D89)*B89))&gt;(C89-D89),C89-D89-SUM(E89:S89),(C89-D89)*B89))</f>
        <v>0</v>
      </c>
      <c r="U89" s="417">
        <f>IF(U76&lt;A89,0,IF((SUM(E89:T89)+((C89-D89)*B89))&gt;(C89-D89),C89-D89-SUM(E89:T89),(C89-D89)*B89))</f>
        <v>0</v>
      </c>
      <c r="V89" s="417">
        <f>IF(V76&lt;A89,0,IF((SUM(E89:U89)+((C89-D89)*B89))&gt;(C89-D89),C89-D89-SUM(E89:U89),(C89-D89)*B89))</f>
        <v>0</v>
      </c>
      <c r="W89" s="417">
        <f>IF(W76&lt;A89,0,IF((SUM(E89:V89)+((C89-D89)*B89))&gt;(C89-D89),C89-D89-SUM(E89:V89),(C89-D89)*B89))</f>
        <v>0</v>
      </c>
      <c r="X89" s="417">
        <f>IF(X76&lt;A89,0,IF((SUM(E89:W89)+((C89-D89)*B89))&gt;(C89-D89),C89-D89-SUM(E89:W89),(C89-D89)*B89))</f>
        <v>0</v>
      </c>
      <c r="Y89" s="417">
        <f>IF(Y76&lt;A89,0,IF((SUM(E89:X89)+((C89-D89)*B89))&gt;(C89-D89),C89-D89-SUM(E89:X89),(C89-D89)*B89))</f>
        <v>0</v>
      </c>
      <c r="Z89" s="417">
        <f>IF(Z76&lt;A89,0,IF((SUM(E89:Y89)+((C89-D89)*B89))&gt;(C89-D89),C89-D89-SUM(E89:Y89),(C89-D89)*B89))</f>
        <v>0</v>
      </c>
      <c r="AA89" s="417">
        <f>IF(AA76&lt;A89,0,IF((SUM(E89:Z89)+((C89-D89)*B89))&gt;(C89-D89),C89-D89-SUM(E89:Z89),(C89-D89)*B89))</f>
        <v>0</v>
      </c>
      <c r="AB89" s="417">
        <f>IF(AB76&lt;A89,0,IF((SUM(E89:AA89)+((C89-D89)*B89))&gt;(C89-D89),C89-D89-SUM(E89:AA89),(C89-D89)*B89))</f>
        <v>0</v>
      </c>
      <c r="AC89" s="417">
        <f>IF(AC76&lt;A89,0,IF((SUM(E89:AB89)+((C89-D89)*B89))&gt;(C89-D89),C89-D89-SUM(E89:AB89),(C89-D89)*B89))</f>
        <v>0</v>
      </c>
      <c r="AD89" s="417">
        <f>IF(AD76&lt;A89,0,IF((SUM(E89:AC89)+((C89-D89)*B89))&gt;(C89-D89),C89-D89-SUM(E89:AC89),(C89-D89)*B89))</f>
        <v>0</v>
      </c>
      <c r="AE89" s="417">
        <f>IF(AE76&lt;A89,0,IF((SUM(E89:AD89)+((C89-D89)*B89))&gt;(C89-D89),C89-D89-SUM(E89:AD89),(C89-D89)*B89))</f>
        <v>0</v>
      </c>
      <c r="AF89" s="417">
        <f>IF(AF76&lt;A89,0,IF((SUM(E89:AE89)+((C89-D89)*B89))&gt;(C89-D89),C89-D89-SUM(E89:AE89),(C89-D89)*B89))</f>
        <v>0</v>
      </c>
      <c r="AG89" s="417">
        <f>IF(AG76&lt;A89,0,IF((SUM(E89:AF89)+((C89-D89)*B89))&gt;(C89-D89),C89-D89-SUM(E89:AF89),(C89-D89)*B89))</f>
        <v>0</v>
      </c>
      <c r="AH89" s="417">
        <f>IF(AH76&lt;A89,0,IF((SUM(E89:AG89)+((C89-D89)*B89))&gt;(C89-D89),C89-D89-SUM(E89:AG89),(C89-D89)*B89))</f>
        <v>0</v>
      </c>
    </row>
    <row r="90" spans="1:34" s="75" customFormat="1" ht="13.15" customHeight="1" outlineLevel="1" x14ac:dyDescent="0.2">
      <c r="A90" s="416">
        <v>14</v>
      </c>
      <c r="B90" s="374">
        <v>0.04</v>
      </c>
      <c r="C90" s="378">
        <f>SUMIF('14 - Investimentos'!B:B,'15 - Depreciação'!A74,'14 - Investimentos'!R:R)</f>
        <v>0</v>
      </c>
      <c r="D90" s="417">
        <f>C90*B74</f>
        <v>0</v>
      </c>
      <c r="E90" s="417">
        <f>IF(E76&lt;A90,0,(C90-D90)*B90)</f>
        <v>0</v>
      </c>
      <c r="F90" s="417">
        <f>IF(F76&lt;A90,0,IF((SUM(E90:E90)+((C90-D90)*B90))&gt;(C90-D90),C90-D90-SUM(E90:E90),(C90-D90)*B90))</f>
        <v>0</v>
      </c>
      <c r="G90" s="417">
        <f>IF(G76&lt;A90,0,IF((SUM(E90:F90)+((C90-D90)*B90))&gt;(C90-D90),C90-D90-SUM(E90:F90),(C90-D90)*B90))</f>
        <v>0</v>
      </c>
      <c r="H90" s="417">
        <f>IF(H76&lt;A90,0,IF((SUM(E90:G90)+((C90-D90)*B90))&gt;(C90-D90),C90-D90-SUM(E90:G90),(C90-D90)*B90))</f>
        <v>0</v>
      </c>
      <c r="I90" s="417">
        <f>IF(I76&lt;A90,0,IF((SUM(E90:H90)+((C90-D90)*B90))&gt;(C90-D90),C90-D90-SUM(E90:H90),(C90-D90)*B90))</f>
        <v>0</v>
      </c>
      <c r="J90" s="417">
        <f>IF(J76&lt;A90,0,IF((SUM(E90:I90)+((C90-D90)*B90))&gt;(C90-D90),C90-D90-SUM(E90:I90),(C90-D90)*B90))</f>
        <v>0</v>
      </c>
      <c r="K90" s="417">
        <f>IF(K76&lt;A90,0,IF((SUM(E90:J90)+((C90-D90)*B90))&gt;(C90-D90),C90-D90-SUM(E90:J90),(C90-D90)*B90))</f>
        <v>0</v>
      </c>
      <c r="L90" s="417">
        <f>IF(L76&lt;A90,0,IF((SUM(E90:K90)+((C90-D90)*B90))&gt;(C90-D90),C90-D90-SUM(E90:K90),(C90-D90)*B90))</f>
        <v>0</v>
      </c>
      <c r="M90" s="417">
        <f>IF(M76&lt;A90,0,IF((SUM(E90:L90)+((C90-D90)*B90))&gt;(C90-D90),C90-D90-SUM(E90:L90),(C90-D90)*B90))</f>
        <v>0</v>
      </c>
      <c r="N90" s="417">
        <f>IF(N76&lt;A90,0,IF((SUM(E90:M90)+((C90-D90)*B90))&gt;(C90-D90),C90-D90-SUM(E90:M90),(C90-D90)*B90))</f>
        <v>0</v>
      </c>
      <c r="O90" s="417">
        <f>IF(O76&lt;A90,0,IF((SUM(E90:N90)+((C90-D90)*B90))&gt;(C90-D90),C90-D90-SUM(E90:N90),(C90-D90)*B90))</f>
        <v>0</v>
      </c>
      <c r="P90" s="417">
        <f>IF(P76&lt;A90,0,IF((SUM(E90:O90)+((C90-D90)*B90))&gt;(C90-D90),C90-D90-SUM(E90:O90),(C90-D90)*B90))</f>
        <v>0</v>
      </c>
      <c r="Q90" s="417">
        <f>IF(Q76&lt;A90,0,IF((SUM(E90:P90)+((C90-D90)*B90))&gt;(C90-D90),C90-D90-SUM(E90:P90),(C90-D90)*B90))</f>
        <v>0</v>
      </c>
      <c r="R90" s="417">
        <f>IF(R76&lt;A90,0,IF((SUM(E90:Q90)+((C90-D90)*B90))&gt;(C90-D90),C90-D90-SUM(E90:Q90),(C90-D90)*B90))</f>
        <v>0</v>
      </c>
      <c r="S90" s="417">
        <f>IF(S76&lt;A90,0,IF((SUM(E90:R90)+((C90-D90)*B90))&gt;(C90-D90),C90-D90-SUM(E90:R90),(C90-D90)*B90))</f>
        <v>0</v>
      </c>
      <c r="T90" s="417">
        <f>IF(T76&lt;A90,0,IF((SUM(E90:S90)+((C90-D90)*B90))&gt;(C90-D90),C90-D90-SUM(E90:S90),(C90-D90)*B90))</f>
        <v>0</v>
      </c>
      <c r="U90" s="417">
        <f>IF(U76&lt;A90,0,IF((SUM(E90:T90)+((C90-D90)*B90))&gt;(C90-D90),C90-D90-SUM(E90:T90),(C90-D90)*B90))</f>
        <v>0</v>
      </c>
      <c r="V90" s="417">
        <f>IF(V76&lt;A90,0,IF((SUM(E90:U90)+((C90-D90)*B90))&gt;(C90-D90),C90-D90-SUM(E90:U90),(C90-D90)*B90))</f>
        <v>0</v>
      </c>
      <c r="W90" s="417">
        <f>IF(W76&lt;A90,0,IF((SUM(E90:V90)+((C90-D90)*B90))&gt;(C90-D90),C90-D90-SUM(E90:V90),(C90-D90)*B90))</f>
        <v>0</v>
      </c>
      <c r="X90" s="417">
        <f>IF(X76&lt;A90,0,IF((SUM(E90:W90)+((C90-D90)*B90))&gt;(C90-D90),C90-D90-SUM(E90:W90),(C90-D90)*B90))</f>
        <v>0</v>
      </c>
      <c r="Y90" s="417">
        <f>IF(Y76&lt;A90,0,IF((SUM(E90:X90)+((C90-D90)*B90))&gt;(C90-D90),C90-D90-SUM(E90:X90),(C90-D90)*B90))</f>
        <v>0</v>
      </c>
      <c r="Z90" s="417">
        <f>IF(Z76&lt;A90,0,IF((SUM(E90:Y90)+((C90-D90)*B90))&gt;(C90-D90),C90-D90-SUM(E90:Y90),(C90-D90)*B90))</f>
        <v>0</v>
      </c>
      <c r="AA90" s="417">
        <f>IF(AA76&lt;A90,0,IF((SUM(E90:Z90)+((C90-D90)*B90))&gt;(C90-D90),C90-D90-SUM(E90:Z90),(C90-D90)*B90))</f>
        <v>0</v>
      </c>
      <c r="AB90" s="417">
        <f>IF(AB76&lt;A90,0,IF((SUM(E90:AA90)+((C90-D90)*B90))&gt;(C90-D90),C90-D90-SUM(E90:AA90),(C90-D90)*B90))</f>
        <v>0</v>
      </c>
      <c r="AC90" s="417">
        <f>IF(AC76&lt;A90,0,IF((SUM(E90:AB90)+((C90-D90)*B90))&gt;(C90-D90),C90-D90-SUM(E90:AB90),(C90-D90)*B90))</f>
        <v>0</v>
      </c>
      <c r="AD90" s="417">
        <f>IF(AD76&lt;A90,0,IF((SUM(E90:AC90)+((C90-D90)*B90))&gt;(C90-D90),C90-D90-SUM(E90:AC90),(C90-D90)*B90))</f>
        <v>0</v>
      </c>
      <c r="AE90" s="417">
        <f>IF(AE76&lt;A90,0,IF((SUM(E90:AD90)+((C90-D90)*B90))&gt;(C90-D90),C90-D90-SUM(E90:AD90),(C90-D90)*B90))</f>
        <v>0</v>
      </c>
      <c r="AF90" s="417">
        <f>IF(AF76&lt;A90,0,IF((SUM(E90:AE90)+((C90-D90)*B90))&gt;(C90-D90),C90-D90-SUM(E90:AE90),(C90-D90)*B90))</f>
        <v>0</v>
      </c>
      <c r="AG90" s="417">
        <f>IF(AG76&lt;A90,0,IF((SUM(E90:AF90)+((C90-D90)*B90))&gt;(C90-D90),C90-D90-SUM(E90:AF90),(C90-D90)*B90))</f>
        <v>0</v>
      </c>
      <c r="AH90" s="417">
        <f>IF(AH76&lt;A90,0,IF((SUM(E90:AG90)+((C90-D90)*B90))&gt;(C90-D90),C90-D90-SUM(E90:AG90),(C90-D90)*B90))</f>
        <v>0</v>
      </c>
    </row>
    <row r="91" spans="1:34" s="75" customFormat="1" ht="13.15" customHeight="1" outlineLevel="1" x14ac:dyDescent="0.2">
      <c r="A91" s="416">
        <v>15</v>
      </c>
      <c r="B91" s="374">
        <v>0.04</v>
      </c>
      <c r="C91" s="378">
        <f>SUMIF('14 - Investimentos'!B:B,'15 - Depreciação'!A74,'14 - Investimentos'!S:S)</f>
        <v>0</v>
      </c>
      <c r="D91" s="417">
        <f>C91*B74</f>
        <v>0</v>
      </c>
      <c r="E91" s="417">
        <f>IF(E76&lt;A91,0,(C91-D91)*B91)</f>
        <v>0</v>
      </c>
      <c r="F91" s="417">
        <f>IF(F76&lt;A91,0,IF((SUM(E91:E91)+((C91-D91)*B91))&gt;(C91-D91),C91-D91-SUM(E91:E91),(C91-D91)*B91))</f>
        <v>0</v>
      </c>
      <c r="G91" s="417">
        <f>IF(G76&lt;A91,0,IF((SUM(E91:F91)+((C91-D91)*B91))&gt;(C91-D91),C91-D91-SUM(E91:F91),(C91-D91)*B91))</f>
        <v>0</v>
      </c>
      <c r="H91" s="417">
        <f>IF(H76&lt;A91,0,IF((SUM(E91:G91)+((C91-D91)*B91))&gt;(C91-D91),C91-D91-SUM(E91:G91),(C91-D91)*B91))</f>
        <v>0</v>
      </c>
      <c r="I91" s="417">
        <f>IF(I76&lt;A91,0,IF((SUM(E91:H91)+((C91-D91)*B91))&gt;(C91-D91),C91-D91-SUM(E91:H91),(C91-D91)*B91))</f>
        <v>0</v>
      </c>
      <c r="J91" s="417">
        <f>IF(J76&lt;A91,0,IF((SUM(E91:I91)+((C91-D91)*B91))&gt;(C91-D91),C91-D91-SUM(E91:I91),(C91-D91)*B91))</f>
        <v>0</v>
      </c>
      <c r="K91" s="417">
        <f>IF(K76&lt;A91,0,IF((SUM(E91:J91)+((C91-D91)*B91))&gt;(C91-D91),C91-D91-SUM(E91:J91),(C91-D91)*B91))</f>
        <v>0</v>
      </c>
      <c r="L91" s="417">
        <f>IF(L76&lt;A91,0,IF((SUM(E91:K91)+((C91-D91)*B91))&gt;(C91-D91),C91-D91-SUM(E91:K91),(C91-D91)*B91))</f>
        <v>0</v>
      </c>
      <c r="M91" s="417">
        <f>IF(M76&lt;A91,0,IF((SUM(E91:L91)+((C91-D91)*B91))&gt;(C91-D91),C91-D91-SUM(E91:L91),(C91-D91)*B91))</f>
        <v>0</v>
      </c>
      <c r="N91" s="417">
        <f>IF(N76&lt;A91,0,IF((SUM(E91:M91)+((C91-D91)*B91))&gt;(C91-D91),C91-D91-SUM(E91:M91),(C91-D91)*B91))</f>
        <v>0</v>
      </c>
      <c r="O91" s="417">
        <f>IF(O76&lt;A91,0,IF((SUM(E91:N91)+((C91-D91)*B91))&gt;(C91-D91),C91-D91-SUM(E91:N91),(C91-D91)*B91))</f>
        <v>0</v>
      </c>
      <c r="P91" s="417">
        <f>IF(P76&lt;A91,0,IF((SUM(E91:O91)+((C91-D91)*B91))&gt;(C91-D91),C91-D91-SUM(E91:O91),(C91-D91)*B91))</f>
        <v>0</v>
      </c>
      <c r="Q91" s="417">
        <f>IF(Q76&lt;A91,0,IF((SUM(E91:P91)+((C91-D91)*B91))&gt;(C91-D91),C91-D91-SUM(E91:P91),(C91-D91)*B91))</f>
        <v>0</v>
      </c>
      <c r="R91" s="417">
        <f>IF(R76&lt;A91,0,IF((SUM(E91:Q91)+((C91-D91)*B91))&gt;(C91-D91),C91-D91-SUM(E91:Q91),(C91-D91)*B91))</f>
        <v>0</v>
      </c>
      <c r="S91" s="417">
        <f>IF(S76&lt;A91,0,IF((SUM(E91:R91)+((C91-D91)*B91))&gt;(C91-D91),C91-D91-SUM(E91:R91),(C91-D91)*B91))</f>
        <v>0</v>
      </c>
      <c r="T91" s="417">
        <f>IF(T76&lt;A91,0,IF((SUM(E91:S91)+((C91-D91)*B91))&gt;(C91-D91),C91-D91-SUM(E91:S91),(C91-D91)*B91))</f>
        <v>0</v>
      </c>
      <c r="U91" s="417">
        <f>IF(U76&lt;A91,0,IF((SUM(E91:T91)+((C91-D91)*B91))&gt;(C91-D91),C91-D91-SUM(E91:T91),(C91-D91)*B91))</f>
        <v>0</v>
      </c>
      <c r="V91" s="417">
        <f>IF(V76&lt;A91,0,IF((SUM(E91:U91)+((C91-D91)*B91))&gt;(C91-D91),C91-D91-SUM(E91:U91),(C91-D91)*B91))</f>
        <v>0</v>
      </c>
      <c r="W91" s="417">
        <f>IF(W76&lt;A91,0,IF((SUM(E91:V91)+((C91-D91)*B91))&gt;(C91-D91),C91-D91-SUM(E91:V91),(C91-D91)*B91))</f>
        <v>0</v>
      </c>
      <c r="X91" s="417">
        <f>IF(X76&lt;A91,0,IF((SUM(E91:W91)+((C91-D91)*B91))&gt;(C91-D91),C91-D91-SUM(E91:W91),(C91-D91)*B91))</f>
        <v>0</v>
      </c>
      <c r="Y91" s="417">
        <f>IF(Y76&lt;A91,0,IF((SUM(E91:X91)+((C91-D91)*B91))&gt;(C91-D91),C91-D91-SUM(E91:X91),(C91-D91)*B91))</f>
        <v>0</v>
      </c>
      <c r="Z91" s="417">
        <f>IF(Z76&lt;A91,0,IF((SUM(E91:Y91)+((C91-D91)*B91))&gt;(C91-D91),C91-D91-SUM(E91:Y91),(C91-D91)*B91))</f>
        <v>0</v>
      </c>
      <c r="AA91" s="417">
        <f>IF(AA76&lt;A91,0,IF((SUM(E91:Z91)+((C91-D91)*B91))&gt;(C91-D91),C91-D91-SUM(E91:Z91),(C91-D91)*B91))</f>
        <v>0</v>
      </c>
      <c r="AB91" s="417">
        <f>IF(AB76&lt;A91,0,IF((SUM(E91:AA91)+((C91-D91)*B91))&gt;(C91-D91),C91-D91-SUM(E91:AA91),(C91-D91)*B91))</f>
        <v>0</v>
      </c>
      <c r="AC91" s="417">
        <f>IF(AC76&lt;A91,0,IF((SUM(E91:AB91)+((C91-D91)*B91))&gt;(C91-D91),C91-D91-SUM(E91:AB91),(C91-D91)*B91))</f>
        <v>0</v>
      </c>
      <c r="AD91" s="417">
        <f>IF(AD76&lt;A91,0,IF((SUM(E91:AC91)+((C91-D91)*B91))&gt;(C91-D91),C91-D91-SUM(E91:AC91),(C91-D91)*B91))</f>
        <v>0</v>
      </c>
      <c r="AE91" s="417">
        <f>IF(AE76&lt;A91,0,IF((SUM(E91:AD91)+((C91-D91)*B91))&gt;(C91-D91),C91-D91-SUM(E91:AD91),(C91-D91)*B91))</f>
        <v>0</v>
      </c>
      <c r="AF91" s="417">
        <f>IF(AF76&lt;A91,0,IF((SUM(E91:AE91)+((C91-D91)*B91))&gt;(C91-D91),C91-D91-SUM(E91:AE91),(C91-D91)*B91))</f>
        <v>0</v>
      </c>
      <c r="AG91" s="417">
        <f>IF(AG76&lt;A91,0,IF((SUM(E91:AF91)+((C91-D91)*B91))&gt;(C91-D91),C91-D91-SUM(E91:AF91),(C91-D91)*B91))</f>
        <v>0</v>
      </c>
      <c r="AH91" s="417">
        <f>IF(AH76&lt;A91,0,IF((SUM(E91:AG91)+((C91-D91)*B91))&gt;(C91-D91),C91-D91-SUM(E91:AG91),(C91-D91)*B91))</f>
        <v>0</v>
      </c>
    </row>
    <row r="92" spans="1:34" s="75" customFormat="1" ht="13.15" customHeight="1" outlineLevel="1" x14ac:dyDescent="0.2">
      <c r="A92" s="416">
        <v>16</v>
      </c>
      <c r="B92" s="374">
        <v>0.04</v>
      </c>
      <c r="C92" s="378">
        <f>SUMIF('14 - Investimentos'!B:B,'15 - Depreciação'!A74,'14 - Investimentos'!T:T)</f>
        <v>0</v>
      </c>
      <c r="D92" s="417">
        <f>C92*B74</f>
        <v>0</v>
      </c>
      <c r="E92" s="417">
        <f>IF(E76&lt;A92,0,(C92-D92)*B92)</f>
        <v>0</v>
      </c>
      <c r="F92" s="417">
        <f>IF(F76&lt;A92,0,IF((SUM(E92:E92)+((C92-D92)*B92))&gt;(C92-D92),C92-D92-SUM(E92:E92),(C92-D92)*B92))</f>
        <v>0</v>
      </c>
      <c r="G92" s="417">
        <f>IF(G76&lt;A92,0,IF((SUM(E92:F92)+((C92-D92)*B92))&gt;(C92-D92),C92-D92-SUM(E92:F92),(C92-D92)*B92))</f>
        <v>0</v>
      </c>
      <c r="H92" s="417">
        <f>IF(H76&lt;A92,0,IF((SUM(E92:G92)+((C92-D92)*B92))&gt;(C92-D92),C92-D92-SUM(E92:G92),(C92-D92)*B92))</f>
        <v>0</v>
      </c>
      <c r="I92" s="417">
        <f>IF(I76&lt;A92,0,IF((SUM(E92:H92)+((C92-D92)*B92))&gt;(C92-D92),C92-D92-SUM(E92:H92),(C92-D92)*B92))</f>
        <v>0</v>
      </c>
      <c r="J92" s="417">
        <f>IF(J76&lt;A92,0,IF((SUM(E92:I92)+((C92-D92)*B92))&gt;(C92-D92),C92-D92-SUM(E92:I92),(C92-D92)*B92))</f>
        <v>0</v>
      </c>
      <c r="K92" s="417">
        <f>IF(K76&lt;A92,0,IF((SUM(E92:J92)+((C92-D92)*B92))&gt;(C92-D92),C92-D92-SUM(E92:J92),(C92-D92)*B92))</f>
        <v>0</v>
      </c>
      <c r="L92" s="417">
        <f>IF(L76&lt;A92,0,IF((SUM(E92:K92)+((C92-D92)*B92))&gt;(C92-D92),C92-D92-SUM(E92:K92),(C92-D92)*B92))</f>
        <v>0</v>
      </c>
      <c r="M92" s="417">
        <f>IF(M76&lt;A92,0,IF((SUM(E92:L92)+((C92-D92)*B92))&gt;(C92-D92),C92-D92-SUM(E92:L92),(C92-D92)*B92))</f>
        <v>0</v>
      </c>
      <c r="N92" s="417">
        <f>IF(N76&lt;A92,0,IF((SUM(E92:M92)+((C92-D92)*B92))&gt;(C92-D92),C92-D92-SUM(E92:M92),(C92-D92)*B92))</f>
        <v>0</v>
      </c>
      <c r="O92" s="417">
        <f>IF(O76&lt;A92,0,IF((SUM(E92:N92)+((C92-D92)*B92))&gt;(C92-D92),C92-D92-SUM(E92:N92),(C92-D92)*B92))</f>
        <v>0</v>
      </c>
      <c r="P92" s="417">
        <f>IF(P76&lt;A92,0,IF((SUM(E92:O92)+((C92-D92)*B92))&gt;(C92-D92),C92-D92-SUM(E92:O92),(C92-D92)*B92))</f>
        <v>0</v>
      </c>
      <c r="Q92" s="417">
        <f>IF(Q76&lt;A92,0,IF((SUM(E92:P92)+((C92-D92)*B92))&gt;(C92-D92),C92-D92-SUM(E92:P92),(C92-D92)*B92))</f>
        <v>0</v>
      </c>
      <c r="R92" s="417">
        <f>IF(R76&lt;A92,0,IF((SUM(E92:Q92)+((C92-D92)*B92))&gt;(C92-D92),C92-D92-SUM(E92:Q92),(C92-D92)*B92))</f>
        <v>0</v>
      </c>
      <c r="S92" s="417">
        <f>IF(S76&lt;A92,0,IF((SUM(E92:R92)+((C92-D92)*B92))&gt;(C92-D92),C92-D92-SUM(E92:R92),(C92-D92)*B92))</f>
        <v>0</v>
      </c>
      <c r="T92" s="417">
        <f>IF(T76&lt;A92,0,IF((SUM(E92:S92)+((C92-D92)*B92))&gt;(C92-D92),C92-D92-SUM(E92:S92),(C92-D92)*B92))</f>
        <v>0</v>
      </c>
      <c r="U92" s="417">
        <f>IF(U76&lt;A92,0,IF((SUM(E92:T92)+((C92-D92)*B92))&gt;(C92-D92),C92-D92-SUM(E92:T92),(C92-D92)*B92))</f>
        <v>0</v>
      </c>
      <c r="V92" s="417">
        <f>IF(V76&lt;A92,0,IF((SUM(E92:U92)+((C92-D92)*B92))&gt;(C92-D92),C92-D92-SUM(E92:U92),(C92-D92)*B92))</f>
        <v>0</v>
      </c>
      <c r="W92" s="417">
        <f>IF(W76&lt;A92,0,IF((SUM(E92:V92)+((C92-D92)*B92))&gt;(C92-D92),C92-D92-SUM(E92:V92),(C92-D92)*B92))</f>
        <v>0</v>
      </c>
      <c r="X92" s="417">
        <f>IF(X76&lt;A92,0,IF((SUM(E92:W92)+((C92-D92)*B92))&gt;(C92-D92),C92-D92-SUM(E92:W92),(C92-D92)*B92))</f>
        <v>0</v>
      </c>
      <c r="Y92" s="417">
        <f>IF(Y76&lt;A92,0,IF((SUM(E92:X92)+((C92-D92)*B92))&gt;(C92-D92),C92-D92-SUM(E92:X92),(C92-D92)*B92))</f>
        <v>0</v>
      </c>
      <c r="Z92" s="417">
        <f>IF(Z76&lt;A92,0,IF((SUM(E92:Y92)+((C92-D92)*B92))&gt;(C92-D92),C92-D92-SUM(E92:Y92),(C92-D92)*B92))</f>
        <v>0</v>
      </c>
      <c r="AA92" s="417">
        <f>IF(AA76&lt;A92,0,IF((SUM(E92:Z92)+((C92-D92)*B92))&gt;(C92-D92),C92-D92-SUM(E92:Z92),(C92-D92)*B92))</f>
        <v>0</v>
      </c>
      <c r="AB92" s="417">
        <f>IF(AB76&lt;A92,0,IF((SUM(E92:AA92)+((C92-D92)*B92))&gt;(C92-D92),C92-D92-SUM(E92:AA92),(C92-D92)*B92))</f>
        <v>0</v>
      </c>
      <c r="AC92" s="417">
        <f>IF(AC76&lt;A92,0,IF((SUM(E92:AB92)+((C92-D92)*B92))&gt;(C92-D92),C92-D92-SUM(E92:AB92),(C92-D92)*B92))</f>
        <v>0</v>
      </c>
      <c r="AD92" s="417">
        <f>IF(AD76&lt;A92,0,IF((SUM(E92:AC92)+((C92-D92)*B92))&gt;(C92-D92),C92-D92-SUM(E92:AC92),(C92-D92)*B92))</f>
        <v>0</v>
      </c>
      <c r="AE92" s="417">
        <f>IF(AE76&lt;A92,0,IF((SUM(E92:AD92)+((C92-D92)*B92))&gt;(C92-D92),C92-D92-SUM(E92:AD92),(C92-D92)*B92))</f>
        <v>0</v>
      </c>
      <c r="AF92" s="417">
        <f>IF(AF76&lt;A92,0,IF((SUM(E92:AE92)+((C92-D92)*B92))&gt;(C92-D92),C92-D92-SUM(E92:AE92),(C92-D92)*B92))</f>
        <v>0</v>
      </c>
      <c r="AG92" s="417">
        <f>IF(AG76&lt;A92,0,IF((SUM(E92:AF92)+((C92-D92)*B92))&gt;(C92-D92),C92-D92-SUM(E92:AF92),(C92-D92)*B92))</f>
        <v>0</v>
      </c>
      <c r="AH92" s="417">
        <f>IF(AH76&lt;A92,0,IF((SUM(E92:AG92)+((C92-D92)*B92))&gt;(C92-D92),C92-D92-SUM(E92:AG92),(C92-D92)*B92))</f>
        <v>0</v>
      </c>
    </row>
    <row r="93" spans="1:34" s="75" customFormat="1" ht="13.15" customHeight="1" outlineLevel="1" x14ac:dyDescent="0.2">
      <c r="A93" s="416">
        <v>17</v>
      </c>
      <c r="B93" s="374">
        <v>0.04</v>
      </c>
      <c r="C93" s="378">
        <f>SUMIF('14 - Investimentos'!B:B,'15 - Depreciação'!A74,'14 - Investimentos'!U:U)</f>
        <v>0</v>
      </c>
      <c r="D93" s="417">
        <f>C93*B74</f>
        <v>0</v>
      </c>
      <c r="E93" s="417">
        <f>IF(E76&lt;A93,0,(C93-D93)*B93)</f>
        <v>0</v>
      </c>
      <c r="F93" s="417">
        <f>IF(F76&lt;A93,0,IF((SUM(E93:E93)+((C93-D93)*B93))&gt;(C93-D93),C93-D93-SUM(E93:E93),(C93-D93)*B93))</f>
        <v>0</v>
      </c>
      <c r="G93" s="417">
        <f>IF(G76&lt;A93,0,IF((SUM(E93:F93)+((C93-D93)*B93))&gt;(C93-D93),C93-D93-SUM(E93:F93),(C93-D93)*B93))</f>
        <v>0</v>
      </c>
      <c r="H93" s="417">
        <f>IF(H76&lt;A93,0,IF((SUM(E93:G93)+((C93-D93)*B93))&gt;(C93-D93),C93-D93-SUM(E93:G93),(C93-D93)*B93))</f>
        <v>0</v>
      </c>
      <c r="I93" s="417">
        <f>IF(I76&lt;A93,0,IF((SUM(E93:H93)+((C93-D93)*B93))&gt;(C93-D93),C93-D93-SUM(E93:H93),(C93-D93)*B93))</f>
        <v>0</v>
      </c>
      <c r="J93" s="417">
        <f>IF(J76&lt;A93,0,IF((SUM(E93:I93)+((C93-D93)*B93))&gt;(C93-D93),C93-D93-SUM(E93:I93),(C93-D93)*B93))</f>
        <v>0</v>
      </c>
      <c r="K93" s="417">
        <f>IF(K76&lt;A93,0,IF((SUM(E93:J93)+((C93-D93)*B93))&gt;(C93-D93),C93-D93-SUM(E93:J93),(C93-D93)*B93))</f>
        <v>0</v>
      </c>
      <c r="L93" s="417">
        <f>IF(L76&lt;A93,0,IF((SUM(E93:K93)+((C93-D93)*B93))&gt;(C93-D93),C93-D93-SUM(E93:K93),(C93-D93)*B93))</f>
        <v>0</v>
      </c>
      <c r="M93" s="417">
        <f>IF(M76&lt;A93,0,IF((SUM(E93:L93)+((C93-D93)*B93))&gt;(C93-D93),C93-D93-SUM(E93:L93),(C93-D93)*B93))</f>
        <v>0</v>
      </c>
      <c r="N93" s="417">
        <f>IF(N76&lt;A93,0,IF((SUM(E93:M93)+((C93-D93)*B93))&gt;(C93-D93),C93-D93-SUM(E93:M93),(C93-D93)*B93))</f>
        <v>0</v>
      </c>
      <c r="O93" s="417">
        <f>IF(O76&lt;A93,0,IF((SUM(E93:N93)+((C93-D93)*B93))&gt;(C93-D93),C93-D93-SUM(E93:N93),(C93-D93)*B93))</f>
        <v>0</v>
      </c>
      <c r="P93" s="417">
        <f>IF(P76&lt;A93,0,IF((SUM(E93:O93)+((C93-D93)*B93))&gt;(C93-D93),C93-D93-SUM(E93:O93),(C93-D93)*B93))</f>
        <v>0</v>
      </c>
      <c r="Q93" s="417">
        <f>IF(Q76&lt;A93,0,IF((SUM(E93:P93)+((C93-D93)*B93))&gt;(C93-D93),C93-D93-SUM(E93:P93),(C93-D93)*B93))</f>
        <v>0</v>
      </c>
      <c r="R93" s="417">
        <f>IF(R76&lt;A93,0,IF((SUM(E93:Q93)+((C93-D93)*B93))&gt;(C93-D93),C93-D93-SUM(E93:Q93),(C93-D93)*B93))</f>
        <v>0</v>
      </c>
      <c r="S93" s="417">
        <f>IF(S76&lt;A93,0,IF((SUM(E93:R93)+((C93-D93)*B93))&gt;(C93-D93),C93-D93-SUM(E93:R93),(C93-D93)*B93))</f>
        <v>0</v>
      </c>
      <c r="T93" s="417">
        <f>IF(T76&lt;A93,0,IF((SUM(E93:S93)+((C93-D93)*B93))&gt;(C93-D93),C93-D93-SUM(E93:S93),(C93-D93)*B93))</f>
        <v>0</v>
      </c>
      <c r="U93" s="417">
        <f>IF(U76&lt;A93,0,IF((SUM(E93:T93)+((C93-D93)*B93))&gt;(C93-D93),C93-D93-SUM(E93:T93),(C93-D93)*B93))</f>
        <v>0</v>
      </c>
      <c r="V93" s="417">
        <f>IF(V76&lt;A93,0,IF((SUM(E93:U93)+((C93-D93)*B93))&gt;(C93-D93),C93-D93-SUM(E93:U93),(C93-D93)*B93))</f>
        <v>0</v>
      </c>
      <c r="W93" s="417">
        <f>IF(W76&lt;A93,0,IF((SUM(E93:V93)+((C93-D93)*B93))&gt;(C93-D93),C93-D93-SUM(E93:V93),(C93-D93)*B93))</f>
        <v>0</v>
      </c>
      <c r="X93" s="417">
        <f>IF(X76&lt;A93,0,IF((SUM(E93:W93)+((C93-D93)*B93))&gt;(C93-D93),C93-D93-SUM(E93:W93),(C93-D93)*B93))</f>
        <v>0</v>
      </c>
      <c r="Y93" s="417">
        <f>IF(Y76&lt;A93,0,IF((SUM(E93:X93)+((C93-D93)*B93))&gt;(C93-D93),C93-D93-SUM(E93:X93),(C93-D93)*B93))</f>
        <v>0</v>
      </c>
      <c r="Z93" s="417">
        <f>IF(Z76&lt;A93,0,IF((SUM(E93:Y93)+((C93-D93)*B93))&gt;(C93-D93),C93-D93-SUM(E93:Y93),(C93-D93)*B93))</f>
        <v>0</v>
      </c>
      <c r="AA93" s="417">
        <f>IF(AA76&lt;A93,0,IF((SUM(E93:Z93)+((C93-D93)*B93))&gt;(C93-D93),C93-D93-SUM(E93:Z93),(C93-D93)*B93))</f>
        <v>0</v>
      </c>
      <c r="AB93" s="417">
        <f>IF(AB76&lt;A93,0,IF((SUM(E93:AA93)+((C93-D93)*B93))&gt;(C93-D93),C93-D93-SUM(E93:AA93),(C93-D93)*B93))</f>
        <v>0</v>
      </c>
      <c r="AC93" s="417">
        <f>IF(AC76&lt;A93,0,IF((SUM(E93:AB93)+((C93-D93)*B93))&gt;(C93-D93),C93-D93-SUM(E93:AB93),(C93-D93)*B93))</f>
        <v>0</v>
      </c>
      <c r="AD93" s="417">
        <f>IF(AD76&lt;A93,0,IF((SUM(E93:AC93)+((C93-D93)*B93))&gt;(C93-D93),C93-D93-SUM(E93:AC93),(C93-D93)*B93))</f>
        <v>0</v>
      </c>
      <c r="AE93" s="417">
        <f>IF(AE76&lt;A93,0,IF((SUM(E93:AD93)+((C93-D93)*B93))&gt;(C93-D93),C93-D93-SUM(E93:AD93),(C93-D93)*B93))</f>
        <v>0</v>
      </c>
      <c r="AF93" s="417">
        <f>IF(AF76&lt;A93,0,IF((SUM(E93:AE93)+((C93-D93)*B93))&gt;(C93-D93),C93-D93-SUM(E93:AE93),(C93-D93)*B93))</f>
        <v>0</v>
      </c>
      <c r="AG93" s="417">
        <f>IF(AG76&lt;A93,0,IF((SUM(E93:AF93)+((C93-D93)*B93))&gt;(C93-D93),C93-D93-SUM(E93:AF93),(C93-D93)*B93))</f>
        <v>0</v>
      </c>
      <c r="AH93" s="417">
        <f>IF(AH76&lt;A93,0,IF((SUM(E93:AG93)+((C93-D93)*B93))&gt;(C93-D93),C93-D93-SUM(E93:AG93),(C93-D93)*B93))</f>
        <v>0</v>
      </c>
    </row>
    <row r="94" spans="1:34" s="75" customFormat="1" ht="13.15" customHeight="1" outlineLevel="1" x14ac:dyDescent="0.2">
      <c r="A94" s="416">
        <v>18</v>
      </c>
      <c r="B94" s="374">
        <v>0.04</v>
      </c>
      <c r="C94" s="378">
        <f>SUMIF('14 - Investimentos'!B:B,'15 - Depreciação'!A74,'14 - Investimentos'!V:V)</f>
        <v>0</v>
      </c>
      <c r="D94" s="417">
        <f>C94*B74</f>
        <v>0</v>
      </c>
      <c r="E94" s="417">
        <f>IF(E76&lt;A94,0,(C94-D94)*B94)</f>
        <v>0</v>
      </c>
      <c r="F94" s="417">
        <f>IF(F76&lt;A94,0,IF((SUM(E94:E94)+((C94-D94)*B94))&gt;(C94-D94),C94-D94-SUM(E94:E94),(C94-D94)*B94))</f>
        <v>0</v>
      </c>
      <c r="G94" s="417">
        <f>IF(G76&lt;A94,0,IF((SUM(E94:F94)+((C94-D94)*B94))&gt;(C94-D94),C94-D94-SUM(E94:F94),(C94-D94)*B94))</f>
        <v>0</v>
      </c>
      <c r="H94" s="417">
        <f>IF(H76&lt;A94,0,IF((SUM(E94:G94)+((C94-D94)*B94))&gt;(C94-D94),C94-D94-SUM(E94:G94),(C94-D94)*B94))</f>
        <v>0</v>
      </c>
      <c r="I94" s="417">
        <f>IF(I76&lt;A94,0,IF((SUM(E94:H94)+((C94-D94)*B94))&gt;(C94-D94),C94-D94-SUM(E94:H94),(C94-D94)*B94))</f>
        <v>0</v>
      </c>
      <c r="J94" s="417">
        <f>IF(J76&lt;A94,0,IF((SUM(E94:I94)+((C94-D94)*B94))&gt;(C94-D94),C94-D94-SUM(E94:I94),(C94-D94)*B94))</f>
        <v>0</v>
      </c>
      <c r="K94" s="417">
        <f>IF(K76&lt;A94,0,IF((SUM(E94:J94)+((C94-D94)*B94))&gt;(C94-D94),C94-D94-SUM(E94:J94),(C94-D94)*B94))</f>
        <v>0</v>
      </c>
      <c r="L94" s="417">
        <f>IF(L76&lt;A94,0,IF((SUM(E94:K94)+((C94-D94)*B94))&gt;(C94-D94),C94-D94-SUM(E94:K94),(C94-D94)*B94))</f>
        <v>0</v>
      </c>
      <c r="M94" s="417">
        <f>IF(M76&lt;A94,0,IF((SUM(E94:L94)+((C94-D94)*B94))&gt;(C94-D94),C94-D94-SUM(E94:L94),(C94-D94)*B94))</f>
        <v>0</v>
      </c>
      <c r="N94" s="417">
        <f>IF(N76&lt;A94,0,IF((SUM(E94:M94)+((C94-D94)*B94))&gt;(C94-D94),C94-D94-SUM(E94:M94),(C94-D94)*B94))</f>
        <v>0</v>
      </c>
      <c r="O94" s="417">
        <f>IF(O76&lt;A94,0,IF((SUM(E94:N94)+((C94-D94)*B94))&gt;(C94-D94),C94-D94-SUM(E94:N94),(C94-D94)*B94))</f>
        <v>0</v>
      </c>
      <c r="P94" s="417">
        <f>IF(P76&lt;A94,0,IF((SUM(E94:O94)+((C94-D94)*B94))&gt;(C94-D94),C94-D94-SUM(E94:O94),(C94-D94)*B94))</f>
        <v>0</v>
      </c>
      <c r="Q94" s="417">
        <f>IF(Q76&lt;A94,0,IF((SUM(E94:P94)+((C94-D94)*B94))&gt;(C94-D94),C94-D94-SUM(E94:P94),(C94-D94)*B94))</f>
        <v>0</v>
      </c>
      <c r="R94" s="417">
        <f>IF(R76&lt;A94,0,IF((SUM(E94:Q94)+((C94-D94)*B94))&gt;(C94-D94),C94-D94-SUM(E94:Q94),(C94-D94)*B94))</f>
        <v>0</v>
      </c>
      <c r="S94" s="417">
        <f>IF(S76&lt;A94,0,IF((SUM(E94:R94)+((C94-D94)*B94))&gt;(C94-D94),C94-D94-SUM(E94:R94),(C94-D94)*B94))</f>
        <v>0</v>
      </c>
      <c r="T94" s="417">
        <f>IF(T76&lt;A94,0,IF((SUM(E94:S94)+((C94-D94)*B94))&gt;(C94-D94),C94-D94-SUM(E94:S94),(C94-D94)*B94))</f>
        <v>0</v>
      </c>
      <c r="U94" s="417">
        <f>IF(U76&lt;A94,0,IF((SUM(E94:T94)+((C94-D94)*B94))&gt;(C94-D94),C94-D94-SUM(E94:T94),(C94-D94)*B94))</f>
        <v>0</v>
      </c>
      <c r="V94" s="417">
        <f>IF(V76&lt;A94,0,IF((SUM(E94:U94)+((C94-D94)*B94))&gt;(C94-D94),C94-D94-SUM(E94:U94),(C94-D94)*B94))</f>
        <v>0</v>
      </c>
      <c r="W94" s="417">
        <f>IF(W76&lt;A94,0,IF((SUM(E94:V94)+((C94-D94)*B94))&gt;(C94-D94),C94-D94-SUM(E94:V94),(C94-D94)*B94))</f>
        <v>0</v>
      </c>
      <c r="X94" s="417">
        <f>IF(X76&lt;A94,0,IF((SUM(E94:W94)+((C94-D94)*B94))&gt;(C94-D94),C94-D94-SUM(E94:W94),(C94-D94)*B94))</f>
        <v>0</v>
      </c>
      <c r="Y94" s="417">
        <f>IF(Y76&lt;A94,0,IF((SUM(E94:X94)+((C94-D94)*B94))&gt;(C94-D94),C94-D94-SUM(E94:X94),(C94-D94)*B94))</f>
        <v>0</v>
      </c>
      <c r="Z94" s="417">
        <f>IF(Z76&lt;A94,0,IF((SUM(E94:Y94)+((C94-D94)*B94))&gt;(C94-D94),C94-D94-SUM(E94:Y94),(C94-D94)*B94))</f>
        <v>0</v>
      </c>
      <c r="AA94" s="417">
        <f>IF(AA76&lt;A94,0,IF((SUM(E94:Z94)+((C94-D94)*B94))&gt;(C94-D94),C94-D94-SUM(E94:Z94),(C94-D94)*B94))</f>
        <v>0</v>
      </c>
      <c r="AB94" s="417">
        <f>IF(AB76&lt;A94,0,IF((SUM(E94:AA94)+((C94-D94)*B94))&gt;(C94-D94),C94-D94-SUM(E94:AA94),(C94-D94)*B94))</f>
        <v>0</v>
      </c>
      <c r="AC94" s="417">
        <f>IF(AC76&lt;A94,0,IF((SUM(E94:AB94)+((C94-D94)*B94))&gt;(C94-D94),C94-D94-SUM(E94:AB94),(C94-D94)*B94))</f>
        <v>0</v>
      </c>
      <c r="AD94" s="417">
        <f>IF(AD76&lt;A94,0,IF((SUM(E94:AC94)+((C94-D94)*B94))&gt;(C94-D94),C94-D94-SUM(E94:AC94),(C94-D94)*B94))</f>
        <v>0</v>
      </c>
      <c r="AE94" s="417">
        <f>IF(AE76&lt;A94,0,IF((SUM(E94:AD94)+((C94-D94)*B94))&gt;(C94-D94),C94-D94-SUM(E94:AD94),(C94-D94)*B94))</f>
        <v>0</v>
      </c>
      <c r="AF94" s="417">
        <f>IF(AF76&lt;A94,0,IF((SUM(E94:AE94)+((C94-D94)*B94))&gt;(C94-D94),C94-D94-SUM(E94:AE94),(C94-D94)*B94))</f>
        <v>0</v>
      </c>
      <c r="AG94" s="417">
        <f>IF(AG76&lt;A94,0,IF((SUM(E94:AF94)+((C94-D94)*B94))&gt;(C94-D94),C94-D94-SUM(E94:AF94),(C94-D94)*B94))</f>
        <v>0</v>
      </c>
      <c r="AH94" s="417">
        <f>IF(AH76&lt;A94,0,IF((SUM(E94:AG94)+((C94-D94)*B94))&gt;(C94-D94),C94-D94-SUM(E94:AG94),(C94-D94)*B94))</f>
        <v>0</v>
      </c>
    </row>
    <row r="95" spans="1:34" s="75" customFormat="1" ht="13.15" customHeight="1" outlineLevel="1" x14ac:dyDescent="0.2">
      <c r="A95" s="416">
        <v>19</v>
      </c>
      <c r="B95" s="374">
        <v>0.04</v>
      </c>
      <c r="C95" s="378">
        <f>SUMIF('14 - Investimentos'!B:B,'15 - Depreciação'!A74,'14 - Investimentos'!W:W)</f>
        <v>0</v>
      </c>
      <c r="D95" s="417">
        <f>C95*B74</f>
        <v>0</v>
      </c>
      <c r="E95" s="417">
        <f>IF(E76&lt;A95,0,(C95-D95)*B95)</f>
        <v>0</v>
      </c>
      <c r="F95" s="417">
        <f>IF(F76&lt;A95,0,IF((SUM(E95:E95)+((C95-D95)*B95))&gt;(C95-D95),C95-D95-SUM(E95:E95),(C95-D95)*B95))</f>
        <v>0</v>
      </c>
      <c r="G95" s="417">
        <f>IF(G76&lt;A95,0,IF((SUM(E95:F95)+((C95-D95)*B95))&gt;(C95-D95),C95-D95-SUM(E95:F95),(C95-D95)*B95))</f>
        <v>0</v>
      </c>
      <c r="H95" s="417">
        <f>IF(H76&lt;A95,0,IF((SUM(E95:G95)+((C95-D95)*B95))&gt;(C95-D95),C95-D95-SUM(E95:G95),(C95-D95)*B95))</f>
        <v>0</v>
      </c>
      <c r="I95" s="417">
        <f>IF(I76&lt;A95,0,IF((SUM(E95:H95)+((C95-D95)*B95))&gt;(C95-D95),C95-D95-SUM(E95:H95),(C95-D95)*B95))</f>
        <v>0</v>
      </c>
      <c r="J95" s="417">
        <f>IF(J76&lt;A95,0,IF((SUM(E95:I95)+((C95-D95)*B95))&gt;(C95-D95),C95-D95-SUM(E95:I95),(C95-D95)*B95))</f>
        <v>0</v>
      </c>
      <c r="K95" s="417">
        <f>IF(K76&lt;A95,0,IF((SUM(E95:J95)+((C95-D95)*B95))&gt;(C95-D95),C95-D95-SUM(E95:J95),(C95-D95)*B95))</f>
        <v>0</v>
      </c>
      <c r="L95" s="417">
        <f>IF(L76&lt;A95,0,IF((SUM(E95:K95)+((C95-D95)*B95))&gt;(C95-D95),C95-D95-SUM(E95:K95),(C95-D95)*B95))</f>
        <v>0</v>
      </c>
      <c r="M95" s="417">
        <f>IF(M76&lt;A95,0,IF((SUM(E95:L95)+((C95-D95)*B95))&gt;(C95-D95),C95-D95-SUM(E95:L95),(C95-D95)*B95))</f>
        <v>0</v>
      </c>
      <c r="N95" s="417">
        <f>IF(N76&lt;A95,0,IF((SUM(E95:M95)+((C95-D95)*B95))&gt;(C95-D95),C95-D95-SUM(E95:M95),(C95-D95)*B95))</f>
        <v>0</v>
      </c>
      <c r="O95" s="417">
        <f>IF(O76&lt;A95,0,IF((SUM(E95:N95)+((C95-D95)*B95))&gt;(C95-D95),C95-D95-SUM(E95:N95),(C95-D95)*B95))</f>
        <v>0</v>
      </c>
      <c r="P95" s="417">
        <f>IF(P76&lt;A95,0,IF((SUM(E95:O95)+((C95-D95)*B95))&gt;(C95-D95),C95-D95-SUM(E95:O95),(C95-D95)*B95))</f>
        <v>0</v>
      </c>
      <c r="Q95" s="417">
        <f>IF(Q76&lt;A95,0,IF((SUM(E95:P95)+((C95-D95)*B95))&gt;(C95-D95),C95-D95-SUM(E95:P95),(C95-D95)*B95))</f>
        <v>0</v>
      </c>
      <c r="R95" s="417">
        <f>IF(R76&lt;A95,0,IF((SUM(E95:Q95)+((C95-D95)*B95))&gt;(C95-D95),C95-D95-SUM(E95:Q95),(C95-D95)*B95))</f>
        <v>0</v>
      </c>
      <c r="S95" s="417">
        <f>IF(S76&lt;A95,0,IF((SUM(E95:R95)+((C95-D95)*B95))&gt;(C95-D95),C95-D95-SUM(E95:R95),(C95-D95)*B95))</f>
        <v>0</v>
      </c>
      <c r="T95" s="417">
        <f>IF(T76&lt;A95,0,IF((SUM(E95:S95)+((C95-D95)*B95))&gt;(C95-D95),C95-D95-SUM(E95:S95),(C95-D95)*B95))</f>
        <v>0</v>
      </c>
      <c r="U95" s="417">
        <f>IF(U76&lt;A95,0,IF((SUM(E95:T95)+((C95-D95)*B95))&gt;(C95-D95),C95-D95-SUM(E95:T95),(C95-D95)*B95))</f>
        <v>0</v>
      </c>
      <c r="V95" s="417">
        <f>IF(V76&lt;A95,0,IF((SUM(E95:U95)+((C95-D95)*B95))&gt;(C95-D95),C95-D95-SUM(E95:U95),(C95-D95)*B95))</f>
        <v>0</v>
      </c>
      <c r="W95" s="417">
        <f>IF(W76&lt;A95,0,IF((SUM(E95:V95)+((C95-D95)*B95))&gt;(C95-D95),C95-D95-SUM(E95:V95),(C95-D95)*B95))</f>
        <v>0</v>
      </c>
      <c r="X95" s="417">
        <f>IF(X76&lt;A95,0,IF((SUM(E95:W95)+((C95-D95)*B95))&gt;(C95-D95),C95-D95-SUM(E95:W95),(C95-D95)*B95))</f>
        <v>0</v>
      </c>
      <c r="Y95" s="417">
        <f>IF(Y76&lt;A95,0,IF((SUM(E95:X95)+((C95-D95)*B95))&gt;(C95-D95),C95-D95-SUM(E95:X95),(C95-D95)*B95))</f>
        <v>0</v>
      </c>
      <c r="Z95" s="417">
        <f>IF(Z76&lt;A95,0,IF((SUM(E95:Y95)+((C95-D95)*B95))&gt;(C95-D95),C95-D95-SUM(E95:Y95),(C95-D95)*B95))</f>
        <v>0</v>
      </c>
      <c r="AA95" s="417">
        <f>IF(AA76&lt;A95,0,IF((SUM(E95:Z95)+((C95-D95)*B95))&gt;(C95-D95),C95-D95-SUM(E95:Z95),(C95-D95)*B95))</f>
        <v>0</v>
      </c>
      <c r="AB95" s="417">
        <f>IF(AB76&lt;A95,0,IF((SUM(E95:AA95)+((C95-D95)*B95))&gt;(C95-D95),C95-D95-SUM(E95:AA95),(C95-D95)*B95))</f>
        <v>0</v>
      </c>
      <c r="AC95" s="417">
        <f>IF(AC76&lt;A95,0,IF((SUM(E95:AB95)+((C95-D95)*B95))&gt;(C95-D95),C95-D95-SUM(E95:AB95),(C95-D95)*B95))</f>
        <v>0</v>
      </c>
      <c r="AD95" s="417">
        <f>IF(AD76&lt;A95,0,IF((SUM(E95:AC95)+((C95-D95)*B95))&gt;(C95-D95),C95-D95-SUM(E95:AC95),(C95-D95)*B95))</f>
        <v>0</v>
      </c>
      <c r="AE95" s="417">
        <f>IF(AE76&lt;A95,0,IF((SUM(E95:AD95)+((C95-D95)*B95))&gt;(C95-D95),C95-D95-SUM(E95:AD95),(C95-D95)*B95))</f>
        <v>0</v>
      </c>
      <c r="AF95" s="417">
        <f>IF(AF76&lt;A95,0,IF((SUM(E95:AE95)+((C95-D95)*B95))&gt;(C95-D95),C95-D95-SUM(E95:AE95),(C95-D95)*B95))</f>
        <v>0</v>
      </c>
      <c r="AG95" s="417">
        <f>IF(AG76&lt;A95,0,IF((SUM(E95:AF95)+((C95-D95)*B95))&gt;(C95-D95),C95-D95-SUM(E95:AF95),(C95-D95)*B95))</f>
        <v>0</v>
      </c>
      <c r="AH95" s="417">
        <f>IF(AH76&lt;A95,0,IF((SUM(E95:AG95)+((C95-D95)*B95))&gt;(C95-D95),C95-D95-SUM(E95:AG95),(C95-D95)*B95))</f>
        <v>0</v>
      </c>
    </row>
    <row r="96" spans="1:34" s="75" customFormat="1" ht="13.15" customHeight="1" outlineLevel="1" x14ac:dyDescent="0.2">
      <c r="A96" s="416">
        <v>20</v>
      </c>
      <c r="B96" s="374">
        <v>0.04</v>
      </c>
      <c r="C96" s="378">
        <f>SUMIF('14 - Investimentos'!B:B,'15 - Depreciação'!A74,'14 - Investimentos'!X:X)</f>
        <v>0</v>
      </c>
      <c r="D96" s="417">
        <f>C96*B74</f>
        <v>0</v>
      </c>
      <c r="E96" s="417">
        <f>IF(E76&lt;A96,0,(C96-D96)*B96)</f>
        <v>0</v>
      </c>
      <c r="F96" s="417">
        <f>IF(F76&lt;A96,0,IF((SUM(E96:E96)+((C96-D96)*B96))&gt;(C96-D96),C96-D96-SUM(E96:E96),(C96-D96)*B96))</f>
        <v>0</v>
      </c>
      <c r="G96" s="417">
        <f>IF(G76&lt;A96,0,IF((SUM(E96:F96)+((C96-D96)*B96))&gt;(C96-D96),C96-D96-SUM(E96:F96),(C96-D96)*B96))</f>
        <v>0</v>
      </c>
      <c r="H96" s="417">
        <f>IF(H76&lt;A96,0,IF((SUM(E96:G96)+((C96-D96)*B96))&gt;(C96-D96),C96-D96-SUM(E96:G96),(C96-D96)*B96))</f>
        <v>0</v>
      </c>
      <c r="I96" s="417">
        <f>IF(I76&lt;A96,0,IF((SUM(E96:H96)+((C96-D96)*B96))&gt;(C96-D96),C96-D96-SUM(E96:H96),(C96-D96)*B96))</f>
        <v>0</v>
      </c>
      <c r="J96" s="417">
        <f>IF(J76&lt;A96,0,IF((SUM(E96:I96)+((C96-D96)*B96))&gt;(C96-D96),C96-D96-SUM(E96:I96),(C96-D96)*B96))</f>
        <v>0</v>
      </c>
      <c r="K96" s="417">
        <f>IF(K76&lt;A96,0,IF((SUM(E96:J96)+((C96-D96)*B96))&gt;(C96-D96),C96-D96-SUM(E96:J96),(C96-D96)*B96))</f>
        <v>0</v>
      </c>
      <c r="L96" s="417">
        <f>IF(L76&lt;A96,0,IF((SUM(E96:K96)+((C96-D96)*B96))&gt;(C96-D96),C96-D96-SUM(E96:K96),(C96-D96)*B96))</f>
        <v>0</v>
      </c>
      <c r="M96" s="417">
        <f>IF(M76&lt;A96,0,IF((SUM(E96:L96)+((C96-D96)*B96))&gt;(C96-D96),C96-D96-SUM(E96:L96),(C96-D96)*B96))</f>
        <v>0</v>
      </c>
      <c r="N96" s="417">
        <f>IF(N76&lt;A96,0,IF((SUM(E96:M96)+((C96-D96)*B96))&gt;(C96-D96),C96-D96-SUM(E96:M96),(C96-D96)*B96))</f>
        <v>0</v>
      </c>
      <c r="O96" s="417">
        <f>IF(O76&lt;A96,0,IF((SUM(E96:N96)+((C96-D96)*B96))&gt;(C96-D96),C96-D96-SUM(E96:N96),(C96-D96)*B96))</f>
        <v>0</v>
      </c>
      <c r="P96" s="417">
        <f>IF(P76&lt;A96,0,IF((SUM(E96:O96)+((C96-D96)*B96))&gt;(C96-D96),C96-D96-SUM(E96:O96),(C96-D96)*B96))</f>
        <v>0</v>
      </c>
      <c r="Q96" s="417">
        <f>IF(Q76&lt;A96,0,IF((SUM(E96:P96)+((C96-D96)*B96))&gt;(C96-D96),C96-D96-SUM(E96:P96),(C96-D96)*B96))</f>
        <v>0</v>
      </c>
      <c r="R96" s="417">
        <f>IF(R76&lt;A96,0,IF((SUM(E96:Q96)+((C96-D96)*B96))&gt;(C96-D96),C96-D96-SUM(E96:Q96),(C96-D96)*B96))</f>
        <v>0</v>
      </c>
      <c r="S96" s="417">
        <f>IF(S76&lt;A96,0,IF((SUM(E96:R96)+((C96-D96)*B96))&gt;(C96-D96),C96-D96-SUM(E96:R96),(C96-D96)*B96))</f>
        <v>0</v>
      </c>
      <c r="T96" s="417">
        <f>IF(T76&lt;A96,0,IF((SUM(E96:S96)+((C96-D96)*B96))&gt;(C96-D96),C96-D96-SUM(E96:S96),(C96-D96)*B96))</f>
        <v>0</v>
      </c>
      <c r="U96" s="417">
        <f>IF(U76&lt;A96,0,IF((SUM(E96:T96)+((C96-D96)*B96))&gt;(C96-D96),C96-D96-SUM(E96:T96),(C96-D96)*B96))</f>
        <v>0</v>
      </c>
      <c r="V96" s="417">
        <f>IF(V76&lt;A96,0,IF((SUM(E96:U96)+((C96-D96)*B96))&gt;(C96-D96),C96-D96-SUM(E96:U96),(C96-D96)*B96))</f>
        <v>0</v>
      </c>
      <c r="W96" s="417">
        <f>IF(W76&lt;A96,0,IF((SUM(E96:V96)+((C96-D96)*B96))&gt;(C96-D96),C96-D96-SUM(E96:V96),(C96-D96)*B96))</f>
        <v>0</v>
      </c>
      <c r="X96" s="417">
        <f>IF(X76&lt;A96,0,IF((SUM(E96:W96)+((C96-D96)*B96))&gt;(C96-D96),C96-D96-SUM(E96:W96),(C96-D96)*B96))</f>
        <v>0</v>
      </c>
      <c r="Y96" s="417">
        <f>IF(Y76&lt;A96,0,IF((SUM(E96:X96)+((C96-D96)*B96))&gt;(C96-D96),C96-D96-SUM(E96:X96),(C96-D96)*B96))</f>
        <v>0</v>
      </c>
      <c r="Z96" s="417">
        <f>IF(Z76&lt;A96,0,IF((SUM(E96:Y96)+((C96-D96)*B96))&gt;(C96-D96),C96-D96-SUM(E96:Y96),(C96-D96)*B96))</f>
        <v>0</v>
      </c>
      <c r="AA96" s="417">
        <f>IF(AA76&lt;A96,0,IF((SUM(E96:Z96)+((C96-D96)*B96))&gt;(C96-D96),C96-D96-SUM(E96:Z96),(C96-D96)*B96))</f>
        <v>0</v>
      </c>
      <c r="AB96" s="417">
        <f>IF(AB76&lt;A96,0,IF((SUM(E96:AA96)+((C96-D96)*B96))&gt;(C96-D96),C96-D96-SUM(E96:AA96),(C96-D96)*B96))</f>
        <v>0</v>
      </c>
      <c r="AC96" s="417">
        <f>IF(AC76&lt;A96,0,IF((SUM(E96:AB96)+((C96-D96)*B96))&gt;(C96-D96),C96-D96-SUM(E96:AB96),(C96-D96)*B96))</f>
        <v>0</v>
      </c>
      <c r="AD96" s="417">
        <f>IF(AD76&lt;A96,0,IF((SUM(E96:AC96)+((C96-D96)*B96))&gt;(C96-D96),C96-D96-SUM(E96:AC96),(C96-D96)*B96))</f>
        <v>0</v>
      </c>
      <c r="AE96" s="417">
        <f>IF(AE76&lt;A96,0,IF((SUM(E96:AD96)+((C96-D96)*B96))&gt;(C96-D96),C96-D96-SUM(E96:AD96),(C96-D96)*B96))</f>
        <v>0</v>
      </c>
      <c r="AF96" s="417">
        <f>IF(AF76&lt;A96,0,IF((SUM(E96:AE96)+((C96-D96)*B96))&gt;(C96-D96),C96-D96-SUM(E96:AE96),(C96-D96)*B96))</f>
        <v>0</v>
      </c>
      <c r="AG96" s="417">
        <f>IF(AG76&lt;A96,0,IF((SUM(E96:AF96)+((C96-D96)*B96))&gt;(C96-D96),C96-D96-SUM(E96:AF96),(C96-D96)*B96))</f>
        <v>0</v>
      </c>
      <c r="AH96" s="417">
        <f>IF(AH76&lt;A96,0,IF((SUM(E96:AG96)+((C96-D96)*B96))&gt;(C96-D96),C96-D96-SUM(E96:AG96),(C96-D96)*B96))</f>
        <v>0</v>
      </c>
    </row>
    <row r="97" spans="1:34" s="75" customFormat="1" ht="13.15" customHeight="1" outlineLevel="1" x14ac:dyDescent="0.2">
      <c r="A97" s="416">
        <v>21</v>
      </c>
      <c r="B97" s="374">
        <v>0.04</v>
      </c>
      <c r="C97" s="378">
        <f>SUMIF('14 - Investimentos'!B:B,'15 - Depreciação'!A74,'14 - Investimentos'!Y:Y)</f>
        <v>767552.71200000006</v>
      </c>
      <c r="D97" s="417">
        <f>C97*B74</f>
        <v>0</v>
      </c>
      <c r="E97" s="417">
        <f>IF(E76&lt;A97,0,(C97-D97)*B97)</f>
        <v>0</v>
      </c>
      <c r="F97" s="417">
        <f>IF(F76&lt;A97,0,IF((SUM(E97:E97)+((C97-D97)*B97))&gt;(C97-D97),C97-D97-SUM(E97:E97),(C97-D97)*B97))</f>
        <v>0</v>
      </c>
      <c r="G97" s="417">
        <f>IF(G76&lt;A97,0,IF((SUM(E97:F97)+((C97-D97)*B97))&gt;(C97-D97),C97-D97-SUM(E97:F97),(C97-D97)*B97))</f>
        <v>0</v>
      </c>
      <c r="H97" s="417">
        <f>IF(H76&lt;A97,0,IF((SUM(E97:G97)+((C97-D97)*B97))&gt;(C97-D97),C97-D97-SUM(E97:G97),(C97-D97)*B97))</f>
        <v>0</v>
      </c>
      <c r="I97" s="417">
        <f>IF(I76&lt;A97,0,IF((SUM(E97:H97)+((C97-D97)*B97))&gt;(C97-D97),C97-D97-SUM(E97:H97),(C97-D97)*B97))</f>
        <v>0</v>
      </c>
      <c r="J97" s="417">
        <f>IF(J76&lt;A97,0,IF((SUM(E97:I97)+((C97-D97)*B97))&gt;(C97-D97),C97-D97-SUM(E97:I97),(C97-D97)*B97))</f>
        <v>0</v>
      </c>
      <c r="K97" s="417">
        <f>IF(K76&lt;A97,0,IF((SUM(E97:J97)+((C97-D97)*B97))&gt;(C97-D97),C97-D97-SUM(E97:J97),(C97-D97)*B97))</f>
        <v>0</v>
      </c>
      <c r="L97" s="417">
        <f>IF(L76&lt;A97,0,IF((SUM(E97:K97)+((C97-D97)*B97))&gt;(C97-D97),C97-D97-SUM(E97:K97),(C97-D97)*B97))</f>
        <v>0</v>
      </c>
      <c r="M97" s="417">
        <f>IF(M76&lt;A97,0,IF((SUM(E97:L97)+((C97-D97)*B97))&gt;(C97-D97),C97-D97-SUM(E97:L97),(C97-D97)*B97))</f>
        <v>0</v>
      </c>
      <c r="N97" s="417">
        <f>IF(N76&lt;A97,0,IF((SUM(E97:M97)+((C97-D97)*B97))&gt;(C97-D97),C97-D97-SUM(E97:M97),(C97-D97)*B97))</f>
        <v>0</v>
      </c>
      <c r="O97" s="417">
        <f>IF(O76&lt;A97,0,IF((SUM(E97:N97)+((C97-D97)*B97))&gt;(C97-D97),C97-D97-SUM(E97:N97),(C97-D97)*B97))</f>
        <v>0</v>
      </c>
      <c r="P97" s="417">
        <f>IF(P76&lt;A97,0,IF((SUM(E97:O97)+((C97-D97)*B97))&gt;(C97-D97),C97-D97-SUM(E97:O97),(C97-D97)*B97))</f>
        <v>0</v>
      </c>
      <c r="Q97" s="417">
        <f>IF(Q76&lt;A97,0,IF((SUM(E97:P97)+((C97-D97)*B97))&gt;(C97-D97),C97-D97-SUM(E97:P97),(C97-D97)*B97))</f>
        <v>0</v>
      </c>
      <c r="R97" s="417">
        <f>IF(R76&lt;A97,0,IF((SUM(E97:Q97)+((C97-D97)*B97))&gt;(C97-D97),C97-D97-SUM(E97:Q97),(C97-D97)*B97))</f>
        <v>0</v>
      </c>
      <c r="S97" s="417">
        <f>IF(S76&lt;A97,0,IF((SUM(E97:R97)+((C97-D97)*B97))&gt;(C97-D97),C97-D97-SUM(E97:R97),(C97-D97)*B97))</f>
        <v>0</v>
      </c>
      <c r="T97" s="417">
        <f>IF(T76&lt;A97,0,IF((SUM(E97:S97)+((C97-D97)*B97))&gt;(C97-D97),C97-D97-SUM(E97:S97),(C97-D97)*B97))</f>
        <v>0</v>
      </c>
      <c r="U97" s="417">
        <f>IF(U76&lt;A97,0,IF((SUM(E97:T97)+((C97-D97)*B97))&gt;(C97-D97),C97-D97-SUM(E97:T97),(C97-D97)*B97))</f>
        <v>0</v>
      </c>
      <c r="V97" s="417">
        <f>IF(V76&lt;A97,0,IF((SUM(E97:U97)+((C97-D97)*B97))&gt;(C97-D97),C97-D97-SUM(E97:U97),(C97-D97)*B97))</f>
        <v>0</v>
      </c>
      <c r="W97" s="417">
        <f>IF(W76&lt;A97,0,IF((SUM(E97:V97)+((C97-D97)*B97))&gt;(C97-D97),C97-D97-SUM(E97:V97),(C97-D97)*B97))</f>
        <v>0</v>
      </c>
      <c r="X97" s="417">
        <f>IF(X76&lt;A97,0,IF((SUM(E97:W97)+((C97-D97)*B97))&gt;(C97-D97),C97-D97-SUM(E97:W97),(C97-D97)*B97))</f>
        <v>0</v>
      </c>
      <c r="Y97" s="417">
        <f>IF(Y76&lt;A97,0,IF((SUM(E97:X97)+((C97-D97)*B97))&gt;(C97-D97),C97-D97-SUM(E97:X97),(C97-D97)*B97))</f>
        <v>30702.108480000003</v>
      </c>
      <c r="Z97" s="417">
        <f>IF(Z76&lt;A97,0,IF((SUM(E97:Y97)+((C97-D97)*B97))&gt;(C97-D97),C97-D97-SUM(E97:Y97),(C97-D97)*B97))</f>
        <v>30702.108480000003</v>
      </c>
      <c r="AA97" s="417">
        <f>IF(AA76&lt;A97,0,IF((SUM(E97:Z97)+((C97-D97)*B97))&gt;(C97-D97),C97-D97-SUM(E97:Z97),(C97-D97)*B97))</f>
        <v>30702.108480000003</v>
      </c>
      <c r="AB97" s="417">
        <f>IF(AB76&lt;A97,0,IF((SUM(E97:AA97)+((C97-D97)*B97))&gt;(C97-D97),C97-D97-SUM(E97:AA97),(C97-D97)*B97))</f>
        <v>30702.108480000003</v>
      </c>
      <c r="AC97" s="417">
        <f>IF(AC76&lt;A97,0,IF((SUM(E97:AB97)+((C97-D97)*B97))&gt;(C97-D97),C97-D97-SUM(E97:AB97),(C97-D97)*B97))</f>
        <v>30702.108480000003</v>
      </c>
      <c r="AD97" s="417">
        <f>IF(AD76&lt;A97,0,IF((SUM(E97:AC97)+((C97-D97)*B97))&gt;(C97-D97),C97-D97-SUM(E97:AC97),(C97-D97)*B97))</f>
        <v>30702.108480000003</v>
      </c>
      <c r="AE97" s="417">
        <f>IF(AE76&lt;A97,0,IF((SUM(E97:AD97)+((C97-D97)*B97))&gt;(C97-D97),C97-D97-SUM(E97:AD97),(C97-D97)*B97))</f>
        <v>30702.108480000003</v>
      </c>
      <c r="AF97" s="417">
        <f>IF(AF76&lt;A97,0,IF((SUM(E97:AE97)+((C97-D97)*B97))&gt;(C97-D97),C97-D97-SUM(E97:AE97),(C97-D97)*B97))</f>
        <v>30702.108480000003</v>
      </c>
      <c r="AG97" s="417">
        <f>IF(AG76&lt;A97,0,IF((SUM(E97:AF97)+((C97-D97)*B97))&gt;(C97-D97),C97-D97-SUM(E97:AF97),(C97-D97)*B97))</f>
        <v>30702.108480000003</v>
      </c>
      <c r="AH97" s="417">
        <f>IF(AH76&lt;A97,0,IF((SUM(E97:AG97)+((C97-D97)*B97))&gt;(C97-D97),C97-D97-SUM(E97:AG97),(C97-D97)*B97))</f>
        <v>30702.108480000003</v>
      </c>
    </row>
    <row r="98" spans="1:34" s="75" customFormat="1" ht="13.15" customHeight="1" outlineLevel="1" x14ac:dyDescent="0.2">
      <c r="A98" s="416">
        <v>22</v>
      </c>
      <c r="B98" s="374">
        <v>0.04</v>
      </c>
      <c r="C98" s="378">
        <f>SUMIF('14 - Investimentos'!B:B,'15 - Depreciação'!A74,'14 - Investimentos'!Z:Z)</f>
        <v>0</v>
      </c>
      <c r="D98" s="417">
        <f>C98*B74</f>
        <v>0</v>
      </c>
      <c r="E98" s="417">
        <f>IF(E76&lt;A98,0,(C98-D98)*B98)</f>
        <v>0</v>
      </c>
      <c r="F98" s="417">
        <f>IF(F76&lt;A98,0,IF((SUM(E98:E98)+((C98-D98)*B98))&gt;(C98-D98),C98-D98-SUM(E98:E98),(C98-D98)*B98))</f>
        <v>0</v>
      </c>
      <c r="G98" s="417">
        <f>IF(G76&lt;A98,0,IF((SUM(E98:F98)+((C98-D98)*B98))&gt;(C98-D98),C98-D98-SUM(E98:F98),(C98-D98)*B98))</f>
        <v>0</v>
      </c>
      <c r="H98" s="417">
        <f>IF(H76&lt;A98,0,IF((SUM(E98:G98)+((C98-D98)*B98))&gt;(C98-D98),C98-D98-SUM(E98:G98),(C98-D98)*B98))</f>
        <v>0</v>
      </c>
      <c r="I98" s="417">
        <f>IF(I76&lt;A98,0,IF((SUM(E98:H98)+((C98-D98)*B98))&gt;(C98-D98),C98-D98-SUM(E98:H98),(C98-D98)*B98))</f>
        <v>0</v>
      </c>
      <c r="J98" s="417">
        <f>IF(J76&lt;A98,0,IF((SUM(E98:I98)+((C98-D98)*B98))&gt;(C98-D98),C98-D98-SUM(E98:I98),(C98-D98)*B98))</f>
        <v>0</v>
      </c>
      <c r="K98" s="417">
        <f>IF(K76&lt;A98,0,IF((SUM(E98:J98)+((C98-D98)*B98))&gt;(C98-D98),C98-D98-SUM(E98:J98),(C98-D98)*B98))</f>
        <v>0</v>
      </c>
      <c r="L98" s="417">
        <f>IF(L76&lt;A98,0,IF((SUM(E98:K98)+((C98-D98)*B98))&gt;(C98-D98),C98-D98-SUM(E98:K98),(C98-D98)*B98))</f>
        <v>0</v>
      </c>
      <c r="M98" s="417">
        <f>IF(M76&lt;A98,0,IF((SUM(E98:L98)+((C98-D98)*B98))&gt;(C98-D98),C98-D98-SUM(E98:L98),(C98-D98)*B98))</f>
        <v>0</v>
      </c>
      <c r="N98" s="417">
        <f>IF(N76&lt;A98,0,IF((SUM(E98:M98)+((C98-D98)*B98))&gt;(C98-D98),C98-D98-SUM(E98:M98),(C98-D98)*B98))</f>
        <v>0</v>
      </c>
      <c r="O98" s="417">
        <f>IF(O76&lt;A98,0,IF((SUM(E98:N98)+((C98-D98)*B98))&gt;(C98-D98),C98-D98-SUM(E98:N98),(C98-D98)*B98))</f>
        <v>0</v>
      </c>
      <c r="P98" s="417">
        <f>IF(P76&lt;A98,0,IF((SUM(E98:O98)+((C98-D98)*B98))&gt;(C98-D98),C98-D98-SUM(E98:O98),(C98-D98)*B98))</f>
        <v>0</v>
      </c>
      <c r="Q98" s="417">
        <f>IF(Q76&lt;A98,0,IF((SUM(E98:P98)+((C98-D98)*B98))&gt;(C98-D98),C98-D98-SUM(E98:P98),(C98-D98)*B98))</f>
        <v>0</v>
      </c>
      <c r="R98" s="417">
        <f>IF(R76&lt;A98,0,IF((SUM(E98:Q98)+((C98-D98)*B98))&gt;(C98-D98),C98-D98-SUM(E98:Q98),(C98-D98)*B98))</f>
        <v>0</v>
      </c>
      <c r="S98" s="417">
        <f>IF(S76&lt;A98,0,IF((SUM(E98:R98)+((C98-D98)*B98))&gt;(C98-D98),C98-D98-SUM(E98:R98),(C98-D98)*B98))</f>
        <v>0</v>
      </c>
      <c r="T98" s="417">
        <f>IF(T76&lt;A98,0,IF((SUM(E98:S98)+((C98-D98)*B98))&gt;(C98-D98),C98-D98-SUM(E98:S98),(C98-D98)*B98))</f>
        <v>0</v>
      </c>
      <c r="U98" s="417">
        <f>IF(U76&lt;A98,0,IF((SUM(E98:T98)+((C98-D98)*B98))&gt;(C98-D98),C98-D98-SUM(E98:T98),(C98-D98)*B98))</f>
        <v>0</v>
      </c>
      <c r="V98" s="417">
        <f>IF(V76&lt;A98,0,IF((SUM(E98:U98)+((C98-D98)*B98))&gt;(C98-D98),C98-D98-SUM(E98:U98),(C98-D98)*B98))</f>
        <v>0</v>
      </c>
      <c r="W98" s="417">
        <f>IF(W76&lt;A98,0,IF((SUM(E98:V98)+((C98-D98)*B98))&gt;(C98-D98),C98-D98-SUM(E98:V98),(C98-D98)*B98))</f>
        <v>0</v>
      </c>
      <c r="X98" s="417">
        <f>IF(X76&lt;A98,0,IF((SUM(E98:W98)+((C98-D98)*B98))&gt;(C98-D98),C98-D98-SUM(E98:W98),(C98-D98)*B98))</f>
        <v>0</v>
      </c>
      <c r="Y98" s="417">
        <f>IF(Y76&lt;A98,0,IF((SUM(E98:X98)+((C98-D98)*B98))&gt;(C98-D98),C98-D98-SUM(E98:X98),(C98-D98)*B98))</f>
        <v>0</v>
      </c>
      <c r="Z98" s="417">
        <f>IF(Z76&lt;A98,0,IF((SUM(E98:Y98)+((C98-D98)*B98))&gt;(C98-D98),C98-D98-SUM(E98:Y98),(C98-D98)*B98))</f>
        <v>0</v>
      </c>
      <c r="AA98" s="417">
        <f>IF(AA76&lt;A98,0,IF((SUM(E98:Z98)+((C98-D98)*B98))&gt;(C98-D98),C98-D98-SUM(E98:Z98),(C98-D98)*B98))</f>
        <v>0</v>
      </c>
      <c r="AB98" s="417">
        <f>IF(AB76&lt;A98,0,IF((SUM(E98:AA98)+((C98-D98)*B98))&gt;(C98-D98),C98-D98-SUM(E98:AA98),(C98-D98)*B98))</f>
        <v>0</v>
      </c>
      <c r="AC98" s="417">
        <f>IF(AC76&lt;A98,0,IF((SUM(E98:AB98)+((C98-D98)*B98))&gt;(C98-D98),C98-D98-SUM(E98:AB98),(C98-D98)*B98))</f>
        <v>0</v>
      </c>
      <c r="AD98" s="417">
        <f>IF(AD76&lt;A98,0,IF((SUM(E98:AC98)+((C98-D98)*B98))&gt;(C98-D98),C98-D98-SUM(E98:AC98),(C98-D98)*B98))</f>
        <v>0</v>
      </c>
      <c r="AE98" s="417">
        <f>IF(AE76&lt;A98,0,IF((SUM(E98:AD98)+((C98-D98)*B98))&gt;(C98-D98),C98-D98-SUM(E98:AD98),(C98-D98)*B98))</f>
        <v>0</v>
      </c>
      <c r="AF98" s="417">
        <f>IF(AF76&lt;A98,0,IF((SUM(E98:AE98)+((C98-D98)*B98))&gt;(C98-D98),C98-D98-SUM(E98:AE98),(C98-D98)*B98))</f>
        <v>0</v>
      </c>
      <c r="AG98" s="417">
        <f>IF(AG76&lt;A98,0,IF((SUM(E98:AF98)+((C98-D98)*B98))&gt;(C98-D98),C98-D98-SUM(E98:AF98),(C98-D98)*B98))</f>
        <v>0</v>
      </c>
      <c r="AH98" s="417">
        <f>IF(AH76&lt;A98,0,IF((SUM(E98:AG98)+((C98-D98)*B98))&gt;(C98-D98),C98-D98-SUM(E98:AG98),(C98-D98)*B98))</f>
        <v>0</v>
      </c>
    </row>
    <row r="99" spans="1:34" s="75" customFormat="1" ht="13.15" customHeight="1" outlineLevel="1" x14ac:dyDescent="0.2">
      <c r="A99" s="416">
        <v>23</v>
      </c>
      <c r="B99" s="374">
        <v>0.04</v>
      </c>
      <c r="C99" s="378">
        <f>SUMIF('14 - Investimentos'!B:B,'15 - Depreciação'!A74,'14 - Investimentos'!AA:AA)</f>
        <v>0</v>
      </c>
      <c r="D99" s="417">
        <f>C99*B74</f>
        <v>0</v>
      </c>
      <c r="E99" s="417">
        <f>IF(E76&lt;A99,0,(C99-D99)*B99)</f>
        <v>0</v>
      </c>
      <c r="F99" s="417">
        <f>IF(F76&lt;A99,0,IF((SUM(E99:E99)+((C99-D99)*B99))&gt;(C99-D99),C99-D99-SUM(E99:E99),(C99-D99)*B99))</f>
        <v>0</v>
      </c>
      <c r="G99" s="417">
        <f>IF(G76&lt;A99,0,IF((SUM(E99:F99)+((C99-D99)*B99))&gt;(C99-D99),C99-D99-SUM(E99:F99),(C99-D99)*B99))</f>
        <v>0</v>
      </c>
      <c r="H99" s="417">
        <f>IF(H76&lt;A99,0,IF((SUM(E99:G99)+((C99-D99)*B99))&gt;(C99-D99),C99-D99-SUM(E99:G99),(C99-D99)*B99))</f>
        <v>0</v>
      </c>
      <c r="I99" s="417">
        <f>IF(I76&lt;A99,0,IF((SUM(E99:H99)+((C99-D99)*B99))&gt;(C99-D99),C99-D99-SUM(E99:H99),(C99-D99)*B99))</f>
        <v>0</v>
      </c>
      <c r="J99" s="417">
        <f>IF(J76&lt;A99,0,IF((SUM(E99:I99)+((C99-D99)*B99))&gt;(C99-D99),C99-D99-SUM(E99:I99),(C99-D99)*B99))</f>
        <v>0</v>
      </c>
      <c r="K99" s="417">
        <f>IF(K76&lt;A99,0,IF((SUM(E99:J99)+((C99-D99)*B99))&gt;(C99-D99),C99-D99-SUM(E99:J99),(C99-D99)*B99))</f>
        <v>0</v>
      </c>
      <c r="L99" s="417">
        <f>IF(L76&lt;A99,0,IF((SUM(E99:K99)+((C99-D99)*B99))&gt;(C99-D99),C99-D99-SUM(E99:K99),(C99-D99)*B99))</f>
        <v>0</v>
      </c>
      <c r="M99" s="417">
        <f>IF(M76&lt;A99,0,IF((SUM(E99:L99)+((C99-D99)*B99))&gt;(C99-D99),C99-D99-SUM(E99:L99),(C99-D99)*B99))</f>
        <v>0</v>
      </c>
      <c r="N99" s="417">
        <f>IF(N76&lt;A99,0,IF((SUM(E99:M99)+((C99-D99)*B99))&gt;(C99-D99),C99-D99-SUM(E99:M99),(C99-D99)*B99))</f>
        <v>0</v>
      </c>
      <c r="O99" s="417">
        <f>IF(O76&lt;A99,0,IF((SUM(E99:N99)+((C99-D99)*B99))&gt;(C99-D99),C99-D99-SUM(E99:N99),(C99-D99)*B99))</f>
        <v>0</v>
      </c>
      <c r="P99" s="417">
        <f>IF(P76&lt;A99,0,IF((SUM(E99:O99)+((C99-D99)*B99))&gt;(C99-D99),C99-D99-SUM(E99:O99),(C99-D99)*B99))</f>
        <v>0</v>
      </c>
      <c r="Q99" s="417">
        <f>IF(Q76&lt;A99,0,IF((SUM(E99:P99)+((C99-D99)*B99))&gt;(C99-D99),C99-D99-SUM(E99:P99),(C99-D99)*B99))</f>
        <v>0</v>
      </c>
      <c r="R99" s="417">
        <f>IF(R76&lt;A99,0,IF((SUM(E99:Q99)+((C99-D99)*B99))&gt;(C99-D99),C99-D99-SUM(E99:Q99),(C99-D99)*B99))</f>
        <v>0</v>
      </c>
      <c r="S99" s="417">
        <f>IF(S76&lt;A99,0,IF((SUM(E99:R99)+((C99-D99)*B99))&gt;(C99-D99),C99-D99-SUM(E99:R99),(C99-D99)*B99))</f>
        <v>0</v>
      </c>
      <c r="T99" s="417">
        <f>IF(T76&lt;A99,0,IF((SUM(E99:S99)+((C99-D99)*B99))&gt;(C99-D99),C99-D99-SUM(E99:S99),(C99-D99)*B99))</f>
        <v>0</v>
      </c>
      <c r="U99" s="417">
        <f>IF(U76&lt;A99,0,IF((SUM(E99:T99)+((C99-D99)*B99))&gt;(C99-D99),C99-D99-SUM(E99:T99),(C99-D99)*B99))</f>
        <v>0</v>
      </c>
      <c r="V99" s="417">
        <f>IF(V76&lt;A99,0,IF((SUM(E99:U99)+((C99-D99)*B99))&gt;(C99-D99),C99-D99-SUM(E99:U99),(C99-D99)*B99))</f>
        <v>0</v>
      </c>
      <c r="W99" s="417">
        <f>IF(W76&lt;A99,0,IF((SUM(E99:V99)+((C99-D99)*B99))&gt;(C99-D99),C99-D99-SUM(E99:V99),(C99-D99)*B99))</f>
        <v>0</v>
      </c>
      <c r="X99" s="417">
        <f>IF(X76&lt;A99,0,IF((SUM(E99:W99)+((C99-D99)*B99))&gt;(C99-D99),C99-D99-SUM(E99:W99),(C99-D99)*B99))</f>
        <v>0</v>
      </c>
      <c r="Y99" s="417">
        <f>IF(Y76&lt;A99,0,IF((SUM(E99:X99)+((C99-D99)*B99))&gt;(C99-D99),C99-D99-SUM(E99:X99),(C99-D99)*B99))</f>
        <v>0</v>
      </c>
      <c r="Z99" s="417">
        <f>IF(Z76&lt;A99,0,IF((SUM(E99:Y99)+((C99-D99)*B99))&gt;(C99-D99),C99-D99-SUM(E99:Y99),(C99-D99)*B99))</f>
        <v>0</v>
      </c>
      <c r="AA99" s="417">
        <f>IF(AA76&lt;A99,0,IF((SUM(E99:Z99)+((C99-D99)*B99))&gt;(C99-D99),C99-D99-SUM(E99:Z99),(C99-D99)*B99))</f>
        <v>0</v>
      </c>
      <c r="AB99" s="417">
        <f>IF(AB76&lt;A99,0,IF((SUM(E99:AA99)+((C99-D99)*B99))&gt;(C99-D99),C99-D99-SUM(E99:AA99),(C99-D99)*B99))</f>
        <v>0</v>
      </c>
      <c r="AC99" s="417">
        <f>IF(AC76&lt;A99,0,IF((SUM(E99:AB99)+((C99-D99)*B99))&gt;(C99-D99),C99-D99-SUM(E99:AB99),(C99-D99)*B99))</f>
        <v>0</v>
      </c>
      <c r="AD99" s="417">
        <f>IF(AD76&lt;A99,0,IF((SUM(E99:AC99)+((C99-D99)*B99))&gt;(C99-D99),C99-D99-SUM(E99:AC99),(C99-D99)*B99))</f>
        <v>0</v>
      </c>
      <c r="AE99" s="417">
        <f>IF(AE76&lt;A99,0,IF((SUM(E99:AD99)+((C99-D99)*B99))&gt;(C99-D99),C99-D99-SUM(E99:AD99),(C99-D99)*B99))</f>
        <v>0</v>
      </c>
      <c r="AF99" s="417">
        <f>IF(AF76&lt;A99,0,IF((SUM(E99:AE99)+((C99-D99)*B99))&gt;(C99-D99),C99-D99-SUM(E99:AE99),(C99-D99)*B99))</f>
        <v>0</v>
      </c>
      <c r="AG99" s="417">
        <f>IF(AG76&lt;A99,0,IF((SUM(E99:AF99)+((C99-D99)*B99))&gt;(C99-D99),C99-D99-SUM(E99:AF99),(C99-D99)*B99))</f>
        <v>0</v>
      </c>
      <c r="AH99" s="417">
        <f>IF(AH76&lt;A99,0,IF((SUM(E99:AG99)+((C99-D99)*B99))&gt;(C99-D99),C99-D99-SUM(E99:AG99),(C99-D99)*B99))</f>
        <v>0</v>
      </c>
    </row>
    <row r="100" spans="1:34" s="75" customFormat="1" ht="13.15" customHeight="1" outlineLevel="1" x14ac:dyDescent="0.2">
      <c r="A100" s="416">
        <v>24</v>
      </c>
      <c r="B100" s="374">
        <v>0.04</v>
      </c>
      <c r="C100" s="378">
        <f>SUMIF('14 - Investimentos'!B:B,'15 - Depreciação'!A74,'14 - Investimentos'!AB:AB)</f>
        <v>0</v>
      </c>
      <c r="D100" s="417">
        <f>C100*B74</f>
        <v>0</v>
      </c>
      <c r="E100" s="417">
        <f>IF(E76&lt;A100,0,(C100-D100)*B100)</f>
        <v>0</v>
      </c>
      <c r="F100" s="417">
        <f>IF(F76&lt;A100,0,IF((SUM(E100:E100)+((C100-D100)*B100))&gt;(C100-D100),C100-D100-SUM(E100:E100),(C100-D100)*B100))</f>
        <v>0</v>
      </c>
      <c r="G100" s="417">
        <f>IF(G76&lt;A100,0,IF((SUM(E100:F100)+((C100-D100)*B100))&gt;(C100-D100),C100-D100-SUM(E100:F100),(C100-D100)*B100))</f>
        <v>0</v>
      </c>
      <c r="H100" s="417">
        <f>IF(H76&lt;A100,0,IF((SUM(E100:G100)+((C100-D100)*B100))&gt;(C100-D100),C100-D100-SUM(E100:G100),(C100-D100)*B100))</f>
        <v>0</v>
      </c>
      <c r="I100" s="417">
        <f>IF(I76&lt;A100,0,IF((SUM(E100:H100)+((C100-D100)*B100))&gt;(C100-D100),C100-D100-SUM(E100:H100),(C100-D100)*B100))</f>
        <v>0</v>
      </c>
      <c r="J100" s="417">
        <f>IF(J76&lt;A100,0,IF((SUM(E100:I100)+((C100-D100)*B100))&gt;(C100-D100),C100-D100-SUM(E100:I100),(C100-D100)*B100))</f>
        <v>0</v>
      </c>
      <c r="K100" s="417">
        <f>IF(K76&lt;A100,0,IF((SUM(E100:J100)+((C100-D100)*B100))&gt;(C100-D100),C100-D100-SUM(E100:J100),(C100-D100)*B100))</f>
        <v>0</v>
      </c>
      <c r="L100" s="417">
        <f>IF(L76&lt;A100,0,IF((SUM(E100:K100)+((C100-D100)*B100))&gt;(C100-D100),C100-D100-SUM(E100:K100),(C100-D100)*B100))</f>
        <v>0</v>
      </c>
      <c r="M100" s="417">
        <f>IF(M76&lt;A100,0,IF((SUM(E100:L100)+((C100-D100)*B100))&gt;(C100-D100),C100-D100-SUM(E100:L100),(C100-D100)*B100))</f>
        <v>0</v>
      </c>
      <c r="N100" s="417">
        <f>IF(N76&lt;A100,0,IF((SUM(E100:M100)+((C100-D100)*B100))&gt;(C100-D100),C100-D100-SUM(E100:M100),(C100-D100)*B100))</f>
        <v>0</v>
      </c>
      <c r="O100" s="417">
        <f>IF(O76&lt;A100,0,IF((SUM(E100:N100)+((C100-D100)*B100))&gt;(C100-D100),C100-D100-SUM(E100:N100),(C100-D100)*B100))</f>
        <v>0</v>
      </c>
      <c r="P100" s="417">
        <f>IF(P76&lt;A100,0,IF((SUM(E100:O100)+((C100-D100)*B100))&gt;(C100-D100),C100-D100-SUM(E100:O100),(C100-D100)*B100))</f>
        <v>0</v>
      </c>
      <c r="Q100" s="417">
        <f>IF(Q76&lt;A100,0,IF((SUM(E100:P100)+((C100-D100)*B100))&gt;(C100-D100),C100-D100-SUM(E100:P100),(C100-D100)*B100))</f>
        <v>0</v>
      </c>
      <c r="R100" s="417">
        <f>IF(R76&lt;A100,0,IF((SUM(E100:Q100)+((C100-D100)*B100))&gt;(C100-D100),C100-D100-SUM(E100:Q100),(C100-D100)*B100))</f>
        <v>0</v>
      </c>
      <c r="S100" s="417">
        <f>IF(S76&lt;A100,0,IF((SUM(E100:R100)+((C100-D100)*B100))&gt;(C100-D100),C100-D100-SUM(E100:R100),(C100-D100)*B100))</f>
        <v>0</v>
      </c>
      <c r="T100" s="417">
        <f>IF(T76&lt;A100,0,IF((SUM(E100:S100)+((C100-D100)*B100))&gt;(C100-D100),C100-D100-SUM(E100:S100),(C100-D100)*B100))</f>
        <v>0</v>
      </c>
      <c r="U100" s="417">
        <f>IF(U76&lt;A100,0,IF((SUM(E100:T100)+((C100-D100)*B100))&gt;(C100-D100),C100-D100-SUM(E100:T100),(C100-D100)*B100))</f>
        <v>0</v>
      </c>
      <c r="V100" s="417">
        <f>IF(V76&lt;A100,0,IF((SUM(E100:U100)+((C100-D100)*B100))&gt;(C100-D100),C100-D100-SUM(E100:U100),(C100-D100)*B100))</f>
        <v>0</v>
      </c>
      <c r="W100" s="417">
        <f>IF(W76&lt;A100,0,IF((SUM(E100:V100)+((C100-D100)*B100))&gt;(C100-D100),C100-D100-SUM(E100:V100),(C100-D100)*B100))</f>
        <v>0</v>
      </c>
      <c r="X100" s="417">
        <f>IF(X76&lt;A100,0,IF((SUM(E100:W100)+((C100-D100)*B100))&gt;(C100-D100),C100-D100-SUM(E100:W100),(C100-D100)*B100))</f>
        <v>0</v>
      </c>
      <c r="Y100" s="417">
        <f>IF(Y76&lt;A100,0,IF((SUM(E100:X100)+((C100-D100)*B100))&gt;(C100-D100),C100-D100-SUM(E100:X100),(C100-D100)*B100))</f>
        <v>0</v>
      </c>
      <c r="Z100" s="417">
        <f>IF(Z76&lt;A100,0,IF((SUM(E100:Y100)+((C100-D100)*B100))&gt;(C100-D100),C100-D100-SUM(E100:Y100),(C100-D100)*B100))</f>
        <v>0</v>
      </c>
      <c r="AA100" s="417">
        <f>IF(AA76&lt;A100,0,IF((SUM(E100:Z100)+((C100-D100)*B100))&gt;(C100-D100),C100-D100-SUM(E100:Z100),(C100-D100)*B100))</f>
        <v>0</v>
      </c>
      <c r="AB100" s="417">
        <f>IF(AB76&lt;A100,0,IF((SUM(E100:AA100)+((C100-D100)*B100))&gt;(C100-D100),C100-D100-SUM(E100:AA100),(C100-D100)*B100))</f>
        <v>0</v>
      </c>
      <c r="AC100" s="417">
        <f>IF(AC76&lt;A100,0,IF((SUM(E100:AB100)+((C100-D100)*B100))&gt;(C100-D100),C100-D100-SUM(E100:AB100),(C100-D100)*B100))</f>
        <v>0</v>
      </c>
      <c r="AD100" s="417">
        <f>IF(AD76&lt;A100,0,IF((SUM(E100:AC100)+((C100-D100)*B100))&gt;(C100-D100),C100-D100-SUM(E100:AC100),(C100-D100)*B100))</f>
        <v>0</v>
      </c>
      <c r="AE100" s="417">
        <f>IF(AE76&lt;A100,0,IF((SUM(E100:AD100)+((C100-D100)*B100))&gt;(C100-D100),C100-D100-SUM(E100:AD100),(C100-D100)*B100))</f>
        <v>0</v>
      </c>
      <c r="AF100" s="417">
        <f>IF(AF76&lt;A100,0,IF((SUM(E100:AE100)+((C100-D100)*B100))&gt;(C100-D100),C100-D100-SUM(E100:AE100),(C100-D100)*B100))</f>
        <v>0</v>
      </c>
      <c r="AG100" s="417">
        <f>IF(AG76&lt;A100,0,IF((SUM(E100:AF100)+((C100-D100)*B100))&gt;(C100-D100),C100-D100-SUM(E100:AF100),(C100-D100)*B100))</f>
        <v>0</v>
      </c>
      <c r="AH100" s="417">
        <f>IF(AH76&lt;A100,0,IF((SUM(E100:AG100)+((C100-D100)*B100))&gt;(C100-D100),C100-D100-SUM(E100:AG100),(C100-D100)*B100))</f>
        <v>0</v>
      </c>
    </row>
    <row r="101" spans="1:34" s="75" customFormat="1" ht="13.15" customHeight="1" outlineLevel="1" x14ac:dyDescent="0.2">
      <c r="A101" s="416">
        <v>25</v>
      </c>
      <c r="B101" s="374">
        <v>0.04</v>
      </c>
      <c r="C101" s="378">
        <f>SUMIF('14 - Investimentos'!B:B,'15 - Depreciação'!A74,'14 - Investimentos'!AC:AC)</f>
        <v>0</v>
      </c>
      <c r="D101" s="417">
        <f>C101*B74</f>
        <v>0</v>
      </c>
      <c r="E101" s="417">
        <f>IF(E76&lt;A101,0,(C101-D101)*B101)</f>
        <v>0</v>
      </c>
      <c r="F101" s="417">
        <f>IF(F76&lt;A101,0,IF((SUM(E101:E101)+((C101-D101)*B101))&gt;(C101-D101),C101-D101-SUM(E101:E101),(C101-D101)*B101))</f>
        <v>0</v>
      </c>
      <c r="G101" s="417">
        <f>IF(G76&lt;A101,0,IF((SUM(E101:F101)+((C101-D101)*B101))&gt;(C101-D101),C101-D101-SUM(E101:F101),(C101-D101)*B101))</f>
        <v>0</v>
      </c>
      <c r="H101" s="417">
        <f>IF(H76&lt;A101,0,IF((SUM(E101:G101)+((C101-D101)*B101))&gt;(C101-D101),C101-D101-SUM(E101:G101),(C101-D101)*B101))</f>
        <v>0</v>
      </c>
      <c r="I101" s="417">
        <f>IF(I76&lt;A101,0,IF((SUM(E101:H101)+((C101-D101)*B101))&gt;(C101-D101),C101-D101-SUM(E101:H101),(C101-D101)*B101))</f>
        <v>0</v>
      </c>
      <c r="J101" s="417">
        <f>IF(J76&lt;A101,0,IF((SUM(E101:I101)+((C101-D101)*B101))&gt;(C101-D101),C101-D101-SUM(E101:I101),(C101-D101)*B101))</f>
        <v>0</v>
      </c>
      <c r="K101" s="417">
        <f>IF(K76&lt;A101,0,IF((SUM(E101:J101)+((C101-D101)*B101))&gt;(C101-D101),C101-D101-SUM(E101:J101),(C101-D101)*B101))</f>
        <v>0</v>
      </c>
      <c r="L101" s="417">
        <f>IF(L76&lt;A101,0,IF((SUM(E101:K101)+((C101-D101)*B101))&gt;(C101-D101),C101-D101-SUM(E101:K101),(C101-D101)*B101))</f>
        <v>0</v>
      </c>
      <c r="M101" s="417">
        <f>IF(M76&lt;A101,0,IF((SUM(E101:L101)+((C101-D101)*B101))&gt;(C101-D101),C101-D101-SUM(E101:L101),(C101-D101)*B101))</f>
        <v>0</v>
      </c>
      <c r="N101" s="417">
        <f>IF(N76&lt;A101,0,IF((SUM(E101:M101)+((C101-D101)*B101))&gt;(C101-D101),C101-D101-SUM(E101:M101),(C101-D101)*B101))</f>
        <v>0</v>
      </c>
      <c r="O101" s="417">
        <f>IF(O76&lt;A101,0,IF((SUM(E101:N101)+((C101-D101)*B101))&gt;(C101-D101),C101-D101-SUM(E101:N101),(C101-D101)*B101))</f>
        <v>0</v>
      </c>
      <c r="P101" s="417">
        <f>IF(P76&lt;A101,0,IF((SUM(E101:O101)+((C101-D101)*B101))&gt;(C101-D101),C101-D101-SUM(E101:O101),(C101-D101)*B101))</f>
        <v>0</v>
      </c>
      <c r="Q101" s="417">
        <f>IF(Q76&lt;A101,0,IF((SUM(E101:P101)+((C101-D101)*B101))&gt;(C101-D101),C101-D101-SUM(E101:P101),(C101-D101)*B101))</f>
        <v>0</v>
      </c>
      <c r="R101" s="417">
        <f>IF(R76&lt;A101,0,IF((SUM(E101:Q101)+((C101-D101)*B101))&gt;(C101-D101),C101-D101-SUM(E101:Q101),(C101-D101)*B101))</f>
        <v>0</v>
      </c>
      <c r="S101" s="417">
        <f>IF(S76&lt;A101,0,IF((SUM(E101:R101)+((C101-D101)*B101))&gt;(C101-D101),C101-D101-SUM(E101:R101),(C101-D101)*B101))</f>
        <v>0</v>
      </c>
      <c r="T101" s="417">
        <f>IF(T76&lt;A101,0,IF((SUM(E101:S101)+((C101-D101)*B101))&gt;(C101-D101),C101-D101-SUM(E101:S101),(C101-D101)*B101))</f>
        <v>0</v>
      </c>
      <c r="U101" s="417">
        <f>IF(U76&lt;A101,0,IF((SUM(E101:T101)+((C101-D101)*B101))&gt;(C101-D101),C101-D101-SUM(E101:T101),(C101-D101)*B101))</f>
        <v>0</v>
      </c>
      <c r="V101" s="417">
        <f>IF(V76&lt;A101,0,IF((SUM(E101:U101)+((C101-D101)*B101))&gt;(C101-D101),C101-D101-SUM(E101:U101),(C101-D101)*B101))</f>
        <v>0</v>
      </c>
      <c r="W101" s="417">
        <f>IF(W76&lt;A101,0,IF((SUM(E101:V101)+((C101-D101)*B101))&gt;(C101-D101),C101-D101-SUM(E101:V101),(C101-D101)*B101))</f>
        <v>0</v>
      </c>
      <c r="X101" s="417">
        <f>IF(X76&lt;A101,0,IF((SUM(E101:W101)+((C101-D101)*B101))&gt;(C101-D101),C101-D101-SUM(E101:W101),(C101-D101)*B101))</f>
        <v>0</v>
      </c>
      <c r="Y101" s="417">
        <f>IF(Y76&lt;A101,0,IF((SUM(E101:X101)+((C101-D101)*B101))&gt;(C101-D101),C101-D101-SUM(E101:X101),(C101-D101)*B101))</f>
        <v>0</v>
      </c>
      <c r="Z101" s="417">
        <f>IF(Z76&lt;A101,0,IF((SUM(E101:Y101)+((C101-D101)*B101))&gt;(C101-D101),C101-D101-SUM(E101:Y101),(C101-D101)*B101))</f>
        <v>0</v>
      </c>
      <c r="AA101" s="417">
        <f>IF(AA76&lt;A101,0,IF((SUM(E101:Z101)+((C101-D101)*B101))&gt;(C101-D101),C101-D101-SUM(E101:Z101),(C101-D101)*B101))</f>
        <v>0</v>
      </c>
      <c r="AB101" s="417">
        <f>IF(AB76&lt;A101,0,IF((SUM(E101:AA101)+((C101-D101)*B101))&gt;(C101-D101),C101-D101-SUM(E101:AA101),(C101-D101)*B101))</f>
        <v>0</v>
      </c>
      <c r="AC101" s="417">
        <f>IF(AC76&lt;A101,0,IF((SUM(E101:AB101)+((C101-D101)*B101))&gt;(C101-D101),C101-D101-SUM(E101:AB101),(C101-D101)*B101))</f>
        <v>0</v>
      </c>
      <c r="AD101" s="417">
        <f>IF(AD76&lt;A101,0,IF((SUM(E101:AC101)+((C101-D101)*B101))&gt;(C101-D101),C101-D101-SUM(E101:AC101),(C101-D101)*B101))</f>
        <v>0</v>
      </c>
      <c r="AE101" s="417">
        <f>IF(AE76&lt;A101,0,IF((SUM(E101:AD101)+((C101-D101)*B101))&gt;(C101-D101),C101-D101-SUM(E101:AD101),(C101-D101)*B101))</f>
        <v>0</v>
      </c>
      <c r="AF101" s="417">
        <f>IF(AF76&lt;A101,0,IF((SUM(E101:AE101)+((C101-D101)*B101))&gt;(C101-D101),C101-D101-SUM(E101:AE101),(C101-D101)*B101))</f>
        <v>0</v>
      </c>
      <c r="AG101" s="417">
        <f>IF(AG76&lt;A101,0,IF((SUM(E101:AF101)+((C101-D101)*B101))&gt;(C101-D101),C101-D101-SUM(E101:AF101),(C101-D101)*B101))</f>
        <v>0</v>
      </c>
      <c r="AH101" s="417">
        <f>IF(AH76&lt;A101,0,IF((SUM(E101:AG101)+((C101-D101)*B101))&gt;(C101-D101),C101-D101-SUM(E101:AG101),(C101-D101)*B101))</f>
        <v>0</v>
      </c>
    </row>
    <row r="102" spans="1:34" s="75" customFormat="1" ht="13.15" customHeight="1" outlineLevel="1" x14ac:dyDescent="0.2">
      <c r="A102" s="416">
        <v>26</v>
      </c>
      <c r="B102" s="374">
        <v>0.04</v>
      </c>
      <c r="C102" s="378">
        <f>SUMIF('14 - Investimentos'!B:B,'15 - Depreciação'!A74,'14 - Investimentos'!AD:AD)</f>
        <v>0</v>
      </c>
      <c r="D102" s="417">
        <f>C102*B74</f>
        <v>0</v>
      </c>
      <c r="E102" s="417">
        <f>IF(E76&lt;A102,0,(C102-D102)*B102)</f>
        <v>0</v>
      </c>
      <c r="F102" s="417">
        <f>IF(F76&lt;A102,0,IF((SUM(E102:E102)+((C102-D102)*B102))&gt;(C102-D102),C102-D102-SUM(E102:E102),(C102-D102)*B102))</f>
        <v>0</v>
      </c>
      <c r="G102" s="417">
        <f>IF(G76&lt;A102,0,IF((SUM(E102:F102)+((C102-D102)*B102))&gt;(C102-D102),C102-D102-SUM(E102:F102),(C102-D102)*B102))</f>
        <v>0</v>
      </c>
      <c r="H102" s="417">
        <f>IF(H76&lt;A102,0,IF((SUM(E102:G102)+((C102-D102)*B102))&gt;(C102-D102),C102-D102-SUM(E102:G102),(C102-D102)*B102))</f>
        <v>0</v>
      </c>
      <c r="I102" s="417">
        <f>IF(I76&lt;A102,0,IF((SUM(E102:H102)+((C102-D102)*B102))&gt;(C102-D102),C102-D102-SUM(E102:H102),(C102-D102)*B102))</f>
        <v>0</v>
      </c>
      <c r="J102" s="417">
        <f>IF(J76&lt;A102,0,IF((SUM(E102:I102)+((C102-D102)*B102))&gt;(C102-D102),C102-D102-SUM(E102:I102),(C102-D102)*B102))</f>
        <v>0</v>
      </c>
      <c r="K102" s="417">
        <f>IF(K76&lt;A102,0,IF((SUM(E102:J102)+((C102-D102)*B102))&gt;(C102-D102),C102-D102-SUM(E102:J102),(C102-D102)*B102))</f>
        <v>0</v>
      </c>
      <c r="L102" s="417">
        <f>IF(L76&lt;A102,0,IF((SUM(E102:K102)+((C102-D102)*B102))&gt;(C102-D102),C102-D102-SUM(E102:K102),(C102-D102)*B102))</f>
        <v>0</v>
      </c>
      <c r="M102" s="417">
        <f>IF(M76&lt;A102,0,IF((SUM(E102:L102)+((C102-D102)*B102))&gt;(C102-D102),C102-D102-SUM(E102:L102),(C102-D102)*B102))</f>
        <v>0</v>
      </c>
      <c r="N102" s="417">
        <f>IF(N76&lt;A102,0,IF((SUM(E102:M102)+((C102-D102)*B102))&gt;(C102-D102),C102-D102-SUM(E102:M102),(C102-D102)*B102))</f>
        <v>0</v>
      </c>
      <c r="O102" s="417">
        <f>IF(O76&lt;A102,0,IF((SUM(E102:N102)+((C102-D102)*B102))&gt;(C102-D102),C102-D102-SUM(E102:N102),(C102-D102)*B102))</f>
        <v>0</v>
      </c>
      <c r="P102" s="417">
        <f>IF(P76&lt;A102,0,IF((SUM(E102:O102)+((C102-D102)*B102))&gt;(C102-D102),C102-D102-SUM(E102:O102),(C102-D102)*B102))</f>
        <v>0</v>
      </c>
      <c r="Q102" s="417">
        <f>IF(Q76&lt;A102,0,IF((SUM(E102:P102)+((C102-D102)*B102))&gt;(C102-D102),C102-D102-SUM(E102:P102),(C102-D102)*B102))</f>
        <v>0</v>
      </c>
      <c r="R102" s="417">
        <f>IF(R76&lt;A102,0,IF((SUM(E102:Q102)+((C102-D102)*B102))&gt;(C102-D102),C102-D102-SUM(E102:Q102),(C102-D102)*B102))</f>
        <v>0</v>
      </c>
      <c r="S102" s="417">
        <f>IF(S76&lt;A102,0,IF((SUM(E102:R102)+((C102-D102)*B102))&gt;(C102-D102),C102-D102-SUM(E102:R102),(C102-D102)*B102))</f>
        <v>0</v>
      </c>
      <c r="T102" s="417">
        <f>IF(T76&lt;A102,0,IF((SUM(E102:S102)+((C102-D102)*B102))&gt;(C102-D102),C102-D102-SUM(E102:S102),(C102-D102)*B102))</f>
        <v>0</v>
      </c>
      <c r="U102" s="417">
        <f>IF(U76&lt;A102,0,IF((SUM(E102:T102)+((C102-D102)*B102))&gt;(C102-D102),C102-D102-SUM(E102:T102),(C102-D102)*B102))</f>
        <v>0</v>
      </c>
      <c r="V102" s="417">
        <f>IF(V76&lt;A102,0,IF((SUM(E102:U102)+((C102-D102)*B102))&gt;(C102-D102),C102-D102-SUM(E102:U102),(C102-D102)*B102))</f>
        <v>0</v>
      </c>
      <c r="W102" s="417">
        <f>IF(W76&lt;A102,0,IF((SUM(E102:V102)+((C102-D102)*B102))&gt;(C102-D102),C102-D102-SUM(E102:V102),(C102-D102)*B102))</f>
        <v>0</v>
      </c>
      <c r="X102" s="417">
        <f>IF(X76&lt;A102,0,IF((SUM(E102:W102)+((C102-D102)*B102))&gt;(C102-D102),C102-D102-SUM(E102:W102),(C102-D102)*B102))</f>
        <v>0</v>
      </c>
      <c r="Y102" s="417">
        <f>IF(Y76&lt;A102,0,IF((SUM(E102:X102)+((C102-D102)*B102))&gt;(C102-D102),C102-D102-SUM(E102:X102),(C102-D102)*B102))</f>
        <v>0</v>
      </c>
      <c r="Z102" s="417">
        <f>IF(Z76&lt;A102,0,IF((SUM(E102:Y102)+((C102-D102)*B102))&gt;(C102-D102),C102-D102-SUM(E102:Y102),(C102-D102)*B102))</f>
        <v>0</v>
      </c>
      <c r="AA102" s="417">
        <f>IF(AA76&lt;A102,0,IF((SUM(E102:Z102)+((C102-D102)*B102))&gt;(C102-D102),C102-D102-SUM(E102:Z102),(C102-D102)*B102))</f>
        <v>0</v>
      </c>
      <c r="AB102" s="417">
        <f>IF(AB76&lt;A102,0,IF((SUM(E102:AA102)+((C102-D102)*B102))&gt;(C102-D102),C102-D102-SUM(E102:AA102),(C102-D102)*B102))</f>
        <v>0</v>
      </c>
      <c r="AC102" s="417">
        <f>IF(AC76&lt;A102,0,IF((SUM(E102:AB102)+((C102-D102)*B102))&gt;(C102-D102),C102-D102-SUM(E102:AB102),(C102-D102)*B102))</f>
        <v>0</v>
      </c>
      <c r="AD102" s="417">
        <f>IF(AD76&lt;A102,0,IF((SUM(E102:AC102)+((C102-D102)*B102))&gt;(C102-D102),C102-D102-SUM(E102:AC102),(C102-D102)*B102))</f>
        <v>0</v>
      </c>
      <c r="AE102" s="417">
        <f>IF(AE76&lt;A102,0,IF((SUM(E102:AD102)+((C102-D102)*B102))&gt;(C102-D102),C102-D102-SUM(E102:AD102),(C102-D102)*B102))</f>
        <v>0</v>
      </c>
      <c r="AF102" s="417">
        <f>IF(AF76&lt;A102,0,IF((SUM(E102:AE102)+((C102-D102)*B102))&gt;(C102-D102),C102-D102-SUM(E102:AE102),(C102-D102)*B102))</f>
        <v>0</v>
      </c>
      <c r="AG102" s="417">
        <f>IF(AG76&lt;A102,0,IF((SUM(E102:AF102)+((C102-D102)*B102))&gt;(C102-D102),C102-D102-SUM(E102:AF102),(C102-D102)*B102))</f>
        <v>0</v>
      </c>
      <c r="AH102" s="417">
        <f>IF(AH76&lt;A102,0,IF((SUM(E102:AG102)+((C102-D102)*B102))&gt;(C102-D102),C102-D102-SUM(E102:AG102),(C102-D102)*B102))</f>
        <v>0</v>
      </c>
    </row>
    <row r="103" spans="1:34" s="75" customFormat="1" ht="13.15" customHeight="1" outlineLevel="1" x14ac:dyDescent="0.2">
      <c r="A103" s="416">
        <v>27</v>
      </c>
      <c r="B103" s="374">
        <v>0.04</v>
      </c>
      <c r="C103" s="378">
        <f>SUMIF('14 - Investimentos'!B:B,'15 - Depreciação'!A74,'14 - Investimentos'!AE:AE)</f>
        <v>0</v>
      </c>
      <c r="D103" s="417">
        <f>C103*B74</f>
        <v>0</v>
      </c>
      <c r="E103" s="417">
        <f>IF(E76&lt;A103,0,(C103-D103)*B103)</f>
        <v>0</v>
      </c>
      <c r="F103" s="417">
        <f>IF(F76&lt;A103,0,IF((SUM(E103:E103)+((C103-D103)*B103))&gt;(C103-D103),C103-D103-SUM(E103:E103),(C103-D103)*B103))</f>
        <v>0</v>
      </c>
      <c r="G103" s="417">
        <f>IF(G76&lt;A103,0,IF((SUM(E103:F103)+((C103-D103)*B103))&gt;(C103-D103),C103-D103-SUM(E103:F103),(C103-D103)*B103))</f>
        <v>0</v>
      </c>
      <c r="H103" s="417">
        <f>IF(H76&lt;A103,0,IF((SUM(E103:G103)+((C103-D103)*B103))&gt;(C103-D103),C103-D103-SUM(E103:G103),(C103-D103)*B103))</f>
        <v>0</v>
      </c>
      <c r="I103" s="417">
        <f>IF(I76&lt;A103,0,IF((SUM(E103:H103)+((C103-D103)*B103))&gt;(C103-D103),C103-D103-SUM(E103:H103),(C103-D103)*B103))</f>
        <v>0</v>
      </c>
      <c r="J103" s="417">
        <f>IF(J76&lt;A103,0,IF((SUM(E103:I103)+((C103-D103)*B103))&gt;(C103-D103),C103-D103-SUM(E103:I103),(C103-D103)*B103))</f>
        <v>0</v>
      </c>
      <c r="K103" s="417">
        <f>IF(K76&lt;A103,0,IF((SUM(E103:J103)+((C103-D103)*B103))&gt;(C103-D103),C103-D103-SUM(E103:J103),(C103-D103)*B103))</f>
        <v>0</v>
      </c>
      <c r="L103" s="417">
        <f>IF(L76&lt;A103,0,IF((SUM(E103:K103)+((C103-D103)*B103))&gt;(C103-D103),C103-D103-SUM(E103:K103),(C103-D103)*B103))</f>
        <v>0</v>
      </c>
      <c r="M103" s="417">
        <f>IF(M76&lt;A103,0,IF((SUM(E103:L103)+((C103-D103)*B103))&gt;(C103-D103),C103-D103-SUM(E103:L103),(C103-D103)*B103))</f>
        <v>0</v>
      </c>
      <c r="N103" s="417">
        <f>IF(N76&lt;A103,0,IF((SUM(E103:M103)+((C103-D103)*B103))&gt;(C103-D103),C103-D103-SUM(E103:M103),(C103-D103)*B103))</f>
        <v>0</v>
      </c>
      <c r="O103" s="417">
        <f>IF(O76&lt;A103,0,IF((SUM(E103:N103)+((C103-D103)*B103))&gt;(C103-D103),C103-D103-SUM(E103:N103),(C103-D103)*B103))</f>
        <v>0</v>
      </c>
      <c r="P103" s="417">
        <f>IF(P76&lt;A103,0,IF((SUM(E103:O103)+((C103-D103)*B103))&gt;(C103-D103),C103-D103-SUM(E103:O103),(C103-D103)*B103))</f>
        <v>0</v>
      </c>
      <c r="Q103" s="417">
        <f>IF(Q76&lt;A103,0,IF((SUM(E103:P103)+((C103-D103)*B103))&gt;(C103-D103),C103-D103-SUM(E103:P103),(C103-D103)*B103))</f>
        <v>0</v>
      </c>
      <c r="R103" s="417">
        <f>IF(R76&lt;A103,0,IF((SUM(E103:Q103)+((C103-D103)*B103))&gt;(C103-D103),C103-D103-SUM(E103:Q103),(C103-D103)*B103))</f>
        <v>0</v>
      </c>
      <c r="S103" s="417">
        <f>IF(S76&lt;A103,0,IF((SUM(E103:R103)+((C103-D103)*B103))&gt;(C103-D103),C103-D103-SUM(E103:R103),(C103-D103)*B103))</f>
        <v>0</v>
      </c>
      <c r="T103" s="417">
        <f>IF(T76&lt;A103,0,IF((SUM(E103:S103)+((C103-D103)*B103))&gt;(C103-D103),C103-D103-SUM(E103:S103),(C103-D103)*B103))</f>
        <v>0</v>
      </c>
      <c r="U103" s="417">
        <f>IF(U76&lt;A103,0,IF((SUM(E103:T103)+((C103-D103)*B103))&gt;(C103-D103),C103-D103-SUM(E103:T103),(C103-D103)*B103))</f>
        <v>0</v>
      </c>
      <c r="V103" s="417">
        <f>IF(V76&lt;A103,0,IF((SUM(E103:U103)+((C103-D103)*B103))&gt;(C103-D103),C103-D103-SUM(E103:U103),(C103-D103)*B103))</f>
        <v>0</v>
      </c>
      <c r="W103" s="417">
        <f>IF(W76&lt;A103,0,IF((SUM(E103:V103)+((C103-D103)*B103))&gt;(C103-D103),C103-D103-SUM(E103:V103),(C103-D103)*B103))</f>
        <v>0</v>
      </c>
      <c r="X103" s="417">
        <f>IF(X76&lt;A103,0,IF((SUM(E103:W103)+((C103-D103)*B103))&gt;(C103-D103),C103-D103-SUM(E103:W103),(C103-D103)*B103))</f>
        <v>0</v>
      </c>
      <c r="Y103" s="417">
        <f>IF(Y76&lt;A103,0,IF((SUM(E103:X103)+((C103-D103)*B103))&gt;(C103-D103),C103-D103-SUM(E103:X103),(C103-D103)*B103))</f>
        <v>0</v>
      </c>
      <c r="Z103" s="417">
        <f>IF(Z76&lt;A103,0,IF((SUM(E103:Y103)+((C103-D103)*B103))&gt;(C103-D103),C103-D103-SUM(E103:Y103),(C103-D103)*B103))</f>
        <v>0</v>
      </c>
      <c r="AA103" s="417">
        <f>IF(AA76&lt;A103,0,IF((SUM(E103:Z103)+((C103-D103)*B103))&gt;(C103-D103),C103-D103-SUM(E103:Z103),(C103-D103)*B103))</f>
        <v>0</v>
      </c>
      <c r="AB103" s="417">
        <f>IF(AB76&lt;A103,0,IF((SUM(E103:AA103)+((C103-D103)*B103))&gt;(C103-D103),C103-D103-SUM(E103:AA103),(C103-D103)*B103))</f>
        <v>0</v>
      </c>
      <c r="AC103" s="417">
        <f>IF(AC76&lt;A103,0,IF((SUM(E103:AB103)+((C103-D103)*B103))&gt;(C103-D103),C103-D103-SUM(E103:AB103),(C103-D103)*B103))</f>
        <v>0</v>
      </c>
      <c r="AD103" s="417">
        <f>IF(AD76&lt;A103,0,IF((SUM(E103:AC103)+((C103-D103)*B103))&gt;(C103-D103),C103-D103-SUM(E103:AC103),(C103-D103)*B103))</f>
        <v>0</v>
      </c>
      <c r="AE103" s="417">
        <f>IF(AE76&lt;A103,0,IF((SUM(E103:AD103)+((C103-D103)*B103))&gt;(C103-D103),C103-D103-SUM(E103:AD103),(C103-D103)*B103))</f>
        <v>0</v>
      </c>
      <c r="AF103" s="417">
        <f>IF(AF76&lt;A103,0,IF((SUM(E103:AE103)+((C103-D103)*B103))&gt;(C103-D103),C103-D103-SUM(E103:AE103),(C103-D103)*B103))</f>
        <v>0</v>
      </c>
      <c r="AG103" s="417">
        <f>IF(AG76&lt;A103,0,IF((SUM(E103:AF103)+((C103-D103)*B103))&gt;(C103-D103),C103-D103-SUM(E103:AF103),(C103-D103)*B103))</f>
        <v>0</v>
      </c>
      <c r="AH103" s="417">
        <f>IF(AH76&lt;A103,0,IF((SUM(E103:AG103)+((C103-D103)*B103))&gt;(C103-D103),C103-D103-SUM(E103:AG103),(C103-D103)*B103))</f>
        <v>0</v>
      </c>
    </row>
    <row r="104" spans="1:34" s="75" customFormat="1" ht="13.15" customHeight="1" outlineLevel="1" x14ac:dyDescent="0.2">
      <c r="A104" s="416">
        <v>28</v>
      </c>
      <c r="B104" s="374">
        <v>0.04</v>
      </c>
      <c r="C104" s="378">
        <f>SUMIF('14 - Investimentos'!B:B,'15 - Depreciação'!A74,'14 - Investimentos'!AE:AE)</f>
        <v>0</v>
      </c>
      <c r="D104" s="417">
        <f>C104*B74</f>
        <v>0</v>
      </c>
      <c r="E104" s="417">
        <f>IF(E76&lt;A104,0,(C104-D104)*B104)</f>
        <v>0</v>
      </c>
      <c r="F104" s="417">
        <f>IF(F76&lt;A104,0,IF((SUM(E104:E104)+((C104-D104)*B104))&gt;(C104-D104),C104-D104-SUM(E104:E104),(C104-D104)*B104))</f>
        <v>0</v>
      </c>
      <c r="G104" s="417">
        <f>IF(G76&lt;A104,0,IF((SUM(E104:F104)+((C104-D104)*B104))&gt;(C104-D104),C104-D104-SUM(E104:F104),(C104-D104)*B104))</f>
        <v>0</v>
      </c>
      <c r="H104" s="417">
        <f>IF(H76&lt;A104,0,IF((SUM(E104:G104)+((C104-D104)*B104))&gt;(C104-D104),C104-D104-SUM(E104:G104),(C104-D104)*B104))</f>
        <v>0</v>
      </c>
      <c r="I104" s="417">
        <f>IF(I76&lt;A104,0,IF((SUM(E104:H104)+((C104-D104)*B104))&gt;(C104-D104),C104-D104-SUM(E104:H104),(C104-D104)*B104))</f>
        <v>0</v>
      </c>
      <c r="J104" s="417">
        <f>IF(J76&lt;A104,0,IF((SUM(E104:I104)+((C104-D104)*B104))&gt;(C104-D104),C104-D104-SUM(E104:I104),(C104-D104)*B104))</f>
        <v>0</v>
      </c>
      <c r="K104" s="417">
        <f>IF(K76&lt;A104,0,IF((SUM(E104:J104)+((C104-D104)*B104))&gt;(C104-D104),C104-D104-SUM(E104:J104),(C104-D104)*B104))</f>
        <v>0</v>
      </c>
      <c r="L104" s="417">
        <f>IF(L76&lt;A104,0,IF((SUM(E104:K104)+((C104-D104)*B104))&gt;(C104-D104),C104-D104-SUM(E104:K104),(C104-D104)*B104))</f>
        <v>0</v>
      </c>
      <c r="M104" s="417">
        <f>IF(M76&lt;A104,0,IF((SUM(E104:L104)+((C104-D104)*B104))&gt;(C104-D104),C104-D104-SUM(E104:L104),(C104-D104)*B104))</f>
        <v>0</v>
      </c>
      <c r="N104" s="417">
        <f>IF(N76&lt;A104,0,IF((SUM(E104:M104)+((C104-D104)*B104))&gt;(C104-D104),C104-D104-SUM(E104:M104),(C104-D104)*B104))</f>
        <v>0</v>
      </c>
      <c r="O104" s="417">
        <f>IF(O76&lt;A104,0,IF((SUM(E104:N104)+((C104-D104)*B104))&gt;(C104-D104),C104-D104-SUM(E104:N104),(C104-D104)*B104))</f>
        <v>0</v>
      </c>
      <c r="P104" s="417">
        <f>IF(P76&lt;A104,0,IF((SUM(E104:O104)+((C104-D104)*B104))&gt;(C104-D104),C104-D104-SUM(E104:O104),(C104-D104)*B104))</f>
        <v>0</v>
      </c>
      <c r="Q104" s="417">
        <f>IF(Q76&lt;A104,0,IF((SUM(E104:P104)+((C104-D104)*B104))&gt;(C104-D104),C104-D104-SUM(E104:P104),(C104-D104)*B104))</f>
        <v>0</v>
      </c>
      <c r="R104" s="417">
        <f>IF(R76&lt;A104,0,IF((SUM(E104:Q104)+((C104-D104)*B104))&gt;(C104-D104),C104-D104-SUM(E104:Q104),(C104-D104)*B104))</f>
        <v>0</v>
      </c>
      <c r="S104" s="417">
        <f>IF(S76&lt;A104,0,IF((SUM(E104:R104)+((C104-D104)*B104))&gt;(C104-D104),C104-D104-SUM(E104:R104),(C104-D104)*B104))</f>
        <v>0</v>
      </c>
      <c r="T104" s="417">
        <f>IF(T76&lt;A104,0,IF((SUM(E104:S104)+((C104-D104)*B104))&gt;(C104-D104),C104-D104-SUM(E104:S104),(C104-D104)*B104))</f>
        <v>0</v>
      </c>
      <c r="U104" s="417">
        <f>IF(U76&lt;A104,0,IF((SUM(E104:T104)+((C104-D104)*B104))&gt;(C104-D104),C104-D104-SUM(E104:T104),(C104-D104)*B104))</f>
        <v>0</v>
      </c>
      <c r="V104" s="417">
        <f>IF(V76&lt;A104,0,IF((SUM(E104:U104)+((C104-D104)*B104))&gt;(C104-D104),C104-D104-SUM(E104:U104),(C104-D104)*B104))</f>
        <v>0</v>
      </c>
      <c r="W104" s="417">
        <f>IF(W76&lt;A104,0,IF((SUM(E104:V104)+((C104-D104)*B104))&gt;(C104-D104),C104-D104-SUM(E104:V104),(C104-D104)*B104))</f>
        <v>0</v>
      </c>
      <c r="X104" s="417">
        <f>IF(X76&lt;A104,0,IF((SUM(E104:W104)+((C104-D104)*B104))&gt;(C104-D104),C104-D104-SUM(E104:W104),(C104-D104)*B104))</f>
        <v>0</v>
      </c>
      <c r="Y104" s="417">
        <f>IF(Y76&lt;A104,0,IF((SUM(E104:X104)+((C104-D104)*B104))&gt;(C104-D104),C104-D104-SUM(E104:X104),(C104-D104)*B104))</f>
        <v>0</v>
      </c>
      <c r="Z104" s="417">
        <f>IF(Z76&lt;A104,0,IF((SUM(E104:Y104)+((C104-D104)*B104))&gt;(C104-D104),C104-D104-SUM(E104:Y104),(C104-D104)*B104))</f>
        <v>0</v>
      </c>
      <c r="AA104" s="417">
        <f>IF(AA76&lt;A104,0,IF((SUM(E104:Z104)+((C104-D104)*B104))&gt;(C104-D104),C104-D104-SUM(E104:Z104),(C104-D104)*B104))</f>
        <v>0</v>
      </c>
      <c r="AB104" s="417">
        <f>IF(AB76&lt;A104,0,IF((SUM(E104:AA104)+((C104-D104)*B104))&gt;(C104-D104),C104-D104-SUM(E104:AA104),(C104-D104)*B104))</f>
        <v>0</v>
      </c>
      <c r="AC104" s="417">
        <f>IF(AC76&lt;A104,0,IF((SUM(E104:AB104)+((C104-D104)*B104))&gt;(C104-D104),C104-D104-SUM(E104:AB104),(C104-D104)*B104))</f>
        <v>0</v>
      </c>
      <c r="AD104" s="417">
        <f>IF(AD76&lt;A104,0,IF((SUM(E104:AC104)+((C104-D104)*B104))&gt;(C104-D104),C104-D104-SUM(E104:AC104),(C104-D104)*B104))</f>
        <v>0</v>
      </c>
      <c r="AE104" s="417">
        <f>IF(AE76&lt;A104,0,IF((SUM(E104:AD104)+((C104-D104)*B104))&gt;(C104-D104),C104-D104-SUM(E104:AD104),(C104-D104)*B104))</f>
        <v>0</v>
      </c>
      <c r="AF104" s="417">
        <f>IF(AF76&lt;A104,0,IF((SUM(E104:AE104)+((C104-D104)*B104))&gt;(C104-D104),C104-D104-SUM(E104:AE104),(C104-D104)*B104))</f>
        <v>0</v>
      </c>
      <c r="AG104" s="417">
        <f>IF(AG76&lt;A104,0,IF((SUM(E104:AF104)+((C104-D104)*B104))&gt;(C104-D104),C104-D104-SUM(E104:AF104),(C104-D104)*B104))</f>
        <v>0</v>
      </c>
      <c r="AH104" s="417">
        <f>IF(AH76&lt;A104,0,IF((SUM(E104:AG104)+((C104-D104)*B104))&gt;(C104-D104),C104-D104-SUM(E104:AG104),(C104-D104)*B104))</f>
        <v>0</v>
      </c>
    </row>
    <row r="105" spans="1:34" s="75" customFormat="1" ht="13.15" customHeight="1" outlineLevel="1" x14ac:dyDescent="0.2">
      <c r="A105" s="416">
        <v>29</v>
      </c>
      <c r="B105" s="374">
        <v>0.04</v>
      </c>
      <c r="C105" s="378">
        <f>SUMIF('14 - Investimentos'!B:B,'15 - Depreciação'!A74,'14 - Investimentos'!AF:AF)</f>
        <v>0</v>
      </c>
      <c r="D105" s="417">
        <f>C105*B74</f>
        <v>0</v>
      </c>
      <c r="E105" s="417">
        <f>IF(E76&lt;A105,0,(C105-D105)*B105)</f>
        <v>0</v>
      </c>
      <c r="F105" s="417">
        <f>IF(F76&lt;A105,0,IF((SUM(E105:E105)+((C105-D105)*B105))&gt;(C105-D105),C105-D105-SUM(E105:E105),(C105-D105)*B105))</f>
        <v>0</v>
      </c>
      <c r="G105" s="417">
        <f>IF(G76&lt;A105,0,IF((SUM(E105:F105)+((C105-D105)*B105))&gt;(C105-D105),C105-D105-SUM(E105:F105),(C105-D105)*B105))</f>
        <v>0</v>
      </c>
      <c r="H105" s="417">
        <f>IF(H76&lt;A105,0,IF((SUM(E105:G105)+((C105-D105)*B105))&gt;(C105-D105),C105-D105-SUM(E105:G105),(C105-D105)*B105))</f>
        <v>0</v>
      </c>
      <c r="I105" s="417">
        <f>IF(I76&lt;A105,0,IF((SUM(E105:H105)+((C105-D105)*B105))&gt;(C105-D105),C105-D105-SUM(E105:H105),(C105-D105)*B105))</f>
        <v>0</v>
      </c>
      <c r="J105" s="417">
        <f>IF(J76&lt;A105,0,IF((SUM(E105:I105)+((C105-D105)*B105))&gt;(C105-D105),C105-D105-SUM(E105:I105),(C105-D105)*B105))</f>
        <v>0</v>
      </c>
      <c r="K105" s="417">
        <f>IF(K76&lt;A105,0,IF((SUM(E105:J105)+((C105-D105)*B105))&gt;(C105-D105),C105-D105-SUM(E105:J105),(C105-D105)*B105))</f>
        <v>0</v>
      </c>
      <c r="L105" s="417">
        <f>IF(L76&lt;A105,0,IF((SUM(E105:K105)+((C105-D105)*B105))&gt;(C105-D105),C105-D105-SUM(E105:K105),(C105-D105)*B105))</f>
        <v>0</v>
      </c>
      <c r="M105" s="417">
        <f>IF(M76&lt;A105,0,IF((SUM(E105:L105)+((C105-D105)*B105))&gt;(C105-D105),C105-D105-SUM(E105:L105),(C105-D105)*B105))</f>
        <v>0</v>
      </c>
      <c r="N105" s="417">
        <f>IF(N76&lt;A105,0,IF((SUM(E105:M105)+((C105-D105)*B105))&gt;(C105-D105),C105-D105-SUM(E105:M105),(C105-D105)*B105))</f>
        <v>0</v>
      </c>
      <c r="O105" s="417">
        <f>IF(O76&lt;A105,0,IF((SUM(E105:N105)+((C105-D105)*B105))&gt;(C105-D105),C105-D105-SUM(E105:N105),(C105-D105)*B105))</f>
        <v>0</v>
      </c>
      <c r="P105" s="417">
        <f>IF(P76&lt;A105,0,IF((SUM(E105:O105)+((C105-D105)*B105))&gt;(C105-D105),C105-D105-SUM(E105:O105),(C105-D105)*B105))</f>
        <v>0</v>
      </c>
      <c r="Q105" s="417">
        <f>IF(Q76&lt;A105,0,IF((SUM(E105:P105)+((C105-D105)*B105))&gt;(C105-D105),C105-D105-SUM(E105:P105),(C105-D105)*B105))</f>
        <v>0</v>
      </c>
      <c r="R105" s="417">
        <f>IF(R76&lt;A105,0,IF((SUM(E105:Q105)+((C105-D105)*B105))&gt;(C105-D105),C105-D105-SUM(E105:Q105),(C105-D105)*B105))</f>
        <v>0</v>
      </c>
      <c r="S105" s="417">
        <f>IF(S76&lt;A105,0,IF((SUM(E105:R105)+((C105-D105)*B105))&gt;(C105-D105),C105-D105-SUM(E105:R105),(C105-D105)*B105))</f>
        <v>0</v>
      </c>
      <c r="T105" s="417">
        <f>IF(T76&lt;A105,0,IF((SUM(E105:S105)+((C105-D105)*B105))&gt;(C105-D105),C105-D105-SUM(E105:S105),(C105-D105)*B105))</f>
        <v>0</v>
      </c>
      <c r="U105" s="417">
        <f>IF(U76&lt;A105,0,IF((SUM(E105:T105)+((C105-D105)*B105))&gt;(C105-D105),C105-D105-SUM(E105:T105),(C105-D105)*B105))</f>
        <v>0</v>
      </c>
      <c r="V105" s="417">
        <f>IF(V76&lt;A105,0,IF((SUM(E105:U105)+((C105-D105)*B105))&gt;(C105-D105),C105-D105-SUM(E105:U105),(C105-D105)*B105))</f>
        <v>0</v>
      </c>
      <c r="W105" s="417">
        <f>IF(W76&lt;A105,0,IF((SUM(E105:V105)+((C105-D105)*B105))&gt;(C105-D105),C105-D105-SUM(E105:V105),(C105-D105)*B105))</f>
        <v>0</v>
      </c>
      <c r="X105" s="417">
        <f>IF(X76&lt;A105,0,IF((SUM(E105:W105)+((C105-D105)*B105))&gt;(C105-D105),C105-D105-SUM(E105:W105),(C105-D105)*B105))</f>
        <v>0</v>
      </c>
      <c r="Y105" s="417">
        <f>IF(Y76&lt;A105,0,IF((SUM(E105:X105)+((C105-D105)*B105))&gt;(C105-D105),C105-D105-SUM(E105:X105),(C105-D105)*B105))</f>
        <v>0</v>
      </c>
      <c r="Z105" s="417">
        <f>IF(Z76&lt;A105,0,IF((SUM(E105:Y105)+((C105-D105)*B105))&gt;(C105-D105),C105-D105-SUM(E105:Y105),(C105-D105)*B105))</f>
        <v>0</v>
      </c>
      <c r="AA105" s="417">
        <f>IF(AA76&lt;A105,0,IF((SUM(E105:Z105)+((C105-D105)*B105))&gt;(C105-D105),C105-D105-SUM(E105:Z105),(C105-D105)*B105))</f>
        <v>0</v>
      </c>
      <c r="AB105" s="417">
        <f>IF(AB76&lt;A105,0,IF((SUM(E105:AA105)+((C105-D105)*B105))&gt;(C105-D105),C105-D105-SUM(E105:AA105),(C105-D105)*B105))</f>
        <v>0</v>
      </c>
      <c r="AC105" s="417">
        <f>IF(AC76&lt;A105,0,IF((SUM(E105:AB105)+((C105-D105)*B105))&gt;(C105-D105),C105-D105-SUM(E105:AB105),(C105-D105)*B105))</f>
        <v>0</v>
      </c>
      <c r="AD105" s="417">
        <f>IF(AD76&lt;A105,0,IF((SUM(E105:AC105)+((C105-D105)*B105))&gt;(C105-D105),C105-D105-SUM(E105:AC105),(C105-D105)*B105))</f>
        <v>0</v>
      </c>
      <c r="AE105" s="417">
        <f>IF(AE76&lt;A105,0,IF((SUM(E105:AD105)+((C105-D105)*B105))&gt;(C105-D105),C105-D105-SUM(E105:AD105),(C105-D105)*B105))</f>
        <v>0</v>
      </c>
      <c r="AF105" s="417">
        <f>IF(AF76&lt;A105,0,IF((SUM(E105:AE105)+((C105-D105)*B105))&gt;(C105-D105),C105-D105-SUM(E105:AE105),(C105-D105)*B105))</f>
        <v>0</v>
      </c>
      <c r="AG105" s="417">
        <f>IF(AG76&lt;A105,0,IF((SUM(E105:AF105)+((C105-D105)*B105))&gt;(C105-D105),C105-D105-SUM(E105:AF105),(C105-D105)*B105))</f>
        <v>0</v>
      </c>
      <c r="AH105" s="417">
        <f>IF(AH76&lt;A105,0,IF((SUM(E105:AG105)+((C105-D105)*B105))&gt;(C105-D105),C105-D105-SUM(E105:AG105),(C105-D105)*B105))</f>
        <v>0</v>
      </c>
    </row>
    <row r="106" spans="1:34" s="75" customFormat="1" ht="13.15" customHeight="1" outlineLevel="1" x14ac:dyDescent="0.2">
      <c r="A106" s="416">
        <v>30</v>
      </c>
      <c r="B106" s="374">
        <v>0.04</v>
      </c>
      <c r="C106" s="378">
        <f>SUMIF('14 - Investimentos'!B:B,'15 - Depreciação'!A74,'14 - Investimentos'!AG:AG)</f>
        <v>0</v>
      </c>
      <c r="D106" s="417">
        <f>C106*B74</f>
        <v>0</v>
      </c>
      <c r="E106" s="417">
        <f>IF(E76&lt;A106,0,(C106-D106)*B106)</f>
        <v>0</v>
      </c>
      <c r="F106" s="417">
        <f>IF(F76&lt;A106,0,IF((SUM(E106:E106)+((C106-D106)*B106))&gt;(C106-D106),C106-D106-SUM(E106:E106),(C106-D106)*B106))</f>
        <v>0</v>
      </c>
      <c r="G106" s="417">
        <f>IF(G76&lt;A106,0,IF((SUM(E106:F106)+((C106-D106)*B106))&gt;(C106-D106),C106-D106-SUM(E106:F106),(C106-D106)*B106))</f>
        <v>0</v>
      </c>
      <c r="H106" s="417">
        <f>IF(H76&lt;A106,0,IF((SUM(E106:G106)+((C106-D106)*B106))&gt;(C106-D106),C106-D106-SUM(E106:G106),(C106-D106)*B106))</f>
        <v>0</v>
      </c>
      <c r="I106" s="417">
        <f>IF(I76&lt;A106,0,IF((SUM(E106:H106)+((C106-D106)*B106))&gt;(C106-D106),C106-D106-SUM(E106:H106),(C106-D106)*B106))</f>
        <v>0</v>
      </c>
      <c r="J106" s="417">
        <f>IF(J76&lt;A106,0,IF((SUM(E106:I106)+((C106-D106)*B106))&gt;(C106-D106),C106-D106-SUM(E106:I106),(C106-D106)*B106))</f>
        <v>0</v>
      </c>
      <c r="K106" s="417">
        <f>IF(K76&lt;A106,0,IF((SUM(E106:J106)+((C106-D106)*B106))&gt;(C106-D106),C106-D106-SUM(E106:J106),(C106-D106)*B106))</f>
        <v>0</v>
      </c>
      <c r="L106" s="417">
        <f>IF(L76&lt;A106,0,IF((SUM(E106:K106)+((C106-D106)*B106))&gt;(C106-D106),C106-D106-SUM(E106:K106),(C106-D106)*B106))</f>
        <v>0</v>
      </c>
      <c r="M106" s="417">
        <f>IF(M76&lt;A106,0,IF((SUM(E106:L106)+((C106-D106)*B106))&gt;(C106-D106),C106-D106-SUM(E106:L106),(C106-D106)*B106))</f>
        <v>0</v>
      </c>
      <c r="N106" s="417">
        <f>IF(N76&lt;A106,0,IF((SUM(E106:M106)+((C106-D106)*B106))&gt;(C106-D106),C106-D106-SUM(E106:M106),(C106-D106)*B106))</f>
        <v>0</v>
      </c>
      <c r="O106" s="417">
        <f>IF(O76&lt;A106,0,IF((SUM(E106:N106)+((C106-D106)*B106))&gt;(C106-D106),C106-D106-SUM(E106:N106),(C106-D106)*B106))</f>
        <v>0</v>
      </c>
      <c r="P106" s="417">
        <f>IF(P76&lt;A106,0,IF((SUM(E106:O106)+((C106-D106)*B106))&gt;(C106-D106),C106-D106-SUM(E106:O106),(C106-D106)*B106))</f>
        <v>0</v>
      </c>
      <c r="Q106" s="417">
        <f>IF(Q76&lt;A106,0,IF((SUM(E106:P106)+((C106-D106)*B106))&gt;(C106-D106),C106-D106-SUM(E106:P106),(C106-D106)*B106))</f>
        <v>0</v>
      </c>
      <c r="R106" s="417">
        <f>IF(R76&lt;A106,0,IF((SUM(E106:Q106)+((C106-D106)*B106))&gt;(C106-D106),C106-D106-SUM(E106:Q106),(C106-D106)*B106))</f>
        <v>0</v>
      </c>
      <c r="S106" s="417">
        <f>IF(S76&lt;A106,0,IF((SUM(E106:R106)+((C106-D106)*B106))&gt;(C106-D106),C106-D106-SUM(E106:R106),(C106-D106)*B106))</f>
        <v>0</v>
      </c>
      <c r="T106" s="417">
        <f>IF(T76&lt;A106,0,IF((SUM(E106:S106)+((C106-D106)*B106))&gt;(C106-D106),C106-D106-SUM(E106:S106),(C106-D106)*B106))</f>
        <v>0</v>
      </c>
      <c r="U106" s="417">
        <f>IF(U76&lt;A106,0,IF((SUM(E106:T106)+((C106-D106)*B106))&gt;(C106-D106),C106-D106-SUM(E106:T106),(C106-D106)*B106))</f>
        <v>0</v>
      </c>
      <c r="V106" s="417">
        <f>IF(V76&lt;A106,0,IF((SUM(E106:U106)+((C106-D106)*B106))&gt;(C106-D106),C106-D106-SUM(E106:U106),(C106-D106)*B106))</f>
        <v>0</v>
      </c>
      <c r="W106" s="417">
        <f>IF(W76&lt;A106,0,IF((SUM(E106:V106)+((C106-D106)*B106))&gt;(C106-D106),C106-D106-SUM(E106:V106),(C106-D106)*B106))</f>
        <v>0</v>
      </c>
      <c r="X106" s="417">
        <f>IF(X76&lt;A106,0,IF((SUM(E106:W106)+((C106-D106)*B106))&gt;(C106-D106),C106-D106-SUM(E106:W106),(C106-D106)*B106))</f>
        <v>0</v>
      </c>
      <c r="Y106" s="417">
        <f>IF(Y76&lt;A106,0,IF((SUM(E106:X106)+((C106-D106)*B106))&gt;(C106-D106),C106-D106-SUM(E106:X106),(C106-D106)*B106))</f>
        <v>0</v>
      </c>
      <c r="Z106" s="417">
        <f>IF(Z76&lt;A106,0,IF((SUM(E106:Y106)+((C106-D106)*B106))&gt;(C106-D106),C106-D106-SUM(E106:Y106),(C106-D106)*B106))</f>
        <v>0</v>
      </c>
      <c r="AA106" s="417">
        <f>IF(AA76&lt;A106,0,IF((SUM(E106:Z106)+((C106-D106)*B106))&gt;(C106-D106),C106-D106-SUM(E106:Z106),(C106-D106)*B106))</f>
        <v>0</v>
      </c>
      <c r="AB106" s="417">
        <f>IF(AB76&lt;A106,0,IF((SUM(E106:AA106)+((C106-D106)*B106))&gt;(C106-D106),C106-D106-SUM(E106:AA106),(C106-D106)*B106))</f>
        <v>0</v>
      </c>
      <c r="AC106" s="417">
        <f>IF(AC76&lt;A106,0,IF((SUM(E106:AB106)+((C106-D106)*B106))&gt;(C106-D106),C106-D106-SUM(E106:AB106),(C106-D106)*B106))</f>
        <v>0</v>
      </c>
      <c r="AD106" s="417">
        <f>IF(AD76&lt;A106,0,IF((SUM(E106:AC106)+((C106-D106)*B106))&gt;(C106-D106),C106-D106-SUM(E106:AC106),(C106-D106)*B106))</f>
        <v>0</v>
      </c>
      <c r="AE106" s="417">
        <f>IF(AE76&lt;A106,0,IF((SUM(E106:AD106)+((C106-D106)*B106))&gt;(C106-D106),C106-D106-SUM(E106:AD106),(C106-D106)*B106))</f>
        <v>0</v>
      </c>
      <c r="AF106" s="417">
        <f>IF(AF76&lt;A106,0,IF((SUM(E106:AE106)+((C106-D106)*B106))&gt;(C106-D106),C106-D106-SUM(E106:AE106),(C106-D106)*B106))</f>
        <v>0</v>
      </c>
      <c r="AG106" s="417">
        <f>IF(AG76&lt;A106,0,IF((SUM(E106:AF106)+((C106-D106)*B106))&gt;(C106-D106),C106-D106-SUM(E106:AF106),(C106-D106)*B106))</f>
        <v>0</v>
      </c>
      <c r="AH106" s="417">
        <f>IF(AH76&lt;A106,0,IF((SUM(E106:AG106)+((C106-D106)*B106))&gt;(C106-D106),C106-D106-SUM(E106:AG106),(C106-D106)*B106))</f>
        <v>0</v>
      </c>
    </row>
    <row r="107" spans="1:34" s="75" customFormat="1" ht="13.15" customHeight="1" x14ac:dyDescent="0.2">
      <c r="A107" s="375" t="s">
        <v>71</v>
      </c>
      <c r="B107" s="379"/>
      <c r="C107" s="380">
        <f>SUM(C77:C106)</f>
        <v>2494546.3140000002</v>
      </c>
      <c r="D107" s="376"/>
      <c r="E107" s="380">
        <f t="shared" ref="E107:AH107" si="2">SUM(E77:E106)</f>
        <v>38377.635600000001</v>
      </c>
      <c r="F107" s="380">
        <f t="shared" si="2"/>
        <v>38377.635600000001</v>
      </c>
      <c r="G107" s="380">
        <f t="shared" si="2"/>
        <v>38377.635600000001</v>
      </c>
      <c r="H107" s="380">
        <f t="shared" si="2"/>
        <v>38377.635600000001</v>
      </c>
      <c r="I107" s="380">
        <f t="shared" si="2"/>
        <v>38377.635600000001</v>
      </c>
      <c r="J107" s="380">
        <f t="shared" si="2"/>
        <v>38377.635600000001</v>
      </c>
      <c r="K107" s="380">
        <f t="shared" si="2"/>
        <v>38377.635600000001</v>
      </c>
      <c r="L107" s="380">
        <f t="shared" si="2"/>
        <v>38377.635600000001</v>
      </c>
      <c r="M107" s="380">
        <f t="shared" si="2"/>
        <v>38377.635600000001</v>
      </c>
      <c r="N107" s="380">
        <f t="shared" si="2"/>
        <v>38377.635600000001</v>
      </c>
      <c r="O107" s="380">
        <f t="shared" si="2"/>
        <v>69079.744080000004</v>
      </c>
      <c r="P107" s="380">
        <f t="shared" si="2"/>
        <v>69079.744080000004</v>
      </c>
      <c r="Q107" s="380">
        <f t="shared" si="2"/>
        <v>69079.744080000004</v>
      </c>
      <c r="R107" s="380">
        <f t="shared" si="2"/>
        <v>69079.744080000004</v>
      </c>
      <c r="S107" s="380">
        <f t="shared" si="2"/>
        <v>69079.744080000004</v>
      </c>
      <c r="T107" s="380">
        <f t="shared" si="2"/>
        <v>69079.744080000004</v>
      </c>
      <c r="U107" s="380">
        <f t="shared" si="2"/>
        <v>69079.744080000004</v>
      </c>
      <c r="V107" s="380">
        <f t="shared" si="2"/>
        <v>69079.744080000004</v>
      </c>
      <c r="W107" s="380">
        <f t="shared" si="2"/>
        <v>69079.744080000004</v>
      </c>
      <c r="X107" s="380">
        <f t="shared" si="2"/>
        <v>69079.744080000004</v>
      </c>
      <c r="Y107" s="380">
        <f t="shared" si="2"/>
        <v>99781.852559999999</v>
      </c>
      <c r="Z107" s="380">
        <f t="shared" si="2"/>
        <v>99781.852559999999</v>
      </c>
      <c r="AA107" s="380">
        <f t="shared" si="2"/>
        <v>99781.852559999999</v>
      </c>
      <c r="AB107" s="380">
        <f t="shared" si="2"/>
        <v>99781.852559999999</v>
      </c>
      <c r="AC107" s="380">
        <f t="shared" si="2"/>
        <v>99781.852559999999</v>
      </c>
      <c r="AD107" s="380">
        <f t="shared" si="2"/>
        <v>61404.216959999656</v>
      </c>
      <c r="AE107" s="380">
        <f t="shared" si="2"/>
        <v>61404.216960000005</v>
      </c>
      <c r="AF107" s="380">
        <f t="shared" si="2"/>
        <v>61404.216960000005</v>
      </c>
      <c r="AG107" s="380">
        <f t="shared" si="2"/>
        <v>61404.216960000005</v>
      </c>
      <c r="AH107" s="380">
        <f t="shared" si="2"/>
        <v>61404.216960000005</v>
      </c>
    </row>
    <row r="108" spans="1:34" s="75" customFormat="1" ht="13.15" customHeight="1" x14ac:dyDescent="0.2">
      <c r="A108" s="415"/>
      <c r="B108" s="78"/>
      <c r="C108" s="78"/>
      <c r="D108" s="414"/>
      <c r="E108" s="414"/>
      <c r="F108" s="414"/>
      <c r="G108" s="414"/>
      <c r="H108" s="414"/>
      <c r="I108" s="414"/>
      <c r="J108" s="414"/>
      <c r="K108" s="414"/>
      <c r="L108" s="414"/>
      <c r="M108" s="414"/>
      <c r="N108" s="414"/>
      <c r="O108" s="414"/>
      <c r="P108" s="414"/>
      <c r="Q108" s="414"/>
      <c r="R108" s="414"/>
      <c r="S108" s="414"/>
      <c r="T108" s="414"/>
      <c r="U108" s="414"/>
      <c r="V108" s="414"/>
      <c r="W108" s="414"/>
      <c r="X108" s="414"/>
      <c r="Y108" s="414"/>
      <c r="Z108" s="414"/>
      <c r="AA108" s="414"/>
      <c r="AB108" s="414"/>
      <c r="AC108" s="414"/>
      <c r="AD108" s="414"/>
      <c r="AE108" s="414"/>
      <c r="AF108" s="414"/>
      <c r="AG108" s="414"/>
      <c r="AH108" s="415"/>
    </row>
    <row r="109" spans="1:34" s="75" customFormat="1" ht="13.15" customHeight="1" x14ac:dyDescent="0.2">
      <c r="A109" s="373" t="s">
        <v>1082</v>
      </c>
      <c r="B109" s="373" t="s">
        <v>1117</v>
      </c>
      <c r="C109" s="78"/>
      <c r="D109" s="414"/>
      <c r="E109" s="414"/>
      <c r="F109" s="414"/>
      <c r="G109" s="414"/>
      <c r="H109" s="414"/>
      <c r="I109" s="414"/>
      <c r="J109" s="414"/>
      <c r="K109" s="414"/>
      <c r="L109" s="414"/>
      <c r="M109" s="414"/>
      <c r="N109" s="414"/>
      <c r="O109" s="414"/>
      <c r="P109" s="414"/>
      <c r="Q109" s="414"/>
      <c r="R109" s="414"/>
      <c r="S109" s="414"/>
      <c r="T109" s="414"/>
      <c r="U109" s="414"/>
      <c r="V109" s="414"/>
      <c r="W109" s="414"/>
      <c r="X109" s="414"/>
      <c r="Y109" s="414"/>
      <c r="Z109" s="414"/>
      <c r="AA109" s="414"/>
      <c r="AB109" s="414"/>
      <c r="AC109" s="414"/>
      <c r="AD109" s="414"/>
      <c r="AE109" s="414"/>
      <c r="AF109" s="414"/>
      <c r="AG109" s="414"/>
      <c r="AH109" s="415"/>
    </row>
    <row r="110" spans="1:34" s="75" customFormat="1" ht="13.15" customHeight="1" x14ac:dyDescent="0.2">
      <c r="A110" s="523" t="s">
        <v>1101</v>
      </c>
      <c r="B110" s="374">
        <v>0</v>
      </c>
      <c r="C110" s="78"/>
      <c r="D110" s="414"/>
      <c r="E110" s="414"/>
      <c r="F110" s="414"/>
      <c r="G110" s="414"/>
      <c r="H110" s="414"/>
      <c r="I110" s="414"/>
      <c r="J110" s="414"/>
      <c r="K110" s="414"/>
      <c r="L110" s="414"/>
      <c r="M110" s="414"/>
      <c r="N110" s="414"/>
      <c r="O110" s="414"/>
      <c r="P110" s="414"/>
      <c r="Q110" s="414"/>
      <c r="R110" s="414"/>
      <c r="S110" s="414"/>
      <c r="T110" s="414"/>
      <c r="U110" s="414"/>
      <c r="V110" s="414"/>
      <c r="W110" s="414"/>
      <c r="X110" s="414"/>
      <c r="Y110" s="414"/>
      <c r="Z110" s="414"/>
      <c r="AA110" s="414"/>
      <c r="AB110" s="414"/>
      <c r="AC110" s="414"/>
      <c r="AD110" s="414"/>
      <c r="AE110" s="414"/>
      <c r="AF110" s="414"/>
      <c r="AG110" s="414"/>
      <c r="AH110" s="415"/>
    </row>
    <row r="111" spans="1:34" s="75" customFormat="1" ht="13.15" customHeight="1" x14ac:dyDescent="0.2">
      <c r="A111" s="415"/>
      <c r="B111" s="78"/>
      <c r="C111" s="78"/>
      <c r="D111" s="414"/>
      <c r="E111" s="414"/>
      <c r="F111" s="414"/>
      <c r="G111" s="414"/>
      <c r="H111" s="414"/>
      <c r="I111" s="414"/>
      <c r="J111" s="414"/>
      <c r="K111" s="414"/>
      <c r="L111" s="414"/>
      <c r="M111" s="414"/>
      <c r="N111" s="414"/>
      <c r="O111" s="414"/>
      <c r="P111" s="414"/>
      <c r="Q111" s="414"/>
      <c r="R111" s="414"/>
      <c r="S111" s="414"/>
      <c r="T111" s="414"/>
      <c r="U111" s="414"/>
      <c r="V111" s="414"/>
      <c r="W111" s="414"/>
      <c r="X111" s="414"/>
      <c r="Y111" s="414"/>
      <c r="Z111" s="414"/>
      <c r="AA111" s="414"/>
      <c r="AB111" s="414"/>
      <c r="AC111" s="414"/>
      <c r="AD111" s="414"/>
      <c r="AE111" s="414"/>
      <c r="AF111" s="414"/>
      <c r="AG111" s="414"/>
      <c r="AH111" s="415"/>
    </row>
    <row r="112" spans="1:34" s="78" customFormat="1" ht="13.15" customHeight="1" x14ac:dyDescent="0.2">
      <c r="A112" s="375" t="s">
        <v>744</v>
      </c>
      <c r="B112" s="375" t="s">
        <v>1118</v>
      </c>
      <c r="C112" s="375" t="s">
        <v>1119</v>
      </c>
      <c r="D112" s="376" t="s">
        <v>1117</v>
      </c>
      <c r="E112" s="377">
        <v>1</v>
      </c>
      <c r="F112" s="377">
        <v>2</v>
      </c>
      <c r="G112" s="377">
        <v>3</v>
      </c>
      <c r="H112" s="377">
        <v>4</v>
      </c>
      <c r="I112" s="377">
        <v>5</v>
      </c>
      <c r="J112" s="377">
        <v>6</v>
      </c>
      <c r="K112" s="377">
        <v>7</v>
      </c>
      <c r="L112" s="377">
        <v>8</v>
      </c>
      <c r="M112" s="377">
        <v>9</v>
      </c>
      <c r="N112" s="377">
        <v>10</v>
      </c>
      <c r="O112" s="377">
        <v>11</v>
      </c>
      <c r="P112" s="377">
        <v>12</v>
      </c>
      <c r="Q112" s="377">
        <v>13</v>
      </c>
      <c r="R112" s="377">
        <v>14</v>
      </c>
      <c r="S112" s="377">
        <v>15</v>
      </c>
      <c r="T112" s="377">
        <v>16</v>
      </c>
      <c r="U112" s="377">
        <v>17</v>
      </c>
      <c r="V112" s="377">
        <v>18</v>
      </c>
      <c r="W112" s="377">
        <v>19</v>
      </c>
      <c r="X112" s="377">
        <v>20</v>
      </c>
      <c r="Y112" s="377">
        <v>21</v>
      </c>
      <c r="Z112" s="377">
        <v>22</v>
      </c>
      <c r="AA112" s="377">
        <v>23</v>
      </c>
      <c r="AB112" s="377">
        <v>24</v>
      </c>
      <c r="AC112" s="377">
        <v>25</v>
      </c>
      <c r="AD112" s="377">
        <v>26</v>
      </c>
      <c r="AE112" s="377">
        <v>27</v>
      </c>
      <c r="AF112" s="377">
        <v>28</v>
      </c>
      <c r="AG112" s="377">
        <v>29</v>
      </c>
      <c r="AH112" s="377">
        <v>30</v>
      </c>
    </row>
    <row r="113" spans="1:34" s="75" customFormat="1" ht="13.15" customHeight="1" outlineLevel="1" x14ac:dyDescent="0.2">
      <c r="A113" s="416">
        <v>1</v>
      </c>
      <c r="B113" s="374">
        <v>0.1</v>
      </c>
      <c r="C113" s="378">
        <f>SUMIF('14 - Investimentos'!B:B,'15 - Depreciação'!A110,'14 - Investimentos'!E:E)</f>
        <v>615000</v>
      </c>
      <c r="D113" s="417">
        <f>C113*B110</f>
        <v>0</v>
      </c>
      <c r="E113" s="417">
        <f>IF(E112&lt;A113,0,(C113-D113)*B113)</f>
        <v>61500</v>
      </c>
      <c r="F113" s="417">
        <f>IF(F112&lt;A113,0,IF((SUM(E113:E113)+((C113-D113)*B113))&gt;(C113-D113),C113-D113-SUM(E113:E113),(C113-D113)*B113))</f>
        <v>61500</v>
      </c>
      <c r="G113" s="417">
        <f>IF(G112&lt;A113,0,IF((SUM(E113:F113)+((C113-D113)*B113))&gt;(C113-D113),C113-D113-SUM(E113:F113),(C113-D113)*B113))</f>
        <v>61500</v>
      </c>
      <c r="H113" s="417">
        <f>IF(H112&lt;A113,0,IF((SUM(E113:G113)+((C113-D113)*B113))&gt;(C113-D113),C113-D113-SUM(E113:G113),(C113-D113)*B113))</f>
        <v>61500</v>
      </c>
      <c r="I113" s="417">
        <f>IF(I112&lt;A113,0,IF((SUM(E113:H113)+((C113-D113)*B113))&gt;(C113-D113),C113-D113-SUM(E113:H113),(C113-D113)*B113))</f>
        <v>61500</v>
      </c>
      <c r="J113" s="417">
        <f>IF(J112&lt;A113,0,IF((SUM(E113:I113)+((C113-D113)*B113))&gt;(C113-D113),C113-D113-SUM(E113:I113),(C113-D113)*B113))</f>
        <v>61500</v>
      </c>
      <c r="K113" s="417">
        <f>IF(K112&lt;A113,0,IF((SUM(E113:J113)+((C113-D113)*B113))&gt;(C113-D113),C113-D113-SUM(E113:J113),(C113-D113)*B113))</f>
        <v>61500</v>
      </c>
      <c r="L113" s="417">
        <f>IF(L112&lt;A113,0,IF((SUM(E113:K113)+((C113-D113)*B113))&gt;(C113-D113),C113-D113-SUM(E113:K113),(C113-D113)*B113))</f>
        <v>61500</v>
      </c>
      <c r="M113" s="417">
        <f>IF(M112&lt;A113,0,IF((SUM(E113:L113)+((C113-D113)*B113))&gt;(C113-D113),C113-D113-SUM(E113:L113),(C113-D113)*B113))</f>
        <v>61500</v>
      </c>
      <c r="N113" s="417">
        <f>IF(N112&lt;A113,0,IF((SUM(E113:M113)+((C113-D113)*B113))&gt;(C113-D113),C113-D113-SUM(E113:M113),(C113-D113)*B113))</f>
        <v>61500</v>
      </c>
      <c r="O113" s="417">
        <f>IF(O112&lt;A113,0,IF((SUM(E113:N113)+((C113-D113)*B113))&gt;(C113-D113),C113-D113-SUM(E113:N113),(C113-D113)*B113))</f>
        <v>0</v>
      </c>
      <c r="P113" s="417">
        <f>IF(P112&lt;A113,0,IF((SUM(E113:O113)+((C113-D113)*B113))&gt;(C113-D113),C113-D113-SUM(E113:O113),(C113-D113)*B113))</f>
        <v>0</v>
      </c>
      <c r="Q113" s="417">
        <f>IF(Q112&lt;A113,0,IF((SUM(E113:P113)+((C113-D113)*B113))&gt;(C113-D113),C113-D113-SUM(E113:P113),(C113-D113)*B113))</f>
        <v>0</v>
      </c>
      <c r="R113" s="417">
        <f>IF(R112&lt;A113,0,IF((SUM(E113:Q113)+((C113-D113)*B113))&gt;(C113-D113),C113-D113-SUM(E113:Q113),(C113-D113)*B113))</f>
        <v>0</v>
      </c>
      <c r="S113" s="417">
        <f>IF(S112&lt;A113,0,IF((SUM(E113:R113)+((C113-D113)*B113))&gt;(C113-D113),C113-D113-SUM(E113:R113),(C113-D113)*B113))</f>
        <v>0</v>
      </c>
      <c r="T113" s="417">
        <f>IF(T112&lt;A113,0,IF((SUM(E113:S113)+((C113-D113)*B113))&gt;(C113-D113),C113-D113-SUM(E113:S113),(C113-D113)*B113))</f>
        <v>0</v>
      </c>
      <c r="U113" s="417">
        <f>IF(U112&lt;A113,0,IF((SUM(E113:T113)+((C113-D113)*B113))&gt;(C113-D113),C113-D113-SUM(E113:T113),(C113-D113)*B113))</f>
        <v>0</v>
      </c>
      <c r="V113" s="417">
        <f>IF(V112&lt;A113,0,IF((SUM(E113:U113)+((C113-D113)*B113))&gt;(C113-D113),C113-D113-SUM(E113:U113),(C113-D113)*B113))</f>
        <v>0</v>
      </c>
      <c r="W113" s="417">
        <f>IF(W112&lt;A113,0,IF((SUM(E113:V113)+((C113-D113)*B113))&gt;(C113-D113),C113-D113-SUM(E113:V113),(C113-D113)*B113))</f>
        <v>0</v>
      </c>
      <c r="X113" s="417">
        <f>IF(X112&lt;A113,0,IF((SUM(E113:W113)+((C113-D113)*B113))&gt;(C113-D113),C113-D113-SUM(E113:W113),(C113-D113)*B113))</f>
        <v>0</v>
      </c>
      <c r="Y113" s="417">
        <f>IF(Y112&lt;A113,0,IF((SUM(E113:X113)+((C113-D113)*B113))&gt;(C113-D113),C113-D113-SUM(E113:X113),(C113-D113)*B113))</f>
        <v>0</v>
      </c>
      <c r="Z113" s="417">
        <f>IF(Z112&lt;A113,0,IF((SUM(E113:Y113)+((C113-D113)*B113))&gt;(C113-D113),C113-D113-SUM(E113:Y113),(C113-D113)*B113))</f>
        <v>0</v>
      </c>
      <c r="AA113" s="417">
        <f>IF(AA112&lt;A113,0,IF((SUM(E113:Z113)+((C113-D113)*B113))&gt;(C113-D113),C113-D113-SUM(E113:Z113),(C113-D113)*B113))</f>
        <v>0</v>
      </c>
      <c r="AB113" s="417">
        <f>IF(AB112&lt;A113,0,IF((SUM(E113:AA113)+((C113-D113)*B113))&gt;(C113-D113),C113-D113-SUM(E113:AA113),(C113-D113)*B113))</f>
        <v>0</v>
      </c>
      <c r="AC113" s="417">
        <f>IF(AC112&lt;A113,0,IF((SUM(E113:AB113)+((C113-D113)*B113))&gt;(C113-D113),C113-D113-SUM(E113:AB113),(C113-D113)*B113))</f>
        <v>0</v>
      </c>
      <c r="AD113" s="417">
        <f>IF(AD112&lt;A113,0,IF((SUM(E113:AC113)+((C113-D113)*B113))&gt;(C113-D113),C113-D113-SUM(E113:AC113),(C113-D113)*B113))</f>
        <v>0</v>
      </c>
      <c r="AE113" s="417">
        <f>IF(AE112&lt;A113,0,IF((SUM(E113:AD113)+((C113-D113)*B113))&gt;(C113-D113),C113-D113-SUM(E113:AD113),(C113-D113)*B113))</f>
        <v>0</v>
      </c>
      <c r="AF113" s="417">
        <f>IF(AF112&lt;A113,0,IF((SUM(E113:AE113)+((C113-D113)*B113))&gt;(C113-D113),C113-D113-SUM(E113:AE113),(C113-D113)*B113))</f>
        <v>0</v>
      </c>
      <c r="AG113" s="417">
        <f>IF(AG112&lt;A113,0,IF((SUM(E113:AF113)+((C113-D113)*B113))&gt;(C113-D113),C113-D113-SUM(E113:AF113),(C113-D113)*B113))</f>
        <v>0</v>
      </c>
      <c r="AH113" s="417">
        <f>IF(AH112&lt;A113,0,IF((SUM(E113:AG113)+((C113-D113)*B113))&gt;(C113-D113),C113-D113-SUM(E113:AG113),(C113-D113)*B113))</f>
        <v>0</v>
      </c>
    </row>
    <row r="114" spans="1:34" s="75" customFormat="1" ht="13.15" customHeight="1" outlineLevel="1" x14ac:dyDescent="0.2">
      <c r="A114" s="416">
        <v>2</v>
      </c>
      <c r="B114" s="374">
        <v>0.1</v>
      </c>
      <c r="C114" s="378">
        <f>SUMIF('14 - Investimentos'!B:B,'15 - Depreciação'!A110,'14 - Investimentos'!F:F)</f>
        <v>0</v>
      </c>
      <c r="D114" s="417">
        <f>C114*B110</f>
        <v>0</v>
      </c>
      <c r="E114" s="417">
        <f>IF(E112&lt;A114,0,(C114-D114)*B114)</f>
        <v>0</v>
      </c>
      <c r="F114" s="417">
        <f>IF(F112&lt;A114,0,IF((SUM(E114:E114)+((C114-D114)*B114))&gt;(C114-D114),C114-D114-SUM(E114:E114),(C114-D114)*B114))</f>
        <v>0</v>
      </c>
      <c r="G114" s="417">
        <f>IF(G112&lt;A114,0,IF((SUM(E114:F114)+((C114-D114)*B114))&gt;(C114-D114),C114-D114-SUM(E114:F114),(C114-D114)*B114))</f>
        <v>0</v>
      </c>
      <c r="H114" s="417">
        <f>IF(H112&lt;A114,0,IF((SUM(E114:G114)+((C114-D114)*B114))&gt;(C114-D114),C114-D114-SUM(E114:G114),(C114-D114)*B114))</f>
        <v>0</v>
      </c>
      <c r="I114" s="417">
        <f>IF(I112&lt;A114,0,IF((SUM(E114:H114)+((C114-D114)*B114))&gt;(C114-D114),C114-D114-SUM(E114:H114),(C114-D114)*B114))</f>
        <v>0</v>
      </c>
      <c r="J114" s="417">
        <f>IF(J112&lt;A114,0,IF((SUM(E114:I114)+((C114-D114)*B114))&gt;(C114-D114),C114-D114-SUM(E114:I114),(C114-D114)*B114))</f>
        <v>0</v>
      </c>
      <c r="K114" s="417">
        <f>IF(K112&lt;A114,0,IF((SUM(E114:J114)+((C114-D114)*B114))&gt;(C114-D114),C114-D114-SUM(E114:J114),(C114-D114)*B114))</f>
        <v>0</v>
      </c>
      <c r="L114" s="417">
        <f>IF(L112&lt;A114,0,IF((SUM(E114:K114)+((C114-D114)*B114))&gt;(C114-D114),C114-D114-SUM(E114:K114),(C114-D114)*B114))</f>
        <v>0</v>
      </c>
      <c r="M114" s="417">
        <f>IF(M112&lt;A114,0,IF((SUM(E114:L114)+((C114-D114)*B114))&gt;(C114-D114),C114-D114-SUM(E114:L114),(C114-D114)*B114))</f>
        <v>0</v>
      </c>
      <c r="N114" s="417">
        <f>IF(N112&lt;A114,0,IF((SUM(E114:M114)+((C114-D114)*B114))&gt;(C114-D114),C114-D114-SUM(E114:M114),(C114-D114)*B114))</f>
        <v>0</v>
      </c>
      <c r="O114" s="417">
        <f>IF(O112&lt;A114,0,IF((SUM(E114:N114)+((C114-D114)*B114))&gt;(C114-D114),C114-D114-SUM(E114:N114),(C114-D114)*B114))</f>
        <v>0</v>
      </c>
      <c r="P114" s="417">
        <f>IF(P112&lt;A114,0,IF((SUM(E114:O114)+((C114-D114)*B114))&gt;(C114-D114),C114-D114-SUM(E114:O114),(C114-D114)*B114))</f>
        <v>0</v>
      </c>
      <c r="Q114" s="417">
        <f>IF(Q112&lt;A114,0,IF((SUM(E114:P114)+((C114-D114)*B114))&gt;(C114-D114),C114-D114-SUM(E114:P114),(C114-D114)*B114))</f>
        <v>0</v>
      </c>
      <c r="R114" s="417">
        <f>IF(R112&lt;A114,0,IF((SUM(E114:Q114)+((C114-D114)*B114))&gt;(C114-D114),C114-D114-SUM(E114:Q114),(C114-D114)*B114))</f>
        <v>0</v>
      </c>
      <c r="S114" s="417">
        <f>IF(S112&lt;A114,0,IF((SUM(E114:R114)+((C114-D114)*B114))&gt;(C114-D114),C114-D114-SUM(E114:R114),(C114-D114)*B114))</f>
        <v>0</v>
      </c>
      <c r="T114" s="417">
        <f>IF(T112&lt;A114,0,IF((SUM(E114:S114)+((C114-D114)*B114))&gt;(C114-D114),C114-D114-SUM(E114:S114),(C114-D114)*B114))</f>
        <v>0</v>
      </c>
      <c r="U114" s="417">
        <f>IF(U112&lt;A114,0,IF((SUM(E114:T114)+((C114-D114)*B114))&gt;(C114-D114),C114-D114-SUM(E114:T114),(C114-D114)*B114))</f>
        <v>0</v>
      </c>
      <c r="V114" s="417">
        <f>IF(V112&lt;A114,0,IF((SUM(E114:U114)+((C114-D114)*B114))&gt;(C114-D114),C114-D114-SUM(E114:U114),(C114-D114)*B114))</f>
        <v>0</v>
      </c>
      <c r="W114" s="417">
        <f>IF(W112&lt;A114,0,IF((SUM(E114:V114)+((C114-D114)*B114))&gt;(C114-D114),C114-D114-SUM(E114:V114),(C114-D114)*B114))</f>
        <v>0</v>
      </c>
      <c r="X114" s="417">
        <f>IF(X112&lt;A114,0,IF((SUM(E114:W114)+((C114-D114)*B114))&gt;(C114-D114),C114-D114-SUM(E114:W114),(C114-D114)*B114))</f>
        <v>0</v>
      </c>
      <c r="Y114" s="417">
        <f>IF(Y112&lt;A114,0,IF((SUM(E114:X114)+((C114-D114)*B114))&gt;(C114-D114),C114-D114-SUM(E114:X114),(C114-D114)*B114))</f>
        <v>0</v>
      </c>
      <c r="Z114" s="417">
        <f>IF(Z112&lt;A114,0,IF((SUM(E114:Y114)+((C114-D114)*B114))&gt;(C114-D114),C114-D114-SUM(E114:Y114),(C114-D114)*B114))</f>
        <v>0</v>
      </c>
      <c r="AA114" s="417">
        <f>IF(AA112&lt;A114,0,IF((SUM(E114:Z114)+((C114-D114)*B114))&gt;(C114-D114),C114-D114-SUM(E114:Z114),(C114-D114)*B114))</f>
        <v>0</v>
      </c>
      <c r="AB114" s="417">
        <f>IF(AB112&lt;A114,0,IF((SUM(E114:AA114)+((C114-D114)*B114))&gt;(C114-D114),C114-D114-SUM(E114:AA114),(C114-D114)*B114))</f>
        <v>0</v>
      </c>
      <c r="AC114" s="417">
        <f>IF(AC112&lt;A114,0,IF((SUM(E114:AB114)+((C114-D114)*B114))&gt;(C114-D114),C114-D114-SUM(E114:AB114),(C114-D114)*B114))</f>
        <v>0</v>
      </c>
      <c r="AD114" s="417">
        <f>IF(AD112&lt;A114,0,IF((SUM(E114:AC114)+((C114-D114)*B114))&gt;(C114-D114),C114-D114-SUM(E114:AC114),(C114-D114)*B114))</f>
        <v>0</v>
      </c>
      <c r="AE114" s="417">
        <f>IF(AE112&lt;A114,0,IF((SUM(E114:AD114)+((C114-D114)*B114))&gt;(C114-D114),C114-D114-SUM(E114:AD114),(C114-D114)*B114))</f>
        <v>0</v>
      </c>
      <c r="AF114" s="417">
        <f>IF(AF112&lt;A114,0,IF((SUM(E114:AE114)+((C114-D114)*B114))&gt;(C114-D114),C114-D114-SUM(E114:AE114),(C114-D114)*B114))</f>
        <v>0</v>
      </c>
      <c r="AG114" s="417">
        <f>IF(AG112&lt;A114,0,IF((SUM(E114:AF114)+((C114-D114)*B114))&gt;(C114-D114),C114-D114-SUM(E114:AF114),(C114-D114)*B114))</f>
        <v>0</v>
      </c>
      <c r="AH114" s="417">
        <f>IF(AH112&lt;A114,0,IF((SUM(E114:AG114)+((C114-D114)*B114))&gt;(C114-D114),C114-D114-SUM(E114:AG114),(C114-D114)*B114))</f>
        <v>0</v>
      </c>
    </row>
    <row r="115" spans="1:34" s="75" customFormat="1" ht="13.15" customHeight="1" outlineLevel="1" x14ac:dyDescent="0.2">
      <c r="A115" s="416">
        <v>3</v>
      </c>
      <c r="B115" s="374">
        <v>0.1</v>
      </c>
      <c r="C115" s="378">
        <f>SUMIF('14 - Investimentos'!B:B,'15 - Depreciação'!A110,'14 - Investimentos'!G:G)</f>
        <v>0</v>
      </c>
      <c r="D115" s="417">
        <f>C115*B110</f>
        <v>0</v>
      </c>
      <c r="E115" s="417">
        <f>IF(E112&lt;A115,0,(C115-D115)*B115)</f>
        <v>0</v>
      </c>
      <c r="F115" s="417">
        <f>IF(F112&lt;A115,0,IF((SUM(E115:E115)+((C115-D115)*B115))&gt;(C115-D115),C115-D115-SUM(E115:E115),(C115-D115)*B115))</f>
        <v>0</v>
      </c>
      <c r="G115" s="417">
        <f>IF(G112&lt;A115,0,IF((SUM(E115:F115)+((C115-D115)*B115))&gt;(C115-D115),C115-D115-SUM(E115:F115),(C115-D115)*B115))</f>
        <v>0</v>
      </c>
      <c r="H115" s="417">
        <f>IF(H112&lt;A115,0,IF((SUM(E115:G115)+((C115-D115)*B115))&gt;(C115-D115),C115-D115-SUM(E115:G115),(C115-D115)*B115))</f>
        <v>0</v>
      </c>
      <c r="I115" s="417">
        <f>IF(I112&lt;A115,0,IF((SUM(E115:H115)+((C115-D115)*B115))&gt;(C115-D115),C115-D115-SUM(E115:H115),(C115-D115)*B115))</f>
        <v>0</v>
      </c>
      <c r="J115" s="417">
        <f>IF(J112&lt;A115,0,IF((SUM(E115:I115)+((C115-D115)*B115))&gt;(C115-D115),C115-D115-SUM(E115:I115),(C115-D115)*B115))</f>
        <v>0</v>
      </c>
      <c r="K115" s="417">
        <f>IF(K112&lt;A115,0,IF((SUM(E115:J115)+((C115-D115)*B115))&gt;(C115-D115),C115-D115-SUM(E115:J115),(C115-D115)*B115))</f>
        <v>0</v>
      </c>
      <c r="L115" s="417">
        <f>IF(L112&lt;A115,0,IF((SUM(E115:K115)+((C115-D115)*B115))&gt;(C115-D115),C115-D115-SUM(E115:K115),(C115-D115)*B115))</f>
        <v>0</v>
      </c>
      <c r="M115" s="417">
        <f>IF(M112&lt;A115,0,IF((SUM(E115:L115)+((C115-D115)*B115))&gt;(C115-D115),C115-D115-SUM(E115:L115),(C115-D115)*B115))</f>
        <v>0</v>
      </c>
      <c r="N115" s="417">
        <f>IF(N112&lt;A115,0,IF((SUM(E115:M115)+((C115-D115)*B115))&gt;(C115-D115),C115-D115-SUM(E115:M115),(C115-D115)*B115))</f>
        <v>0</v>
      </c>
      <c r="O115" s="417">
        <f>IF(O112&lt;A115,0,IF((SUM(E115:N115)+((C115-D115)*B115))&gt;(C115-D115),C115-D115-SUM(E115:N115),(C115-D115)*B115))</f>
        <v>0</v>
      </c>
      <c r="P115" s="417">
        <f>IF(P112&lt;A115,0,IF((SUM(E115:O115)+((C115-D115)*B115))&gt;(C115-D115),C115-D115-SUM(E115:O115),(C115-D115)*B115))</f>
        <v>0</v>
      </c>
      <c r="Q115" s="417">
        <f>IF(Q112&lt;A115,0,IF((SUM(E115:P115)+((C115-D115)*B115))&gt;(C115-D115),C115-D115-SUM(E115:P115),(C115-D115)*B115))</f>
        <v>0</v>
      </c>
      <c r="R115" s="417">
        <f>IF(R112&lt;A115,0,IF((SUM(E115:Q115)+((C115-D115)*B115))&gt;(C115-D115),C115-D115-SUM(E115:Q115),(C115-D115)*B115))</f>
        <v>0</v>
      </c>
      <c r="S115" s="417">
        <f>IF(S112&lt;A115,0,IF((SUM(E115:R115)+((C115-D115)*B115))&gt;(C115-D115),C115-D115-SUM(E115:R115),(C115-D115)*B115))</f>
        <v>0</v>
      </c>
      <c r="T115" s="417">
        <f>IF(T112&lt;A115,0,IF((SUM(E115:S115)+((C115-D115)*B115))&gt;(C115-D115),C115-D115-SUM(E115:S115),(C115-D115)*B115))</f>
        <v>0</v>
      </c>
      <c r="U115" s="417">
        <f>IF(U112&lt;A115,0,IF((SUM(E115:T115)+((C115-D115)*B115))&gt;(C115-D115),C115-D115-SUM(E115:T115),(C115-D115)*B115))</f>
        <v>0</v>
      </c>
      <c r="V115" s="417">
        <f>IF(V112&lt;A115,0,IF((SUM(E115:U115)+((C115-D115)*B115))&gt;(C115-D115),C115-D115-SUM(E115:U115),(C115-D115)*B115))</f>
        <v>0</v>
      </c>
      <c r="W115" s="417">
        <f>IF(W112&lt;A115,0,IF((SUM(E115:V115)+((C115-D115)*B115))&gt;(C115-D115),C115-D115-SUM(E115:V115),(C115-D115)*B115))</f>
        <v>0</v>
      </c>
      <c r="X115" s="417">
        <f>IF(X112&lt;A115,0,IF((SUM(E115:W115)+((C115-D115)*B115))&gt;(C115-D115),C115-D115-SUM(E115:W115),(C115-D115)*B115))</f>
        <v>0</v>
      </c>
      <c r="Y115" s="417">
        <f>IF(Y112&lt;A115,0,IF((SUM(E115:X115)+((C115-D115)*B115))&gt;(C115-D115),C115-D115-SUM(E115:X115),(C115-D115)*B115))</f>
        <v>0</v>
      </c>
      <c r="Z115" s="417">
        <f>IF(Z112&lt;A115,0,IF((SUM(E115:Y115)+((C115-D115)*B115))&gt;(C115-D115),C115-D115-SUM(E115:Y115),(C115-D115)*B115))</f>
        <v>0</v>
      </c>
      <c r="AA115" s="417">
        <f>IF(AA112&lt;A115,0,IF((SUM(E115:Z115)+((C115-D115)*B115))&gt;(C115-D115),C115-D115-SUM(E115:Z115),(C115-D115)*B115))</f>
        <v>0</v>
      </c>
      <c r="AB115" s="417">
        <f>IF(AB112&lt;A115,0,IF((SUM(E115:AA115)+((C115-D115)*B115))&gt;(C115-D115),C115-D115-SUM(E115:AA115),(C115-D115)*B115))</f>
        <v>0</v>
      </c>
      <c r="AC115" s="417">
        <f>IF(AC112&lt;A115,0,IF((SUM(E115:AB115)+((C115-D115)*B115))&gt;(C115-D115),C115-D115-SUM(E115:AB115),(C115-D115)*B115))</f>
        <v>0</v>
      </c>
      <c r="AD115" s="417">
        <f>IF(AD112&lt;A115,0,IF((SUM(E115:AC115)+((C115-D115)*B115))&gt;(C115-D115),C115-D115-SUM(E115:AC115),(C115-D115)*B115))</f>
        <v>0</v>
      </c>
      <c r="AE115" s="417">
        <f>IF(AE112&lt;A115,0,IF((SUM(E115:AD115)+((C115-D115)*B115))&gt;(C115-D115),C115-D115-SUM(E115:AD115),(C115-D115)*B115))</f>
        <v>0</v>
      </c>
      <c r="AF115" s="417">
        <f>IF(AF112&lt;A115,0,IF((SUM(E115:AE115)+((C115-D115)*B115))&gt;(C115-D115),C115-D115-SUM(E115:AE115),(C115-D115)*B115))</f>
        <v>0</v>
      </c>
      <c r="AG115" s="417">
        <f>IF(AG112&lt;A115,0,IF((SUM(E115:AF115)+((C115-D115)*B115))&gt;(C115-D115),C115-D115-SUM(E115:AF115),(C115-D115)*B115))</f>
        <v>0</v>
      </c>
      <c r="AH115" s="417">
        <f>IF(AH112&lt;A115,0,IF((SUM(E115:AG115)+((C115-D115)*B115))&gt;(C115-D115),C115-D115-SUM(E115:AG115),(C115-D115)*B115))</f>
        <v>0</v>
      </c>
    </row>
    <row r="116" spans="1:34" s="75" customFormat="1" ht="13.15" customHeight="1" outlineLevel="1" x14ac:dyDescent="0.2">
      <c r="A116" s="416">
        <v>4</v>
      </c>
      <c r="B116" s="374">
        <v>0.1</v>
      </c>
      <c r="C116" s="378">
        <f>SUMIF('14 - Investimentos'!B:B,'15 - Depreciação'!A110,'14 - Investimentos'!H:H)</f>
        <v>0</v>
      </c>
      <c r="D116" s="417">
        <f>C116*B110</f>
        <v>0</v>
      </c>
      <c r="E116" s="417">
        <f>IF(E112&lt;A116,0,(C116-D116)*B116)</f>
        <v>0</v>
      </c>
      <c r="F116" s="417">
        <f>IF(F112&lt;A116,0,IF((SUM(E116:E116)+((C116-D116)*B116))&gt;(C116-D116),C116-D116-SUM(E116:E116),(C116-D116)*B116))</f>
        <v>0</v>
      </c>
      <c r="G116" s="417">
        <f>IF(G112&lt;A116,0,IF((SUM(E116:F116)+((C116-D116)*B116))&gt;(C116-D116),C116-D116-SUM(E116:F116),(C116-D116)*B116))</f>
        <v>0</v>
      </c>
      <c r="H116" s="417">
        <f>IF(H112&lt;A116,0,IF((SUM(E116:G116)+((C116-D116)*B116))&gt;(C116-D116),C116-D116-SUM(E116:G116),(C116-D116)*B116))</f>
        <v>0</v>
      </c>
      <c r="I116" s="417">
        <f>IF(I112&lt;A116,0,IF((SUM(E116:H116)+((C116-D116)*B116))&gt;(C116-D116),C116-D116-SUM(E116:H116),(C116-D116)*B116))</f>
        <v>0</v>
      </c>
      <c r="J116" s="417">
        <f>IF(J112&lt;A116,0,IF((SUM(E116:I116)+((C116-D116)*B116))&gt;(C116-D116),C116-D116-SUM(E116:I116),(C116-D116)*B116))</f>
        <v>0</v>
      </c>
      <c r="K116" s="417">
        <f>IF(K112&lt;A116,0,IF((SUM(E116:J116)+((C116-D116)*B116))&gt;(C116-D116),C116-D116-SUM(E116:J116),(C116-D116)*B116))</f>
        <v>0</v>
      </c>
      <c r="L116" s="417">
        <f>IF(L112&lt;A116,0,IF((SUM(E116:K116)+((C116-D116)*B116))&gt;(C116-D116),C116-D116-SUM(E116:K116),(C116-D116)*B116))</f>
        <v>0</v>
      </c>
      <c r="M116" s="417">
        <f>IF(M112&lt;A116,0,IF((SUM(E116:L116)+((C116-D116)*B116))&gt;(C116-D116),C116-D116-SUM(E116:L116),(C116-D116)*B116))</f>
        <v>0</v>
      </c>
      <c r="N116" s="417">
        <f>IF(N112&lt;A116,0,IF((SUM(E116:M116)+((C116-D116)*B116))&gt;(C116-D116),C116-D116-SUM(E116:M116),(C116-D116)*B116))</f>
        <v>0</v>
      </c>
      <c r="O116" s="417">
        <f>IF(O112&lt;A116,0,IF((SUM(E116:N116)+((C116-D116)*B116))&gt;(C116-D116),C116-D116-SUM(E116:N116),(C116-D116)*B116))</f>
        <v>0</v>
      </c>
      <c r="P116" s="417">
        <f>IF(P112&lt;A116,0,IF((SUM(E116:O116)+((C116-D116)*B116))&gt;(C116-D116),C116-D116-SUM(E116:O116),(C116-D116)*B116))</f>
        <v>0</v>
      </c>
      <c r="Q116" s="417">
        <f>IF(Q112&lt;A116,0,IF((SUM(E116:P116)+((C116-D116)*B116))&gt;(C116-D116),C116-D116-SUM(E116:P116),(C116-D116)*B116))</f>
        <v>0</v>
      </c>
      <c r="R116" s="417">
        <f>IF(R112&lt;A116,0,IF((SUM(E116:Q116)+((C116-D116)*B116))&gt;(C116-D116),C116-D116-SUM(E116:Q116),(C116-D116)*B116))</f>
        <v>0</v>
      </c>
      <c r="S116" s="417">
        <f>IF(S112&lt;A116,0,IF((SUM(E116:R116)+((C116-D116)*B116))&gt;(C116-D116),C116-D116-SUM(E116:R116),(C116-D116)*B116))</f>
        <v>0</v>
      </c>
      <c r="T116" s="417">
        <f>IF(T112&lt;A116,0,IF((SUM(E116:S116)+((C116-D116)*B116))&gt;(C116-D116),C116-D116-SUM(E116:S116),(C116-D116)*B116))</f>
        <v>0</v>
      </c>
      <c r="U116" s="417">
        <f>IF(U112&lt;A116,0,IF((SUM(E116:T116)+((C116-D116)*B116))&gt;(C116-D116),C116-D116-SUM(E116:T116),(C116-D116)*B116))</f>
        <v>0</v>
      </c>
      <c r="V116" s="417">
        <f>IF(V112&lt;A116,0,IF((SUM(E116:U116)+((C116-D116)*B116))&gt;(C116-D116),C116-D116-SUM(E116:U116),(C116-D116)*B116))</f>
        <v>0</v>
      </c>
      <c r="W116" s="417">
        <f>IF(W112&lt;A116,0,IF((SUM(E116:V116)+((C116-D116)*B116))&gt;(C116-D116),C116-D116-SUM(E116:V116),(C116-D116)*B116))</f>
        <v>0</v>
      </c>
      <c r="X116" s="417">
        <f>IF(X112&lt;A116,0,IF((SUM(E116:W116)+((C116-D116)*B116))&gt;(C116-D116),C116-D116-SUM(E116:W116),(C116-D116)*B116))</f>
        <v>0</v>
      </c>
      <c r="Y116" s="417">
        <f>IF(Y112&lt;A116,0,IF((SUM(E116:X116)+((C116-D116)*B116))&gt;(C116-D116),C116-D116-SUM(E116:X116),(C116-D116)*B116))</f>
        <v>0</v>
      </c>
      <c r="Z116" s="417">
        <f>IF(Z112&lt;A116,0,IF((SUM(E116:Y116)+((C116-D116)*B116))&gt;(C116-D116),C116-D116-SUM(E116:Y116),(C116-D116)*B116))</f>
        <v>0</v>
      </c>
      <c r="AA116" s="417">
        <f>IF(AA112&lt;A116,0,IF((SUM(E116:Z116)+((C116-D116)*B116))&gt;(C116-D116),C116-D116-SUM(E116:Z116),(C116-D116)*B116))</f>
        <v>0</v>
      </c>
      <c r="AB116" s="417">
        <f>IF(AB112&lt;A116,0,IF((SUM(E116:AA116)+((C116-D116)*B116))&gt;(C116-D116),C116-D116-SUM(E116:AA116),(C116-D116)*B116))</f>
        <v>0</v>
      </c>
      <c r="AC116" s="417">
        <f>IF(AC112&lt;A116,0,IF((SUM(E116:AB116)+((C116-D116)*B116))&gt;(C116-D116),C116-D116-SUM(E116:AB116),(C116-D116)*B116))</f>
        <v>0</v>
      </c>
      <c r="AD116" s="417">
        <f>IF(AD112&lt;A116,0,IF((SUM(E116:AC116)+((C116-D116)*B116))&gt;(C116-D116),C116-D116-SUM(E116:AC116),(C116-D116)*B116))</f>
        <v>0</v>
      </c>
      <c r="AE116" s="417">
        <f>IF(AE112&lt;A116,0,IF((SUM(E116:AD116)+((C116-D116)*B116))&gt;(C116-D116),C116-D116-SUM(E116:AD116),(C116-D116)*B116))</f>
        <v>0</v>
      </c>
      <c r="AF116" s="417">
        <f>IF(AF112&lt;A116,0,IF((SUM(E116:AE116)+((C116-D116)*B116))&gt;(C116-D116),C116-D116-SUM(E116:AE116),(C116-D116)*B116))</f>
        <v>0</v>
      </c>
      <c r="AG116" s="417">
        <f>IF(AG112&lt;A116,0,IF((SUM(E116:AF116)+((C116-D116)*B116))&gt;(C116-D116),C116-D116-SUM(E116:AF116),(C116-D116)*B116))</f>
        <v>0</v>
      </c>
      <c r="AH116" s="417">
        <f>IF(AH112&lt;A116,0,IF((SUM(E116:AG116)+((C116-D116)*B116))&gt;(C116-D116),C116-D116-SUM(E116:AG116),(C116-D116)*B116))</f>
        <v>0</v>
      </c>
    </row>
    <row r="117" spans="1:34" s="75" customFormat="1" ht="13.15" customHeight="1" outlineLevel="1" x14ac:dyDescent="0.2">
      <c r="A117" s="416">
        <v>5</v>
      </c>
      <c r="B117" s="374">
        <v>0.1</v>
      </c>
      <c r="C117" s="378">
        <f>SUMIF('14 - Investimentos'!B:B,'15 - Depreciação'!A110,'14 - Investimentos'!I:I)</f>
        <v>0</v>
      </c>
      <c r="D117" s="417">
        <f>C117*B110</f>
        <v>0</v>
      </c>
      <c r="E117" s="417">
        <f>IF(E112&lt;A117,0,(C117-D117)*B117)</f>
        <v>0</v>
      </c>
      <c r="F117" s="417">
        <f>IF(F112&lt;A117,0,IF((SUM(E117:E117)+((C117-D117)*B117))&gt;(C117-D117),C117-D117-SUM(E117:E117),(C117-D117)*B117))</f>
        <v>0</v>
      </c>
      <c r="G117" s="417">
        <f>IF(G112&lt;A117,0,IF((SUM(E117:F117)+((C117-D117)*B117))&gt;(C117-D117),C117-D117-SUM(E117:F117),(C117-D117)*B117))</f>
        <v>0</v>
      </c>
      <c r="H117" s="417">
        <f>IF(H112&lt;A117,0,IF((SUM(E117:G117)+((C117-D117)*B117))&gt;(C117-D117),C117-D117-SUM(E117:G117),(C117-D117)*B117))</f>
        <v>0</v>
      </c>
      <c r="I117" s="417">
        <f>IF(I112&lt;A117,0,IF((SUM(E117:H117)+((C117-D117)*B117))&gt;(C117-D117),C117-D117-SUM(E117:H117),(C117-D117)*B117))</f>
        <v>0</v>
      </c>
      <c r="J117" s="417">
        <f>IF(J112&lt;A117,0,IF((SUM(E117:I117)+((C117-D117)*B117))&gt;(C117-D117),C117-D117-SUM(E117:I117),(C117-D117)*B117))</f>
        <v>0</v>
      </c>
      <c r="K117" s="417">
        <f>IF(K112&lt;A117,0,IF((SUM(E117:J117)+((C117-D117)*B117))&gt;(C117-D117),C117-D117-SUM(E117:J117),(C117-D117)*B117))</f>
        <v>0</v>
      </c>
      <c r="L117" s="417">
        <f>IF(L112&lt;A117,0,IF((SUM(E117:K117)+((C117-D117)*B117))&gt;(C117-D117),C117-D117-SUM(E117:K117),(C117-D117)*B117))</f>
        <v>0</v>
      </c>
      <c r="M117" s="417">
        <f>IF(M112&lt;A117,0,IF((SUM(E117:L117)+((C117-D117)*B117))&gt;(C117-D117),C117-D117-SUM(E117:L117),(C117-D117)*B117))</f>
        <v>0</v>
      </c>
      <c r="N117" s="417">
        <f>IF(N112&lt;A117,0,IF((SUM(E117:M117)+((C117-D117)*B117))&gt;(C117-D117),C117-D117-SUM(E117:M117),(C117-D117)*B117))</f>
        <v>0</v>
      </c>
      <c r="O117" s="417">
        <f>IF(O112&lt;A117,0,IF((SUM(E117:N117)+((C117-D117)*B117))&gt;(C117-D117),C117-D117-SUM(E117:N117),(C117-D117)*B117))</f>
        <v>0</v>
      </c>
      <c r="P117" s="417">
        <f>IF(P112&lt;A117,0,IF((SUM(E117:O117)+((C117-D117)*B117))&gt;(C117-D117),C117-D117-SUM(E117:O117),(C117-D117)*B117))</f>
        <v>0</v>
      </c>
      <c r="Q117" s="417">
        <f>IF(Q112&lt;A117,0,IF((SUM(E117:P117)+((C117-D117)*B117))&gt;(C117-D117),C117-D117-SUM(E117:P117),(C117-D117)*B117))</f>
        <v>0</v>
      </c>
      <c r="R117" s="417">
        <f>IF(R112&lt;A117,0,IF((SUM(E117:Q117)+((C117-D117)*B117))&gt;(C117-D117),C117-D117-SUM(E117:Q117),(C117-D117)*B117))</f>
        <v>0</v>
      </c>
      <c r="S117" s="417">
        <f>IF(S112&lt;A117,0,IF((SUM(E117:R117)+((C117-D117)*B117))&gt;(C117-D117),C117-D117-SUM(E117:R117),(C117-D117)*B117))</f>
        <v>0</v>
      </c>
      <c r="T117" s="417">
        <f>IF(T112&lt;A117,0,IF((SUM(E117:S117)+((C117-D117)*B117))&gt;(C117-D117),C117-D117-SUM(E117:S117),(C117-D117)*B117))</f>
        <v>0</v>
      </c>
      <c r="U117" s="417">
        <f>IF(U112&lt;A117,0,IF((SUM(E117:T117)+((C117-D117)*B117))&gt;(C117-D117),C117-D117-SUM(E117:T117),(C117-D117)*B117))</f>
        <v>0</v>
      </c>
      <c r="V117" s="417">
        <f>IF(V112&lt;A117,0,IF((SUM(E117:U117)+((C117-D117)*B117))&gt;(C117-D117),C117-D117-SUM(E117:U117),(C117-D117)*B117))</f>
        <v>0</v>
      </c>
      <c r="W117" s="417">
        <f>IF(W112&lt;A117,0,IF((SUM(E117:V117)+((C117-D117)*B117))&gt;(C117-D117),C117-D117-SUM(E117:V117),(C117-D117)*B117))</f>
        <v>0</v>
      </c>
      <c r="X117" s="417">
        <f>IF(X112&lt;A117,0,IF((SUM(E117:W117)+((C117-D117)*B117))&gt;(C117-D117),C117-D117-SUM(E117:W117),(C117-D117)*B117))</f>
        <v>0</v>
      </c>
      <c r="Y117" s="417">
        <f>IF(Y112&lt;A117,0,IF((SUM(E117:X117)+((C117-D117)*B117))&gt;(C117-D117),C117-D117-SUM(E117:X117),(C117-D117)*B117))</f>
        <v>0</v>
      </c>
      <c r="Z117" s="417">
        <f>IF(Z112&lt;A117,0,IF((SUM(E117:Y117)+((C117-D117)*B117))&gt;(C117-D117),C117-D117-SUM(E117:Y117),(C117-D117)*B117))</f>
        <v>0</v>
      </c>
      <c r="AA117" s="417">
        <f>IF(AA112&lt;A117,0,IF((SUM(E117:Z117)+((C117-D117)*B117))&gt;(C117-D117),C117-D117-SUM(E117:Z117),(C117-D117)*B117))</f>
        <v>0</v>
      </c>
      <c r="AB117" s="417">
        <f>IF(AB112&lt;A117,0,IF((SUM(E117:AA117)+((C117-D117)*B117))&gt;(C117-D117),C117-D117-SUM(E117:AA117),(C117-D117)*B117))</f>
        <v>0</v>
      </c>
      <c r="AC117" s="417">
        <f>IF(AC112&lt;A117,0,IF((SUM(E117:AB117)+((C117-D117)*B117))&gt;(C117-D117),C117-D117-SUM(E117:AB117),(C117-D117)*B117))</f>
        <v>0</v>
      </c>
      <c r="AD117" s="417">
        <f>IF(AD112&lt;A117,0,IF((SUM(E117:AC117)+((C117-D117)*B117))&gt;(C117-D117),C117-D117-SUM(E117:AC117),(C117-D117)*B117))</f>
        <v>0</v>
      </c>
      <c r="AE117" s="417">
        <f>IF(AE112&lt;A117,0,IF((SUM(E117:AD117)+((C117-D117)*B117))&gt;(C117-D117),C117-D117-SUM(E117:AD117),(C117-D117)*B117))</f>
        <v>0</v>
      </c>
      <c r="AF117" s="417">
        <f>IF(AF112&lt;A117,0,IF((SUM(E117:AE117)+((C117-D117)*B117))&gt;(C117-D117),C117-D117-SUM(E117:AE117),(C117-D117)*B117))</f>
        <v>0</v>
      </c>
      <c r="AG117" s="417">
        <f>IF(AG112&lt;A117,0,IF((SUM(E117:AF117)+((C117-D117)*B117))&gt;(C117-D117),C117-D117-SUM(E117:AF117),(C117-D117)*B117))</f>
        <v>0</v>
      </c>
      <c r="AH117" s="417">
        <f>IF(AH112&lt;A117,0,IF((SUM(E117:AG117)+((C117-D117)*B117))&gt;(C117-D117),C117-D117-SUM(E117:AG117),(C117-D117)*B117))</f>
        <v>0</v>
      </c>
    </row>
    <row r="118" spans="1:34" s="75" customFormat="1" ht="13.15" customHeight="1" outlineLevel="1" x14ac:dyDescent="0.2">
      <c r="A118" s="416">
        <v>6</v>
      </c>
      <c r="B118" s="374">
        <v>0.1</v>
      </c>
      <c r="C118" s="378">
        <f>SUMIF('14 - Investimentos'!B:B,'15 - Depreciação'!A110,'14 - Investimentos'!J:J)</f>
        <v>5000</v>
      </c>
      <c r="D118" s="417">
        <f>C118*B110</f>
        <v>0</v>
      </c>
      <c r="E118" s="417">
        <f>IF(E112&lt;A118,0,(C118-D118)*B118)</f>
        <v>0</v>
      </c>
      <c r="F118" s="417">
        <f>IF(F112&lt;A118,0,IF((SUM(E118:E118)+((C118-D118)*B118))&gt;(C118-D118),C118-D118-SUM(E118:E118),(C118-D118)*B118))</f>
        <v>0</v>
      </c>
      <c r="G118" s="417">
        <f>IF(G112&lt;A118,0,IF((SUM(E118:F118)+((C118-D118)*B118))&gt;(C118-D118),C118-D118-SUM(E118:F118),(C118-D118)*B118))</f>
        <v>0</v>
      </c>
      <c r="H118" s="417">
        <f>IF(H112&lt;A118,0,IF((SUM(E118:G118)+((C118-D118)*B118))&gt;(C118-D118),C118-D118-SUM(E118:G118),(C118-D118)*B118))</f>
        <v>0</v>
      </c>
      <c r="I118" s="417">
        <f>IF(I112&lt;A118,0,IF((SUM(E118:H118)+((C118-D118)*B118))&gt;(C118-D118),C118-D118-SUM(E118:H118),(C118-D118)*B118))</f>
        <v>0</v>
      </c>
      <c r="J118" s="417">
        <f>IF(J112&lt;A118,0,IF((SUM(E118:I118)+((C118-D118)*B118))&gt;(C118-D118),C118-D118-SUM(E118:I118),(C118-D118)*B118))</f>
        <v>500</v>
      </c>
      <c r="K118" s="417">
        <f>IF(K112&lt;A118,0,IF((SUM(E118:J118)+((C118-D118)*B118))&gt;(C118-D118),C118-D118-SUM(E118:J118),(C118-D118)*B118))</f>
        <v>500</v>
      </c>
      <c r="L118" s="417">
        <f>IF(L112&lt;A118,0,IF((SUM(E118:K118)+((C118-D118)*B118))&gt;(C118-D118),C118-D118-SUM(E118:K118),(C118-D118)*B118))</f>
        <v>500</v>
      </c>
      <c r="M118" s="417">
        <f>IF(M112&lt;A118,0,IF((SUM(E118:L118)+((C118-D118)*B118))&gt;(C118-D118),C118-D118-SUM(E118:L118),(C118-D118)*B118))</f>
        <v>500</v>
      </c>
      <c r="N118" s="417">
        <f>IF(N112&lt;A118,0,IF((SUM(E118:M118)+((C118-D118)*B118))&gt;(C118-D118),C118-D118-SUM(E118:M118),(C118-D118)*B118))</f>
        <v>500</v>
      </c>
      <c r="O118" s="417">
        <f>IF(O112&lt;A118,0,IF((SUM(E118:N118)+((C118-D118)*B118))&gt;(C118-D118),C118-D118-SUM(E118:N118),(C118-D118)*B118))</f>
        <v>500</v>
      </c>
      <c r="P118" s="417">
        <f>IF(P112&lt;A118,0,IF((SUM(E118:O118)+((C118-D118)*B118))&gt;(C118-D118),C118-D118-SUM(E118:O118),(C118-D118)*B118))</f>
        <v>500</v>
      </c>
      <c r="Q118" s="417">
        <f>IF(Q112&lt;A118,0,IF((SUM(E118:P118)+((C118-D118)*B118))&gt;(C118-D118),C118-D118-SUM(E118:P118),(C118-D118)*B118))</f>
        <v>500</v>
      </c>
      <c r="R118" s="417">
        <f>IF(R112&lt;A118,0,IF((SUM(E118:Q118)+((C118-D118)*B118))&gt;(C118-D118),C118-D118-SUM(E118:Q118),(C118-D118)*B118))</f>
        <v>500</v>
      </c>
      <c r="S118" s="417">
        <f>IF(S112&lt;A118,0,IF((SUM(E118:R118)+((C118-D118)*B118))&gt;(C118-D118),C118-D118-SUM(E118:R118),(C118-D118)*B118))</f>
        <v>500</v>
      </c>
      <c r="T118" s="417">
        <f>IF(T112&lt;A118,0,IF((SUM(E118:S118)+((C118-D118)*B118))&gt;(C118-D118),C118-D118-SUM(E118:S118),(C118-D118)*B118))</f>
        <v>0</v>
      </c>
      <c r="U118" s="417">
        <f>IF(U112&lt;A118,0,IF((SUM(E118:T118)+((C118-D118)*B118))&gt;(C118-D118),C118-D118-SUM(E118:T118),(C118-D118)*B118))</f>
        <v>0</v>
      </c>
      <c r="V118" s="417">
        <f>IF(V112&lt;A118,0,IF((SUM(E118:U118)+((C118-D118)*B118))&gt;(C118-D118),C118-D118-SUM(E118:U118),(C118-D118)*B118))</f>
        <v>0</v>
      </c>
      <c r="W118" s="417">
        <f>IF(W112&lt;A118,0,IF((SUM(E118:V118)+((C118-D118)*B118))&gt;(C118-D118),C118-D118-SUM(E118:V118),(C118-D118)*B118))</f>
        <v>0</v>
      </c>
      <c r="X118" s="417">
        <f>IF(X112&lt;A118,0,IF((SUM(E118:W118)+((C118-D118)*B118))&gt;(C118-D118),C118-D118-SUM(E118:W118),(C118-D118)*B118))</f>
        <v>0</v>
      </c>
      <c r="Y118" s="417">
        <f>IF(Y112&lt;A118,0,IF((SUM(E118:X118)+((C118-D118)*B118))&gt;(C118-D118),C118-D118-SUM(E118:X118),(C118-D118)*B118))</f>
        <v>0</v>
      </c>
      <c r="Z118" s="417">
        <f>IF(Z112&lt;A118,0,IF((SUM(E118:Y118)+((C118-D118)*B118))&gt;(C118-D118),C118-D118-SUM(E118:Y118),(C118-D118)*B118))</f>
        <v>0</v>
      </c>
      <c r="AA118" s="417">
        <f>IF(AA112&lt;A118,0,IF((SUM(E118:Z118)+((C118-D118)*B118))&gt;(C118-D118),C118-D118-SUM(E118:Z118),(C118-D118)*B118))</f>
        <v>0</v>
      </c>
      <c r="AB118" s="417">
        <f>IF(AB112&lt;A118,0,IF((SUM(E118:AA118)+((C118-D118)*B118))&gt;(C118-D118),C118-D118-SUM(E118:AA118),(C118-D118)*B118))</f>
        <v>0</v>
      </c>
      <c r="AC118" s="417">
        <f>IF(AC112&lt;A118,0,IF((SUM(E118:AB118)+((C118-D118)*B118))&gt;(C118-D118),C118-D118-SUM(E118:AB118),(C118-D118)*B118))</f>
        <v>0</v>
      </c>
      <c r="AD118" s="417">
        <f>IF(AD112&lt;A118,0,IF((SUM(E118:AC118)+((C118-D118)*B118))&gt;(C118-D118),C118-D118-SUM(E118:AC118),(C118-D118)*B118))</f>
        <v>0</v>
      </c>
      <c r="AE118" s="417">
        <f>IF(AE112&lt;A118,0,IF((SUM(E118:AD118)+((C118-D118)*B118))&gt;(C118-D118),C118-D118-SUM(E118:AD118),(C118-D118)*B118))</f>
        <v>0</v>
      </c>
      <c r="AF118" s="417">
        <f>IF(AF112&lt;A118,0,IF((SUM(E118:AE118)+((C118-D118)*B118))&gt;(C118-D118),C118-D118-SUM(E118:AE118),(C118-D118)*B118))</f>
        <v>0</v>
      </c>
      <c r="AG118" s="417">
        <f>IF(AG112&lt;A118,0,IF((SUM(E118:AF118)+((C118-D118)*B118))&gt;(C118-D118),C118-D118-SUM(E118:AF118),(C118-D118)*B118))</f>
        <v>0</v>
      </c>
      <c r="AH118" s="417">
        <f>IF(AH112&lt;A118,0,IF((SUM(E118:AG118)+((C118-D118)*B118))&gt;(C118-D118),C118-D118-SUM(E118:AG118),(C118-D118)*B118))</f>
        <v>0</v>
      </c>
    </row>
    <row r="119" spans="1:34" s="75" customFormat="1" ht="13.15" customHeight="1" outlineLevel="1" x14ac:dyDescent="0.2">
      <c r="A119" s="416">
        <v>7</v>
      </c>
      <c r="B119" s="374">
        <v>0.1</v>
      </c>
      <c r="C119" s="378">
        <f>SUMIF('14 - Investimentos'!B:B,'15 - Depreciação'!A110,'14 - Investimentos'!K:K)</f>
        <v>0</v>
      </c>
      <c r="D119" s="417">
        <f>C119*B110</f>
        <v>0</v>
      </c>
      <c r="E119" s="417">
        <f>IF(E112&lt;A119,0,(C119-D119)*B119)</f>
        <v>0</v>
      </c>
      <c r="F119" s="417">
        <f>IF(F112&lt;A119,0,IF((SUM(E119:E119)+((C119-D119)*B119))&gt;(C119-D119),C119-D119-SUM(E119:E119),(C119-D119)*B119))</f>
        <v>0</v>
      </c>
      <c r="G119" s="417">
        <f>IF(G112&lt;A119,0,IF((SUM(E119:F119)+((C119-D119)*B119))&gt;(C119-D119),C119-D119-SUM(E119:F119),(C119-D119)*B119))</f>
        <v>0</v>
      </c>
      <c r="H119" s="417">
        <f>IF(H112&lt;A119,0,IF((SUM(E119:G119)+((C119-D119)*B119))&gt;(C119-D119),C119-D119-SUM(E119:G119),(C119-D119)*B119))</f>
        <v>0</v>
      </c>
      <c r="I119" s="417">
        <f>IF(I112&lt;A119,0,IF((SUM(E119:H119)+((C119-D119)*B119))&gt;(C119-D119),C119-D119-SUM(E119:H119),(C119-D119)*B119))</f>
        <v>0</v>
      </c>
      <c r="J119" s="417">
        <f>IF(J112&lt;A119,0,IF((SUM(E119:I119)+((C119-D119)*B119))&gt;(C119-D119),C119-D119-SUM(E119:I119),(C119-D119)*B119))</f>
        <v>0</v>
      </c>
      <c r="K119" s="417">
        <f>IF(K112&lt;A119,0,IF((SUM(E119:J119)+((C119-D119)*B119))&gt;(C119-D119),C119-D119-SUM(E119:J119),(C119-D119)*B119))</f>
        <v>0</v>
      </c>
      <c r="L119" s="417">
        <f>IF(L112&lt;A119,0,IF((SUM(E119:K119)+((C119-D119)*B119))&gt;(C119-D119),C119-D119-SUM(E119:K119),(C119-D119)*B119))</f>
        <v>0</v>
      </c>
      <c r="M119" s="417">
        <f>IF(M112&lt;A119,0,IF((SUM(E119:L119)+((C119-D119)*B119))&gt;(C119-D119),C119-D119-SUM(E119:L119),(C119-D119)*B119))</f>
        <v>0</v>
      </c>
      <c r="N119" s="417">
        <f>IF(N112&lt;A119,0,IF((SUM(E119:M119)+((C119-D119)*B119))&gt;(C119-D119),C119-D119-SUM(E119:M119),(C119-D119)*B119))</f>
        <v>0</v>
      </c>
      <c r="O119" s="417">
        <f>IF(O112&lt;A119,0,IF((SUM(E119:N119)+((C119-D119)*B119))&gt;(C119-D119),C119-D119-SUM(E119:N119),(C119-D119)*B119))</f>
        <v>0</v>
      </c>
      <c r="P119" s="417">
        <f>IF(P112&lt;A119,0,IF((SUM(E119:O119)+((C119-D119)*B119))&gt;(C119-D119),C119-D119-SUM(E119:O119),(C119-D119)*B119))</f>
        <v>0</v>
      </c>
      <c r="Q119" s="417">
        <f>IF(Q112&lt;A119,0,IF((SUM(E119:P119)+((C119-D119)*B119))&gt;(C119-D119),C119-D119-SUM(E119:P119),(C119-D119)*B119))</f>
        <v>0</v>
      </c>
      <c r="R119" s="417">
        <f>IF(R112&lt;A119,0,IF((SUM(E119:Q119)+((C119-D119)*B119))&gt;(C119-D119),C119-D119-SUM(E119:Q119),(C119-D119)*B119))</f>
        <v>0</v>
      </c>
      <c r="S119" s="417">
        <f>IF(S112&lt;A119,0,IF((SUM(E119:R119)+((C119-D119)*B119))&gt;(C119-D119),C119-D119-SUM(E119:R119),(C119-D119)*B119))</f>
        <v>0</v>
      </c>
      <c r="T119" s="417">
        <f>IF(T112&lt;A119,0,IF((SUM(E119:S119)+((C119-D119)*B119))&gt;(C119-D119),C119-D119-SUM(E119:S119),(C119-D119)*B119))</f>
        <v>0</v>
      </c>
      <c r="U119" s="417">
        <f>IF(U112&lt;A119,0,IF((SUM(E119:T119)+((C119-D119)*B119))&gt;(C119-D119),C119-D119-SUM(E119:T119),(C119-D119)*B119))</f>
        <v>0</v>
      </c>
      <c r="V119" s="417">
        <f>IF(V112&lt;A119,0,IF((SUM(E119:U119)+((C119-D119)*B119))&gt;(C119-D119),C119-D119-SUM(E119:U119),(C119-D119)*B119))</f>
        <v>0</v>
      </c>
      <c r="W119" s="417">
        <f>IF(W112&lt;A119,0,IF((SUM(E119:V119)+((C119-D119)*B119))&gt;(C119-D119),C119-D119-SUM(E119:V119),(C119-D119)*B119))</f>
        <v>0</v>
      </c>
      <c r="X119" s="417">
        <f>IF(X112&lt;A119,0,IF((SUM(E119:W119)+((C119-D119)*B119))&gt;(C119-D119),C119-D119-SUM(E119:W119),(C119-D119)*B119))</f>
        <v>0</v>
      </c>
      <c r="Y119" s="417">
        <f>IF(Y112&lt;A119,0,IF((SUM(E119:X119)+((C119-D119)*B119))&gt;(C119-D119),C119-D119-SUM(E119:X119),(C119-D119)*B119))</f>
        <v>0</v>
      </c>
      <c r="Z119" s="417">
        <f>IF(Z112&lt;A119,0,IF((SUM(E119:Y119)+((C119-D119)*B119))&gt;(C119-D119),C119-D119-SUM(E119:Y119),(C119-D119)*B119))</f>
        <v>0</v>
      </c>
      <c r="AA119" s="417">
        <f>IF(AA112&lt;A119,0,IF((SUM(E119:Z119)+((C119-D119)*B119))&gt;(C119-D119),C119-D119-SUM(E119:Z119),(C119-D119)*B119))</f>
        <v>0</v>
      </c>
      <c r="AB119" s="417">
        <f>IF(AB112&lt;A119,0,IF((SUM(E119:AA119)+((C119-D119)*B119))&gt;(C119-D119),C119-D119-SUM(E119:AA119),(C119-D119)*B119))</f>
        <v>0</v>
      </c>
      <c r="AC119" s="417">
        <f>IF(AC112&lt;A119,0,IF((SUM(E119:AB119)+((C119-D119)*B119))&gt;(C119-D119),C119-D119-SUM(E119:AB119),(C119-D119)*B119))</f>
        <v>0</v>
      </c>
      <c r="AD119" s="417">
        <f>IF(AD112&lt;A119,0,IF((SUM(E119:AC119)+((C119-D119)*B119))&gt;(C119-D119),C119-D119-SUM(E119:AC119),(C119-D119)*B119))</f>
        <v>0</v>
      </c>
      <c r="AE119" s="417">
        <f>IF(AE112&lt;A119,0,IF((SUM(E119:AD119)+((C119-D119)*B119))&gt;(C119-D119),C119-D119-SUM(E119:AD119),(C119-D119)*B119))</f>
        <v>0</v>
      </c>
      <c r="AF119" s="417">
        <f>IF(AF112&lt;A119,0,IF((SUM(E119:AE119)+((C119-D119)*B119))&gt;(C119-D119),C119-D119-SUM(E119:AE119),(C119-D119)*B119))</f>
        <v>0</v>
      </c>
      <c r="AG119" s="417">
        <f>IF(AG112&lt;A119,0,IF((SUM(E119:AF119)+((C119-D119)*B119))&gt;(C119-D119),C119-D119-SUM(E119:AF119),(C119-D119)*B119))</f>
        <v>0</v>
      </c>
      <c r="AH119" s="417">
        <f>IF(AH112&lt;A119,0,IF((SUM(E119:AG119)+((C119-D119)*B119))&gt;(C119-D119),C119-D119-SUM(E119:AG119),(C119-D119)*B119))</f>
        <v>0</v>
      </c>
    </row>
    <row r="120" spans="1:34" s="75" customFormat="1" ht="13.15" customHeight="1" outlineLevel="1" x14ac:dyDescent="0.2">
      <c r="A120" s="416">
        <v>8</v>
      </c>
      <c r="B120" s="374">
        <v>0.1</v>
      </c>
      <c r="C120" s="378">
        <f>SUMIF('14 - Investimentos'!B:B,'15 - Depreciação'!A110,'14 - Investimentos'!L:L)</f>
        <v>0</v>
      </c>
      <c r="D120" s="417">
        <f>C120*B110</f>
        <v>0</v>
      </c>
      <c r="E120" s="417">
        <f>IF(E112&lt;A120,0,(C120-D120)*B120)</f>
        <v>0</v>
      </c>
      <c r="F120" s="417">
        <f>IF(F112&lt;A120,0,IF((SUM(E120:E120)+((C120-D120)*B120))&gt;(C120-D120),C120-D120-SUM(E120:E120),(C120-D120)*B120))</f>
        <v>0</v>
      </c>
      <c r="G120" s="417">
        <f>IF(G112&lt;A120,0,IF((SUM(E120:F120)+((C120-D120)*B120))&gt;(C120-D120),C120-D120-SUM(E120:F120),(C120-D120)*B120))</f>
        <v>0</v>
      </c>
      <c r="H120" s="417">
        <f>IF(H112&lt;A120,0,IF((SUM(E120:G120)+((C120-D120)*B120))&gt;(C120-D120),C120-D120-SUM(E120:G120),(C120-D120)*B120))</f>
        <v>0</v>
      </c>
      <c r="I120" s="417">
        <f>IF(I112&lt;A120,0,IF((SUM(E120:H120)+((C120-D120)*B120))&gt;(C120-D120),C120-D120-SUM(E120:H120),(C120-D120)*B120))</f>
        <v>0</v>
      </c>
      <c r="J120" s="417">
        <f>IF(J112&lt;A120,0,IF((SUM(E120:I120)+((C120-D120)*B120))&gt;(C120-D120),C120-D120-SUM(E120:I120),(C120-D120)*B120))</f>
        <v>0</v>
      </c>
      <c r="K120" s="417">
        <f>IF(K112&lt;A120,0,IF((SUM(E120:J120)+((C120-D120)*B120))&gt;(C120-D120),C120-D120-SUM(E120:J120),(C120-D120)*B120))</f>
        <v>0</v>
      </c>
      <c r="L120" s="417">
        <f>IF(L112&lt;A120,0,IF((SUM(E120:K120)+((C120-D120)*B120))&gt;(C120-D120),C120-D120-SUM(E120:K120),(C120-D120)*B120))</f>
        <v>0</v>
      </c>
      <c r="M120" s="417">
        <f>IF(M112&lt;A120,0,IF((SUM(E120:L120)+((C120-D120)*B120))&gt;(C120-D120),C120-D120-SUM(E120:L120),(C120-D120)*B120))</f>
        <v>0</v>
      </c>
      <c r="N120" s="417">
        <f>IF(N112&lt;A120,0,IF((SUM(E120:M120)+((C120-D120)*B120))&gt;(C120-D120),C120-D120-SUM(E120:M120),(C120-D120)*B120))</f>
        <v>0</v>
      </c>
      <c r="O120" s="417">
        <f>IF(O112&lt;A120,0,IF((SUM(E120:N120)+((C120-D120)*B120))&gt;(C120-D120),C120-D120-SUM(E120:N120),(C120-D120)*B120))</f>
        <v>0</v>
      </c>
      <c r="P120" s="417">
        <f>IF(P112&lt;A120,0,IF((SUM(E120:O120)+((C120-D120)*B120))&gt;(C120-D120),C120-D120-SUM(E120:O120),(C120-D120)*B120))</f>
        <v>0</v>
      </c>
      <c r="Q120" s="417">
        <f>IF(Q112&lt;A120,0,IF((SUM(E120:P120)+((C120-D120)*B120))&gt;(C120-D120),C120-D120-SUM(E120:P120),(C120-D120)*B120))</f>
        <v>0</v>
      </c>
      <c r="R120" s="417">
        <f>IF(R112&lt;A120,0,IF((SUM(E120:Q120)+((C120-D120)*B120))&gt;(C120-D120),C120-D120-SUM(E120:Q120),(C120-D120)*B120))</f>
        <v>0</v>
      </c>
      <c r="S120" s="417">
        <f>IF(S112&lt;A120,0,IF((SUM(E120:R120)+((C120-D120)*B120))&gt;(C120-D120),C120-D120-SUM(E120:R120),(C120-D120)*B120))</f>
        <v>0</v>
      </c>
      <c r="T120" s="417">
        <f>IF(T112&lt;A120,0,IF((SUM(E120:S120)+((C120-D120)*B120))&gt;(C120-D120),C120-D120-SUM(E120:S120),(C120-D120)*B120))</f>
        <v>0</v>
      </c>
      <c r="U120" s="417">
        <f>IF(U112&lt;A120,0,IF((SUM(E120:T120)+((C120-D120)*B120))&gt;(C120-D120),C120-D120-SUM(E120:T120),(C120-D120)*B120))</f>
        <v>0</v>
      </c>
      <c r="V120" s="417">
        <f>IF(V112&lt;A120,0,IF((SUM(E120:U120)+((C120-D120)*B120))&gt;(C120-D120),C120-D120-SUM(E120:U120),(C120-D120)*B120))</f>
        <v>0</v>
      </c>
      <c r="W120" s="417">
        <f>IF(W112&lt;A120,0,IF((SUM(E120:V120)+((C120-D120)*B120))&gt;(C120-D120),C120-D120-SUM(E120:V120),(C120-D120)*B120))</f>
        <v>0</v>
      </c>
      <c r="X120" s="417">
        <f>IF(X112&lt;A120,0,IF((SUM(E120:W120)+((C120-D120)*B120))&gt;(C120-D120),C120-D120-SUM(E120:W120),(C120-D120)*B120))</f>
        <v>0</v>
      </c>
      <c r="Y120" s="417">
        <f>IF(Y112&lt;A120,0,IF((SUM(E120:X120)+((C120-D120)*B120))&gt;(C120-D120),C120-D120-SUM(E120:X120),(C120-D120)*B120))</f>
        <v>0</v>
      </c>
      <c r="Z120" s="417">
        <f>IF(Z112&lt;A120,0,IF((SUM(E120:Y120)+((C120-D120)*B120))&gt;(C120-D120),C120-D120-SUM(E120:Y120),(C120-D120)*B120))</f>
        <v>0</v>
      </c>
      <c r="AA120" s="417">
        <f>IF(AA112&lt;A120,0,IF((SUM(E120:Z120)+((C120-D120)*B120))&gt;(C120-D120),C120-D120-SUM(E120:Z120),(C120-D120)*B120))</f>
        <v>0</v>
      </c>
      <c r="AB120" s="417">
        <f>IF(AB112&lt;A120,0,IF((SUM(E120:AA120)+((C120-D120)*B120))&gt;(C120-D120),C120-D120-SUM(E120:AA120),(C120-D120)*B120))</f>
        <v>0</v>
      </c>
      <c r="AC120" s="417">
        <f>IF(AC112&lt;A120,0,IF((SUM(E120:AB120)+((C120-D120)*B120))&gt;(C120-D120),C120-D120-SUM(E120:AB120),(C120-D120)*B120))</f>
        <v>0</v>
      </c>
      <c r="AD120" s="417">
        <f>IF(AD112&lt;A120,0,IF((SUM(E120:AC120)+((C120-D120)*B120))&gt;(C120-D120),C120-D120-SUM(E120:AC120),(C120-D120)*B120))</f>
        <v>0</v>
      </c>
      <c r="AE120" s="417">
        <f>IF(AE112&lt;A120,0,IF((SUM(E120:AD120)+((C120-D120)*B120))&gt;(C120-D120),C120-D120-SUM(E120:AD120),(C120-D120)*B120))</f>
        <v>0</v>
      </c>
      <c r="AF120" s="417">
        <f>IF(AF112&lt;A120,0,IF((SUM(E120:AE120)+((C120-D120)*B120))&gt;(C120-D120),C120-D120-SUM(E120:AE120),(C120-D120)*B120))</f>
        <v>0</v>
      </c>
      <c r="AG120" s="417">
        <f>IF(AG112&lt;A120,0,IF((SUM(E120:AF120)+((C120-D120)*B120))&gt;(C120-D120),C120-D120-SUM(E120:AF120),(C120-D120)*B120))</f>
        <v>0</v>
      </c>
      <c r="AH120" s="417">
        <f>IF(AH112&lt;A120,0,IF((SUM(E120:AG120)+((C120-D120)*B120))&gt;(C120-D120),C120-D120-SUM(E120:AG120),(C120-D120)*B120))</f>
        <v>0</v>
      </c>
    </row>
    <row r="121" spans="1:34" s="75" customFormat="1" ht="13.15" customHeight="1" outlineLevel="1" x14ac:dyDescent="0.2">
      <c r="A121" s="416">
        <v>9</v>
      </c>
      <c r="B121" s="374">
        <v>0.1</v>
      </c>
      <c r="C121" s="378">
        <f>SUMIF('14 - Investimentos'!B:B,'15 - Depreciação'!A110,'14 - Investimentos'!M:M)</f>
        <v>0</v>
      </c>
      <c r="D121" s="417">
        <f>C121*B110</f>
        <v>0</v>
      </c>
      <c r="E121" s="417">
        <f>IF(E112&lt;A121,0,(C121-D121)*B121)</f>
        <v>0</v>
      </c>
      <c r="F121" s="417">
        <f>IF(F112&lt;A121,0,IF((SUM(E121:E121)+((C121-D121)*B121))&gt;(C121-D121),C121-D121-SUM(E121:E121),(C121-D121)*B121))</f>
        <v>0</v>
      </c>
      <c r="G121" s="417">
        <f>IF(G112&lt;A121,0,IF((SUM(E121:F121)+((C121-D121)*B121))&gt;(C121-D121),C121-D121-SUM(E121:F121),(C121-D121)*B121))</f>
        <v>0</v>
      </c>
      <c r="H121" s="417">
        <f>IF(H112&lt;A121,0,IF((SUM(E121:G121)+((C121-D121)*B121))&gt;(C121-D121),C121-D121-SUM(E121:G121),(C121-D121)*B121))</f>
        <v>0</v>
      </c>
      <c r="I121" s="417">
        <f>IF(I112&lt;A121,0,IF((SUM(E121:H121)+((C121-D121)*B121))&gt;(C121-D121),C121-D121-SUM(E121:H121),(C121-D121)*B121))</f>
        <v>0</v>
      </c>
      <c r="J121" s="417">
        <f>IF(J112&lt;A121,0,IF((SUM(E121:I121)+((C121-D121)*B121))&gt;(C121-D121),C121-D121-SUM(E121:I121),(C121-D121)*B121))</f>
        <v>0</v>
      </c>
      <c r="K121" s="417">
        <f>IF(K112&lt;A121,0,IF((SUM(E121:J121)+((C121-D121)*B121))&gt;(C121-D121),C121-D121-SUM(E121:J121),(C121-D121)*B121))</f>
        <v>0</v>
      </c>
      <c r="L121" s="417">
        <f>IF(L112&lt;A121,0,IF((SUM(E121:K121)+((C121-D121)*B121))&gt;(C121-D121),C121-D121-SUM(E121:K121),(C121-D121)*B121))</f>
        <v>0</v>
      </c>
      <c r="M121" s="417">
        <f>IF(M112&lt;A121,0,IF((SUM(E121:L121)+((C121-D121)*B121))&gt;(C121-D121),C121-D121-SUM(E121:L121),(C121-D121)*B121))</f>
        <v>0</v>
      </c>
      <c r="N121" s="417">
        <f>IF(N112&lt;A121,0,IF((SUM(E121:M121)+((C121-D121)*B121))&gt;(C121-D121),C121-D121-SUM(E121:M121),(C121-D121)*B121))</f>
        <v>0</v>
      </c>
      <c r="O121" s="417">
        <f>IF(O112&lt;A121,0,IF((SUM(E121:N121)+((C121-D121)*B121))&gt;(C121-D121),C121-D121-SUM(E121:N121),(C121-D121)*B121))</f>
        <v>0</v>
      </c>
      <c r="P121" s="417">
        <f>IF(P112&lt;A121,0,IF((SUM(E121:O121)+((C121-D121)*B121))&gt;(C121-D121),C121-D121-SUM(E121:O121),(C121-D121)*B121))</f>
        <v>0</v>
      </c>
      <c r="Q121" s="417">
        <f>IF(Q112&lt;A121,0,IF((SUM(E121:P121)+((C121-D121)*B121))&gt;(C121-D121),C121-D121-SUM(E121:P121),(C121-D121)*B121))</f>
        <v>0</v>
      </c>
      <c r="R121" s="417">
        <f>IF(R112&lt;A121,0,IF((SUM(E121:Q121)+((C121-D121)*B121))&gt;(C121-D121),C121-D121-SUM(E121:Q121),(C121-D121)*B121))</f>
        <v>0</v>
      </c>
      <c r="S121" s="417">
        <f>IF(S112&lt;A121,0,IF((SUM(E121:R121)+((C121-D121)*B121))&gt;(C121-D121),C121-D121-SUM(E121:R121),(C121-D121)*B121))</f>
        <v>0</v>
      </c>
      <c r="T121" s="417">
        <f>IF(T112&lt;A121,0,IF((SUM(E121:S121)+((C121-D121)*B121))&gt;(C121-D121),C121-D121-SUM(E121:S121),(C121-D121)*B121))</f>
        <v>0</v>
      </c>
      <c r="U121" s="417">
        <f>IF(U112&lt;A121,0,IF((SUM(E121:T121)+((C121-D121)*B121))&gt;(C121-D121),C121-D121-SUM(E121:T121),(C121-D121)*B121))</f>
        <v>0</v>
      </c>
      <c r="V121" s="417">
        <f>IF(V112&lt;A121,0,IF((SUM(E121:U121)+((C121-D121)*B121))&gt;(C121-D121),C121-D121-SUM(E121:U121),(C121-D121)*B121))</f>
        <v>0</v>
      </c>
      <c r="W121" s="417">
        <f>IF(W112&lt;A121,0,IF((SUM(E121:V121)+((C121-D121)*B121))&gt;(C121-D121),C121-D121-SUM(E121:V121),(C121-D121)*B121))</f>
        <v>0</v>
      </c>
      <c r="X121" s="417">
        <f>IF(X112&lt;A121,0,IF((SUM(E121:W121)+((C121-D121)*B121))&gt;(C121-D121),C121-D121-SUM(E121:W121),(C121-D121)*B121))</f>
        <v>0</v>
      </c>
      <c r="Y121" s="417">
        <f>IF(Y112&lt;A121,0,IF((SUM(E121:X121)+((C121-D121)*B121))&gt;(C121-D121),C121-D121-SUM(E121:X121),(C121-D121)*B121))</f>
        <v>0</v>
      </c>
      <c r="Z121" s="417">
        <f>IF(Z112&lt;A121,0,IF((SUM(E121:Y121)+((C121-D121)*B121))&gt;(C121-D121),C121-D121-SUM(E121:Y121),(C121-D121)*B121))</f>
        <v>0</v>
      </c>
      <c r="AA121" s="417">
        <f>IF(AA112&lt;A121,0,IF((SUM(E121:Z121)+((C121-D121)*B121))&gt;(C121-D121),C121-D121-SUM(E121:Z121),(C121-D121)*B121))</f>
        <v>0</v>
      </c>
      <c r="AB121" s="417">
        <f>IF(AB112&lt;A121,0,IF((SUM(E121:AA121)+((C121-D121)*B121))&gt;(C121-D121),C121-D121-SUM(E121:AA121),(C121-D121)*B121))</f>
        <v>0</v>
      </c>
      <c r="AC121" s="417">
        <f>IF(AC112&lt;A121,0,IF((SUM(E121:AB121)+((C121-D121)*B121))&gt;(C121-D121),C121-D121-SUM(E121:AB121),(C121-D121)*B121))</f>
        <v>0</v>
      </c>
      <c r="AD121" s="417">
        <f>IF(AD112&lt;A121,0,IF((SUM(E121:AC121)+((C121-D121)*B121))&gt;(C121-D121),C121-D121-SUM(E121:AC121),(C121-D121)*B121))</f>
        <v>0</v>
      </c>
      <c r="AE121" s="417">
        <f>IF(AE112&lt;A121,0,IF((SUM(E121:AD121)+((C121-D121)*B121))&gt;(C121-D121),C121-D121-SUM(E121:AD121),(C121-D121)*B121))</f>
        <v>0</v>
      </c>
      <c r="AF121" s="417">
        <f>IF(AF112&lt;A121,0,IF((SUM(E121:AE121)+((C121-D121)*B121))&gt;(C121-D121),C121-D121-SUM(E121:AE121),(C121-D121)*B121))</f>
        <v>0</v>
      </c>
      <c r="AG121" s="417">
        <f>IF(AG112&lt;A121,0,IF((SUM(E121:AF121)+((C121-D121)*B121))&gt;(C121-D121),C121-D121-SUM(E121:AF121),(C121-D121)*B121))</f>
        <v>0</v>
      </c>
      <c r="AH121" s="417">
        <f>IF(AH112&lt;A121,0,IF((SUM(E121:AG121)+((C121-D121)*B121))&gt;(C121-D121),C121-D121-SUM(E121:AG121),(C121-D121)*B121))</f>
        <v>0</v>
      </c>
    </row>
    <row r="122" spans="1:34" s="75" customFormat="1" ht="13.15" customHeight="1" outlineLevel="1" x14ac:dyDescent="0.2">
      <c r="A122" s="416">
        <v>10</v>
      </c>
      <c r="B122" s="374">
        <v>0.1</v>
      </c>
      <c r="C122" s="378">
        <f>SUMIF('14 - Investimentos'!B:B,'15 - Depreciação'!A110,'14 - Investimentos'!N:N)</f>
        <v>0</v>
      </c>
      <c r="D122" s="417">
        <f>C122*B110</f>
        <v>0</v>
      </c>
      <c r="E122" s="417">
        <f>IF(E112&lt;A122,0,(C122-D122)*B122)</f>
        <v>0</v>
      </c>
      <c r="F122" s="417">
        <f>IF(F112&lt;A122,0,IF((SUM(E122:E122)+((C122-D122)*B122))&gt;(C122-D122),C122-D122-SUM(E122:E122),(C122-D122)*B122))</f>
        <v>0</v>
      </c>
      <c r="G122" s="417">
        <f>IF(G112&lt;A122,0,IF((SUM(E122:F122)+((C122-D122)*B122))&gt;(C122-D122),C122-D122-SUM(E122:F122),(C122-D122)*B122))</f>
        <v>0</v>
      </c>
      <c r="H122" s="417">
        <f>IF(H112&lt;A122,0,IF((SUM(E122:G122)+((C122-D122)*B122))&gt;(C122-D122),C122-D122-SUM(E122:G122),(C122-D122)*B122))</f>
        <v>0</v>
      </c>
      <c r="I122" s="417">
        <f>IF(I112&lt;A122,0,IF((SUM(E122:H122)+((C122-D122)*B122))&gt;(C122-D122),C122-D122-SUM(E122:H122),(C122-D122)*B122))</f>
        <v>0</v>
      </c>
      <c r="J122" s="417">
        <f>IF(J112&lt;A122,0,IF((SUM(E122:I122)+((C122-D122)*B122))&gt;(C122-D122),C122-D122-SUM(E122:I122),(C122-D122)*B122))</f>
        <v>0</v>
      </c>
      <c r="K122" s="417">
        <f>IF(K112&lt;A122,0,IF((SUM(E122:J122)+((C122-D122)*B122))&gt;(C122-D122),C122-D122-SUM(E122:J122),(C122-D122)*B122))</f>
        <v>0</v>
      </c>
      <c r="L122" s="417">
        <f>IF(L112&lt;A122,0,IF((SUM(E122:K122)+((C122-D122)*B122))&gt;(C122-D122),C122-D122-SUM(E122:K122),(C122-D122)*B122))</f>
        <v>0</v>
      </c>
      <c r="M122" s="417">
        <f>IF(M112&lt;A122,0,IF((SUM(E122:L122)+((C122-D122)*B122))&gt;(C122-D122),C122-D122-SUM(E122:L122),(C122-D122)*B122))</f>
        <v>0</v>
      </c>
      <c r="N122" s="417">
        <f>IF(N112&lt;A122,0,IF((SUM(E122:M122)+((C122-D122)*B122))&gt;(C122-D122),C122-D122-SUM(E122:M122),(C122-D122)*B122))</f>
        <v>0</v>
      </c>
      <c r="O122" s="417">
        <f>IF(O112&lt;A122,0,IF((SUM(E122:N122)+((C122-D122)*B122))&gt;(C122-D122),C122-D122-SUM(E122:N122),(C122-D122)*B122))</f>
        <v>0</v>
      </c>
      <c r="P122" s="417">
        <f>IF(P112&lt;A122,0,IF((SUM(E122:O122)+((C122-D122)*B122))&gt;(C122-D122),C122-D122-SUM(E122:O122),(C122-D122)*B122))</f>
        <v>0</v>
      </c>
      <c r="Q122" s="417">
        <f>IF(Q112&lt;A122,0,IF((SUM(E122:P122)+((C122-D122)*B122))&gt;(C122-D122),C122-D122-SUM(E122:P122),(C122-D122)*B122))</f>
        <v>0</v>
      </c>
      <c r="R122" s="417">
        <f>IF(R112&lt;A122,0,IF((SUM(E122:Q122)+((C122-D122)*B122))&gt;(C122-D122),C122-D122-SUM(E122:Q122),(C122-D122)*B122))</f>
        <v>0</v>
      </c>
      <c r="S122" s="417">
        <f>IF(S112&lt;A122,0,IF((SUM(E122:R122)+((C122-D122)*B122))&gt;(C122-D122),C122-D122-SUM(E122:R122),(C122-D122)*B122))</f>
        <v>0</v>
      </c>
      <c r="T122" s="417">
        <f>IF(T112&lt;A122,0,IF((SUM(E122:S122)+((C122-D122)*B122))&gt;(C122-D122),C122-D122-SUM(E122:S122),(C122-D122)*B122))</f>
        <v>0</v>
      </c>
      <c r="U122" s="417">
        <f>IF(U112&lt;A122,0,IF((SUM(E122:T122)+((C122-D122)*B122))&gt;(C122-D122),C122-D122-SUM(E122:T122),(C122-D122)*B122))</f>
        <v>0</v>
      </c>
      <c r="V122" s="417">
        <f>IF(V112&lt;A122,0,IF((SUM(E122:U122)+((C122-D122)*B122))&gt;(C122-D122),C122-D122-SUM(E122:U122),(C122-D122)*B122))</f>
        <v>0</v>
      </c>
      <c r="W122" s="417">
        <f>IF(W112&lt;A122,0,IF((SUM(E122:V122)+((C122-D122)*B122))&gt;(C122-D122),C122-D122-SUM(E122:V122),(C122-D122)*B122))</f>
        <v>0</v>
      </c>
      <c r="X122" s="417">
        <f>IF(X112&lt;A122,0,IF((SUM(E122:W122)+((C122-D122)*B122))&gt;(C122-D122),C122-D122-SUM(E122:W122),(C122-D122)*B122))</f>
        <v>0</v>
      </c>
      <c r="Y122" s="417">
        <f>IF(Y112&lt;A122,0,IF((SUM(E122:X122)+((C122-D122)*B122))&gt;(C122-D122),C122-D122-SUM(E122:X122),(C122-D122)*B122))</f>
        <v>0</v>
      </c>
      <c r="Z122" s="417">
        <f>IF(Z112&lt;A122,0,IF((SUM(E122:Y122)+((C122-D122)*B122))&gt;(C122-D122),C122-D122-SUM(E122:Y122),(C122-D122)*B122))</f>
        <v>0</v>
      </c>
      <c r="AA122" s="417">
        <f>IF(AA112&lt;A122,0,IF((SUM(E122:Z122)+((C122-D122)*B122))&gt;(C122-D122),C122-D122-SUM(E122:Z122),(C122-D122)*B122))</f>
        <v>0</v>
      </c>
      <c r="AB122" s="417">
        <f>IF(AB112&lt;A122,0,IF((SUM(E122:AA122)+((C122-D122)*B122))&gt;(C122-D122),C122-D122-SUM(E122:AA122),(C122-D122)*B122))</f>
        <v>0</v>
      </c>
      <c r="AC122" s="417">
        <f>IF(AC112&lt;A122,0,IF((SUM(E122:AB122)+((C122-D122)*B122))&gt;(C122-D122),C122-D122-SUM(E122:AB122),(C122-D122)*B122))</f>
        <v>0</v>
      </c>
      <c r="AD122" s="417">
        <f>IF(AD112&lt;A122,0,IF((SUM(E122:AC122)+((C122-D122)*B122))&gt;(C122-D122),C122-D122-SUM(E122:AC122),(C122-D122)*B122))</f>
        <v>0</v>
      </c>
      <c r="AE122" s="417">
        <f>IF(AE112&lt;A122,0,IF((SUM(E122:AD122)+((C122-D122)*B122))&gt;(C122-D122),C122-D122-SUM(E122:AD122),(C122-D122)*B122))</f>
        <v>0</v>
      </c>
      <c r="AF122" s="417">
        <f>IF(AF112&lt;A122,0,IF((SUM(E122:AE122)+((C122-D122)*B122))&gt;(C122-D122),C122-D122-SUM(E122:AE122),(C122-D122)*B122))</f>
        <v>0</v>
      </c>
      <c r="AG122" s="417">
        <f>IF(AG112&lt;A122,0,IF((SUM(E122:AF122)+((C122-D122)*B122))&gt;(C122-D122),C122-D122-SUM(E122:AF122),(C122-D122)*B122))</f>
        <v>0</v>
      </c>
      <c r="AH122" s="417">
        <f>IF(AH112&lt;A122,0,IF((SUM(E122:AG122)+((C122-D122)*B122))&gt;(C122-D122),C122-D122-SUM(E122:AG122),(C122-D122)*B122))</f>
        <v>0</v>
      </c>
    </row>
    <row r="123" spans="1:34" s="75" customFormat="1" ht="13.15" customHeight="1" outlineLevel="1" x14ac:dyDescent="0.2">
      <c r="A123" s="416">
        <v>11</v>
      </c>
      <c r="B123" s="374">
        <v>0.1</v>
      </c>
      <c r="C123" s="378">
        <f>SUMIF('14 - Investimentos'!B:B,'15 - Depreciação'!A110,'14 - Investimentos'!O:O)</f>
        <v>5000</v>
      </c>
      <c r="D123" s="417">
        <f>C123*B110</f>
        <v>0</v>
      </c>
      <c r="E123" s="417">
        <f>IF(E112&lt;A123,0,(C123-D123)*B123)</f>
        <v>0</v>
      </c>
      <c r="F123" s="417">
        <f>IF(F112&lt;A123,0,IF((SUM(E123:E123)+((C123-D123)*B123))&gt;(C123-D123),C123-D123-SUM(E123:E123),(C123-D123)*B123))</f>
        <v>0</v>
      </c>
      <c r="G123" s="417">
        <f>IF(G112&lt;A123,0,IF((SUM(E123:F123)+((C123-D123)*B123))&gt;(C123-D123),C123-D123-SUM(E123:F123),(C123-D123)*B123))</f>
        <v>0</v>
      </c>
      <c r="H123" s="417">
        <f>IF(H112&lt;A123,0,IF((SUM(E123:G123)+((C123-D123)*B123))&gt;(C123-D123),C123-D123-SUM(E123:G123),(C123-D123)*B123))</f>
        <v>0</v>
      </c>
      <c r="I123" s="417">
        <f>IF(I112&lt;A123,0,IF((SUM(E123:H123)+((C123-D123)*B123))&gt;(C123-D123),C123-D123-SUM(E123:H123),(C123-D123)*B123))</f>
        <v>0</v>
      </c>
      <c r="J123" s="417">
        <f>IF(J112&lt;A123,0,IF((SUM(E123:I123)+((C123-D123)*B123))&gt;(C123-D123),C123-D123-SUM(E123:I123),(C123-D123)*B123))</f>
        <v>0</v>
      </c>
      <c r="K123" s="417">
        <f>IF(K112&lt;A123,0,IF((SUM(E123:J123)+((C123-D123)*B123))&gt;(C123-D123),C123-D123-SUM(E123:J123),(C123-D123)*B123))</f>
        <v>0</v>
      </c>
      <c r="L123" s="417">
        <f>IF(L112&lt;A123,0,IF((SUM(E123:K123)+((C123-D123)*B123))&gt;(C123-D123),C123-D123-SUM(E123:K123),(C123-D123)*B123))</f>
        <v>0</v>
      </c>
      <c r="M123" s="417">
        <f>IF(M112&lt;A123,0,IF((SUM(E123:L123)+((C123-D123)*B123))&gt;(C123-D123),C123-D123-SUM(E123:L123),(C123-D123)*B123))</f>
        <v>0</v>
      </c>
      <c r="N123" s="417">
        <f>IF(N112&lt;A123,0,IF((SUM(E123:M123)+((C123-D123)*B123))&gt;(C123-D123),C123-D123-SUM(E123:M123),(C123-D123)*B123))</f>
        <v>0</v>
      </c>
      <c r="O123" s="417">
        <f>IF(O112&lt;A123,0,IF((SUM(E123:N123)+((C123-D123)*B123))&gt;(C123-D123),C123-D123-SUM(E123:N123),(C123-D123)*B123))</f>
        <v>500</v>
      </c>
      <c r="P123" s="417">
        <f>IF(P112&lt;A123,0,IF((SUM(E123:O123)+((C123-D123)*B123))&gt;(C123-D123),C123-D123-SUM(E123:O123),(C123-D123)*B123))</f>
        <v>500</v>
      </c>
      <c r="Q123" s="417">
        <f>IF(Q112&lt;A123,0,IF((SUM(E123:P123)+((C123-D123)*B123))&gt;(C123-D123),C123-D123-SUM(E123:P123),(C123-D123)*B123))</f>
        <v>500</v>
      </c>
      <c r="R123" s="417">
        <f>IF(R112&lt;A123,0,IF((SUM(E123:Q123)+((C123-D123)*B123))&gt;(C123-D123),C123-D123-SUM(E123:Q123),(C123-D123)*B123))</f>
        <v>500</v>
      </c>
      <c r="S123" s="417">
        <f>IF(S112&lt;A123,0,IF((SUM(E123:R123)+((C123-D123)*B123))&gt;(C123-D123),C123-D123-SUM(E123:R123),(C123-D123)*B123))</f>
        <v>500</v>
      </c>
      <c r="T123" s="417">
        <f>IF(T112&lt;A123,0,IF((SUM(E123:S123)+((C123-D123)*B123))&gt;(C123-D123),C123-D123-SUM(E123:S123),(C123-D123)*B123))</f>
        <v>500</v>
      </c>
      <c r="U123" s="417">
        <f>IF(U112&lt;A123,0,IF((SUM(E123:T123)+((C123-D123)*B123))&gt;(C123-D123),C123-D123-SUM(E123:T123),(C123-D123)*B123))</f>
        <v>500</v>
      </c>
      <c r="V123" s="417">
        <f>IF(V112&lt;A123,0,IF((SUM(E123:U123)+((C123-D123)*B123))&gt;(C123-D123),C123-D123-SUM(E123:U123),(C123-D123)*B123))</f>
        <v>500</v>
      </c>
      <c r="W123" s="417">
        <f>IF(W112&lt;A123,0,IF((SUM(E123:V123)+((C123-D123)*B123))&gt;(C123-D123),C123-D123-SUM(E123:V123),(C123-D123)*B123))</f>
        <v>500</v>
      </c>
      <c r="X123" s="417">
        <f>IF(X112&lt;A123,0,IF((SUM(E123:W123)+((C123-D123)*B123))&gt;(C123-D123),C123-D123-SUM(E123:W123),(C123-D123)*B123))</f>
        <v>500</v>
      </c>
      <c r="Y123" s="417">
        <f>IF(Y112&lt;A123,0,IF((SUM(E123:X123)+((C123-D123)*B123))&gt;(C123-D123),C123-D123-SUM(E123:X123),(C123-D123)*B123))</f>
        <v>0</v>
      </c>
      <c r="Z123" s="417">
        <f>IF(Z112&lt;A123,0,IF((SUM(E123:Y123)+((C123-D123)*B123))&gt;(C123-D123),C123-D123-SUM(E123:Y123),(C123-D123)*B123))</f>
        <v>0</v>
      </c>
      <c r="AA123" s="417">
        <f>IF(AA112&lt;A123,0,IF((SUM(E123:Z123)+((C123-D123)*B123))&gt;(C123-D123),C123-D123-SUM(E123:Z123),(C123-D123)*B123))</f>
        <v>0</v>
      </c>
      <c r="AB123" s="417">
        <f>IF(AB112&lt;A123,0,IF((SUM(E123:AA123)+((C123-D123)*B123))&gt;(C123-D123),C123-D123-SUM(E123:AA123),(C123-D123)*B123))</f>
        <v>0</v>
      </c>
      <c r="AC123" s="417">
        <f>IF(AC112&lt;A123,0,IF((SUM(E123:AB123)+((C123-D123)*B123))&gt;(C123-D123),C123-D123-SUM(E123:AB123),(C123-D123)*B123))</f>
        <v>0</v>
      </c>
      <c r="AD123" s="417">
        <f>IF(AD112&lt;A123,0,IF((SUM(E123:AC123)+((C123-D123)*B123))&gt;(C123-D123),C123-D123-SUM(E123:AC123),(C123-D123)*B123))</f>
        <v>0</v>
      </c>
      <c r="AE123" s="417">
        <f>IF(AE112&lt;A123,0,IF((SUM(E123:AD123)+((C123-D123)*B123))&gt;(C123-D123),C123-D123-SUM(E123:AD123),(C123-D123)*B123))</f>
        <v>0</v>
      </c>
      <c r="AF123" s="417">
        <f>IF(AF112&lt;A123,0,IF((SUM(E123:AE123)+((C123-D123)*B123))&gt;(C123-D123),C123-D123-SUM(E123:AE123),(C123-D123)*B123))</f>
        <v>0</v>
      </c>
      <c r="AG123" s="417">
        <f>IF(AG112&lt;A123,0,IF((SUM(E123:AF123)+((C123-D123)*B123))&gt;(C123-D123),C123-D123-SUM(E123:AF123),(C123-D123)*B123))</f>
        <v>0</v>
      </c>
      <c r="AH123" s="417">
        <f>IF(AH112&lt;A123,0,IF((SUM(E123:AG123)+((C123-D123)*B123))&gt;(C123-D123),C123-D123-SUM(E123:AG123),(C123-D123)*B123))</f>
        <v>0</v>
      </c>
    </row>
    <row r="124" spans="1:34" s="75" customFormat="1" ht="13.15" customHeight="1" outlineLevel="1" x14ac:dyDescent="0.2">
      <c r="A124" s="416">
        <v>12</v>
      </c>
      <c r="B124" s="374">
        <v>0.1</v>
      </c>
      <c r="C124" s="378">
        <f>SUMIF('14 - Investimentos'!B:B,'15 - Depreciação'!A110,'14 - Investimentos'!P:P)</f>
        <v>0</v>
      </c>
      <c r="D124" s="417">
        <f>C124*B110</f>
        <v>0</v>
      </c>
      <c r="E124" s="417">
        <f>IF(E112&lt;A124,0,(C124-D124)*B124)</f>
        <v>0</v>
      </c>
      <c r="F124" s="417">
        <f>IF(F112&lt;A124,0,IF((SUM(E124:E124)+((C124-D124)*B124))&gt;(C124-D124),C124-D124-SUM(E124:E124),(C124-D124)*B124))</f>
        <v>0</v>
      </c>
      <c r="G124" s="417">
        <f>IF(G112&lt;A124,0,IF((SUM(E124:F124)+((C124-D124)*B124))&gt;(C124-D124),C124-D124-SUM(E124:F124),(C124-D124)*B124))</f>
        <v>0</v>
      </c>
      <c r="H124" s="417">
        <f>IF(H112&lt;A124,0,IF((SUM(E124:G124)+((C124-D124)*B124))&gt;(C124-D124),C124-D124-SUM(E124:G124),(C124-D124)*B124))</f>
        <v>0</v>
      </c>
      <c r="I124" s="417">
        <f>IF(I112&lt;A124,0,IF((SUM(E124:H124)+((C124-D124)*B124))&gt;(C124-D124),C124-D124-SUM(E124:H124),(C124-D124)*B124))</f>
        <v>0</v>
      </c>
      <c r="J124" s="417">
        <f>IF(J112&lt;A124,0,IF((SUM(E124:I124)+((C124-D124)*B124))&gt;(C124-D124),C124-D124-SUM(E124:I124),(C124-D124)*B124))</f>
        <v>0</v>
      </c>
      <c r="K124" s="417">
        <f>IF(K112&lt;A124,0,IF((SUM(E124:J124)+((C124-D124)*B124))&gt;(C124-D124),C124-D124-SUM(E124:J124),(C124-D124)*B124))</f>
        <v>0</v>
      </c>
      <c r="L124" s="417">
        <f>IF(L112&lt;A124,0,IF((SUM(E124:K124)+((C124-D124)*B124))&gt;(C124-D124),C124-D124-SUM(E124:K124),(C124-D124)*B124))</f>
        <v>0</v>
      </c>
      <c r="M124" s="417">
        <f>IF(M112&lt;A124,0,IF((SUM(E124:L124)+((C124-D124)*B124))&gt;(C124-D124),C124-D124-SUM(E124:L124),(C124-D124)*B124))</f>
        <v>0</v>
      </c>
      <c r="N124" s="417">
        <f>IF(N112&lt;A124,0,IF((SUM(E124:M124)+((C124-D124)*B124))&gt;(C124-D124),C124-D124-SUM(E124:M124),(C124-D124)*B124))</f>
        <v>0</v>
      </c>
      <c r="O124" s="417">
        <f>IF(O112&lt;A124,0,IF((SUM(E124:N124)+((C124-D124)*B124))&gt;(C124-D124),C124-D124-SUM(E124:N124),(C124-D124)*B124))</f>
        <v>0</v>
      </c>
      <c r="P124" s="417">
        <f>IF(P112&lt;A124,0,IF((SUM(E124:O124)+((C124-D124)*B124))&gt;(C124-D124),C124-D124-SUM(E124:O124),(C124-D124)*B124))</f>
        <v>0</v>
      </c>
      <c r="Q124" s="417">
        <f>IF(Q112&lt;A124,0,IF((SUM(E124:P124)+((C124-D124)*B124))&gt;(C124-D124),C124-D124-SUM(E124:P124),(C124-D124)*B124))</f>
        <v>0</v>
      </c>
      <c r="R124" s="417">
        <f>IF(R112&lt;A124,0,IF((SUM(E124:Q124)+((C124-D124)*B124))&gt;(C124-D124),C124-D124-SUM(E124:Q124),(C124-D124)*B124))</f>
        <v>0</v>
      </c>
      <c r="S124" s="417">
        <f>IF(S112&lt;A124,0,IF((SUM(E124:R124)+((C124-D124)*B124))&gt;(C124-D124),C124-D124-SUM(E124:R124),(C124-D124)*B124))</f>
        <v>0</v>
      </c>
      <c r="T124" s="417">
        <f>IF(T112&lt;A124,0,IF((SUM(E124:S124)+((C124-D124)*B124))&gt;(C124-D124),C124-D124-SUM(E124:S124),(C124-D124)*B124))</f>
        <v>0</v>
      </c>
      <c r="U124" s="417">
        <f>IF(U112&lt;A124,0,IF((SUM(E124:T124)+((C124-D124)*B124))&gt;(C124-D124),C124-D124-SUM(E124:T124),(C124-D124)*B124))</f>
        <v>0</v>
      </c>
      <c r="V124" s="417">
        <f>IF(V112&lt;A124,0,IF((SUM(E124:U124)+((C124-D124)*B124))&gt;(C124-D124),C124-D124-SUM(E124:U124),(C124-D124)*B124))</f>
        <v>0</v>
      </c>
      <c r="W124" s="417">
        <f>IF(W112&lt;A124,0,IF((SUM(E124:V124)+((C124-D124)*B124))&gt;(C124-D124),C124-D124-SUM(E124:V124),(C124-D124)*B124))</f>
        <v>0</v>
      </c>
      <c r="X124" s="417">
        <f>IF(X112&lt;A124,0,IF((SUM(E124:W124)+((C124-D124)*B124))&gt;(C124-D124),C124-D124-SUM(E124:W124),(C124-D124)*B124))</f>
        <v>0</v>
      </c>
      <c r="Y124" s="417">
        <f>IF(Y112&lt;A124,0,IF((SUM(E124:X124)+((C124-D124)*B124))&gt;(C124-D124),C124-D124-SUM(E124:X124),(C124-D124)*B124))</f>
        <v>0</v>
      </c>
      <c r="Z124" s="417">
        <f>IF(Z112&lt;A124,0,IF((SUM(E124:Y124)+((C124-D124)*B124))&gt;(C124-D124),C124-D124-SUM(E124:Y124),(C124-D124)*B124))</f>
        <v>0</v>
      </c>
      <c r="AA124" s="417">
        <f>IF(AA112&lt;A124,0,IF((SUM(E124:Z124)+((C124-D124)*B124))&gt;(C124-D124),C124-D124-SUM(E124:Z124),(C124-D124)*B124))</f>
        <v>0</v>
      </c>
      <c r="AB124" s="417">
        <f>IF(AB112&lt;A124,0,IF((SUM(E124:AA124)+((C124-D124)*B124))&gt;(C124-D124),C124-D124-SUM(E124:AA124),(C124-D124)*B124))</f>
        <v>0</v>
      </c>
      <c r="AC124" s="417">
        <f>IF(AC112&lt;A124,0,IF((SUM(E124:AB124)+((C124-D124)*B124))&gt;(C124-D124),C124-D124-SUM(E124:AB124),(C124-D124)*B124))</f>
        <v>0</v>
      </c>
      <c r="AD124" s="417">
        <f>IF(AD112&lt;A124,0,IF((SUM(E124:AC124)+((C124-D124)*B124))&gt;(C124-D124),C124-D124-SUM(E124:AC124),(C124-D124)*B124))</f>
        <v>0</v>
      </c>
      <c r="AE124" s="417">
        <f>IF(AE112&lt;A124,0,IF((SUM(E124:AD124)+((C124-D124)*B124))&gt;(C124-D124),C124-D124-SUM(E124:AD124),(C124-D124)*B124))</f>
        <v>0</v>
      </c>
      <c r="AF124" s="417">
        <f>IF(AF112&lt;A124,0,IF((SUM(E124:AE124)+((C124-D124)*B124))&gt;(C124-D124),C124-D124-SUM(E124:AE124),(C124-D124)*B124))</f>
        <v>0</v>
      </c>
      <c r="AG124" s="417">
        <f>IF(AG112&lt;A124,0,IF((SUM(E124:AF124)+((C124-D124)*B124))&gt;(C124-D124),C124-D124-SUM(E124:AF124),(C124-D124)*B124))</f>
        <v>0</v>
      </c>
      <c r="AH124" s="417">
        <f>IF(AH112&lt;A124,0,IF((SUM(E124:AG124)+((C124-D124)*B124))&gt;(C124-D124),C124-D124-SUM(E124:AG124),(C124-D124)*B124))</f>
        <v>0</v>
      </c>
    </row>
    <row r="125" spans="1:34" s="75" customFormat="1" ht="13.15" customHeight="1" outlineLevel="1" x14ac:dyDescent="0.2">
      <c r="A125" s="416">
        <v>13</v>
      </c>
      <c r="B125" s="374">
        <v>0.1</v>
      </c>
      <c r="C125" s="378">
        <f>SUMIF('14 - Investimentos'!B:B,'15 - Depreciação'!A110,'14 - Investimentos'!Q:Q)</f>
        <v>0</v>
      </c>
      <c r="D125" s="417">
        <f>C125*B110</f>
        <v>0</v>
      </c>
      <c r="E125" s="417">
        <f>IF(E112&lt;A125,0,(C125-D125)*B125)</f>
        <v>0</v>
      </c>
      <c r="F125" s="417">
        <f>IF(F112&lt;A125,0,IF((SUM(E125:E125)+((C125-D125)*B125))&gt;(C125-D125),C125-D125-SUM(E125:E125),(C125-D125)*B125))</f>
        <v>0</v>
      </c>
      <c r="G125" s="417">
        <f>IF(G112&lt;A125,0,IF((SUM(E125:F125)+((C125-D125)*B125))&gt;(C125-D125),C125-D125-SUM(E125:F125),(C125-D125)*B125))</f>
        <v>0</v>
      </c>
      <c r="H125" s="417">
        <f>IF(H112&lt;A125,0,IF((SUM(E125:G125)+((C125-D125)*B125))&gt;(C125-D125),C125-D125-SUM(E125:G125),(C125-D125)*B125))</f>
        <v>0</v>
      </c>
      <c r="I125" s="417">
        <f>IF(I112&lt;A125,0,IF((SUM(E125:H125)+((C125-D125)*B125))&gt;(C125-D125),C125-D125-SUM(E125:H125),(C125-D125)*B125))</f>
        <v>0</v>
      </c>
      <c r="J125" s="417">
        <f>IF(J112&lt;A125,0,IF((SUM(E125:I125)+((C125-D125)*B125))&gt;(C125-D125),C125-D125-SUM(E125:I125),(C125-D125)*B125))</f>
        <v>0</v>
      </c>
      <c r="K125" s="417">
        <f>IF(K112&lt;A125,0,IF((SUM(E125:J125)+((C125-D125)*B125))&gt;(C125-D125),C125-D125-SUM(E125:J125),(C125-D125)*B125))</f>
        <v>0</v>
      </c>
      <c r="L125" s="417">
        <f>IF(L112&lt;A125,0,IF((SUM(E125:K125)+((C125-D125)*B125))&gt;(C125-D125),C125-D125-SUM(E125:K125),(C125-D125)*B125))</f>
        <v>0</v>
      </c>
      <c r="M125" s="417">
        <f>IF(M112&lt;A125,0,IF((SUM(E125:L125)+((C125-D125)*B125))&gt;(C125-D125),C125-D125-SUM(E125:L125),(C125-D125)*B125))</f>
        <v>0</v>
      </c>
      <c r="N125" s="417">
        <f>IF(N112&lt;A125,0,IF((SUM(E125:M125)+((C125-D125)*B125))&gt;(C125-D125),C125-D125-SUM(E125:M125),(C125-D125)*B125))</f>
        <v>0</v>
      </c>
      <c r="O125" s="417">
        <f>IF(O112&lt;A125,0,IF((SUM(E125:N125)+((C125-D125)*B125))&gt;(C125-D125),C125-D125-SUM(E125:N125),(C125-D125)*B125))</f>
        <v>0</v>
      </c>
      <c r="P125" s="417">
        <f>IF(P112&lt;A125,0,IF((SUM(E125:O125)+((C125-D125)*B125))&gt;(C125-D125),C125-D125-SUM(E125:O125),(C125-D125)*B125))</f>
        <v>0</v>
      </c>
      <c r="Q125" s="417">
        <f>IF(Q112&lt;A125,0,IF((SUM(E125:P125)+((C125-D125)*B125))&gt;(C125-D125),C125-D125-SUM(E125:P125),(C125-D125)*B125))</f>
        <v>0</v>
      </c>
      <c r="R125" s="417">
        <f>IF(R112&lt;A125,0,IF((SUM(E125:Q125)+((C125-D125)*B125))&gt;(C125-D125),C125-D125-SUM(E125:Q125),(C125-D125)*B125))</f>
        <v>0</v>
      </c>
      <c r="S125" s="417">
        <f>IF(S112&lt;A125,0,IF((SUM(E125:R125)+((C125-D125)*B125))&gt;(C125-D125),C125-D125-SUM(E125:R125),(C125-D125)*B125))</f>
        <v>0</v>
      </c>
      <c r="T125" s="417">
        <f>IF(T112&lt;A125,0,IF((SUM(E125:S125)+((C125-D125)*B125))&gt;(C125-D125),C125-D125-SUM(E125:S125),(C125-D125)*B125))</f>
        <v>0</v>
      </c>
      <c r="U125" s="417">
        <f>IF(U112&lt;A125,0,IF((SUM(E125:T125)+((C125-D125)*B125))&gt;(C125-D125),C125-D125-SUM(E125:T125),(C125-D125)*B125))</f>
        <v>0</v>
      </c>
      <c r="V125" s="417">
        <f>IF(V112&lt;A125,0,IF((SUM(E125:U125)+((C125-D125)*B125))&gt;(C125-D125),C125-D125-SUM(E125:U125),(C125-D125)*B125))</f>
        <v>0</v>
      </c>
      <c r="W125" s="417">
        <f>IF(W112&lt;A125,0,IF((SUM(E125:V125)+((C125-D125)*B125))&gt;(C125-D125),C125-D125-SUM(E125:V125),(C125-D125)*B125))</f>
        <v>0</v>
      </c>
      <c r="X125" s="417">
        <f>IF(X112&lt;A125,0,IF((SUM(E125:W125)+((C125-D125)*B125))&gt;(C125-D125),C125-D125-SUM(E125:W125),(C125-D125)*B125))</f>
        <v>0</v>
      </c>
      <c r="Y125" s="417">
        <f>IF(Y112&lt;A125,0,IF((SUM(E125:X125)+((C125-D125)*B125))&gt;(C125-D125),C125-D125-SUM(E125:X125),(C125-D125)*B125))</f>
        <v>0</v>
      </c>
      <c r="Z125" s="417">
        <f>IF(Z112&lt;A125,0,IF((SUM(E125:Y125)+((C125-D125)*B125))&gt;(C125-D125),C125-D125-SUM(E125:Y125),(C125-D125)*B125))</f>
        <v>0</v>
      </c>
      <c r="AA125" s="417">
        <f>IF(AA112&lt;A125,0,IF((SUM(E125:Z125)+((C125-D125)*B125))&gt;(C125-D125),C125-D125-SUM(E125:Z125),(C125-D125)*B125))</f>
        <v>0</v>
      </c>
      <c r="AB125" s="417">
        <f>IF(AB112&lt;A125,0,IF((SUM(E125:AA125)+((C125-D125)*B125))&gt;(C125-D125),C125-D125-SUM(E125:AA125),(C125-D125)*B125))</f>
        <v>0</v>
      </c>
      <c r="AC125" s="417">
        <f>IF(AC112&lt;A125,0,IF((SUM(E125:AB125)+((C125-D125)*B125))&gt;(C125-D125),C125-D125-SUM(E125:AB125),(C125-D125)*B125))</f>
        <v>0</v>
      </c>
      <c r="AD125" s="417">
        <f>IF(AD112&lt;A125,0,IF((SUM(E125:AC125)+((C125-D125)*B125))&gt;(C125-D125),C125-D125-SUM(E125:AC125),(C125-D125)*B125))</f>
        <v>0</v>
      </c>
      <c r="AE125" s="417">
        <f>IF(AE112&lt;A125,0,IF((SUM(E125:AD125)+((C125-D125)*B125))&gt;(C125-D125),C125-D125-SUM(E125:AD125),(C125-D125)*B125))</f>
        <v>0</v>
      </c>
      <c r="AF125" s="417">
        <f>IF(AF112&lt;A125,0,IF((SUM(E125:AE125)+((C125-D125)*B125))&gt;(C125-D125),C125-D125-SUM(E125:AE125),(C125-D125)*B125))</f>
        <v>0</v>
      </c>
      <c r="AG125" s="417">
        <f>IF(AG112&lt;A125,0,IF((SUM(E125:AF125)+((C125-D125)*B125))&gt;(C125-D125),C125-D125-SUM(E125:AF125),(C125-D125)*B125))</f>
        <v>0</v>
      </c>
      <c r="AH125" s="417">
        <f>IF(AH112&lt;A125,0,IF((SUM(E125:AG125)+((C125-D125)*B125))&gt;(C125-D125),C125-D125-SUM(E125:AG125),(C125-D125)*B125))</f>
        <v>0</v>
      </c>
    </row>
    <row r="126" spans="1:34" s="75" customFormat="1" ht="13.15" customHeight="1" outlineLevel="1" x14ac:dyDescent="0.2">
      <c r="A126" s="416">
        <v>14</v>
      </c>
      <c r="B126" s="374">
        <v>0.1</v>
      </c>
      <c r="C126" s="378">
        <f>SUMIF('14 - Investimentos'!B:B,'15 - Depreciação'!A110,'14 - Investimentos'!R:R)</f>
        <v>0</v>
      </c>
      <c r="D126" s="417">
        <f>C126*B110</f>
        <v>0</v>
      </c>
      <c r="E126" s="417">
        <f>IF(E112&lt;A126,0,(C126-D126)*B126)</f>
        <v>0</v>
      </c>
      <c r="F126" s="417">
        <f>IF(F112&lt;A126,0,IF((SUM(E126:E126)+((C126-D126)*B126))&gt;(C126-D126),C126-D126-SUM(E126:E126),(C126-D126)*B126))</f>
        <v>0</v>
      </c>
      <c r="G126" s="417">
        <f>IF(G112&lt;A126,0,IF((SUM(E126:F126)+((C126-D126)*B126))&gt;(C126-D126),C126-D126-SUM(E126:F126),(C126-D126)*B126))</f>
        <v>0</v>
      </c>
      <c r="H126" s="417">
        <f>IF(H112&lt;A126,0,IF((SUM(E126:G126)+((C126-D126)*B126))&gt;(C126-D126),C126-D126-SUM(E126:G126),(C126-D126)*B126))</f>
        <v>0</v>
      </c>
      <c r="I126" s="417">
        <f>IF(I112&lt;A126,0,IF((SUM(E126:H126)+((C126-D126)*B126))&gt;(C126-D126),C126-D126-SUM(E126:H126),(C126-D126)*B126))</f>
        <v>0</v>
      </c>
      <c r="J126" s="417">
        <f>IF(J112&lt;A126,0,IF((SUM(E126:I126)+((C126-D126)*B126))&gt;(C126-D126),C126-D126-SUM(E126:I126),(C126-D126)*B126))</f>
        <v>0</v>
      </c>
      <c r="K126" s="417">
        <f>IF(K112&lt;A126,0,IF((SUM(E126:J126)+((C126-D126)*B126))&gt;(C126-D126),C126-D126-SUM(E126:J126),(C126-D126)*B126))</f>
        <v>0</v>
      </c>
      <c r="L126" s="417">
        <f>IF(L112&lt;A126,0,IF((SUM(E126:K126)+((C126-D126)*B126))&gt;(C126-D126),C126-D126-SUM(E126:K126),(C126-D126)*B126))</f>
        <v>0</v>
      </c>
      <c r="M126" s="417">
        <f>IF(M112&lt;A126,0,IF((SUM(E126:L126)+((C126-D126)*B126))&gt;(C126-D126),C126-D126-SUM(E126:L126),(C126-D126)*B126))</f>
        <v>0</v>
      </c>
      <c r="N126" s="417">
        <f>IF(N112&lt;A126,0,IF((SUM(E126:M126)+((C126-D126)*B126))&gt;(C126-D126),C126-D126-SUM(E126:M126),(C126-D126)*B126))</f>
        <v>0</v>
      </c>
      <c r="O126" s="417">
        <f>IF(O112&lt;A126,0,IF((SUM(E126:N126)+((C126-D126)*B126))&gt;(C126-D126),C126-D126-SUM(E126:N126),(C126-D126)*B126))</f>
        <v>0</v>
      </c>
      <c r="P126" s="417">
        <f>IF(P112&lt;A126,0,IF((SUM(E126:O126)+((C126-D126)*B126))&gt;(C126-D126),C126-D126-SUM(E126:O126),(C126-D126)*B126))</f>
        <v>0</v>
      </c>
      <c r="Q126" s="417">
        <f>IF(Q112&lt;A126,0,IF((SUM(E126:P126)+((C126-D126)*B126))&gt;(C126-D126),C126-D126-SUM(E126:P126),(C126-D126)*B126))</f>
        <v>0</v>
      </c>
      <c r="R126" s="417">
        <f>IF(R112&lt;A126,0,IF((SUM(E126:Q126)+((C126-D126)*B126))&gt;(C126-D126),C126-D126-SUM(E126:Q126),(C126-D126)*B126))</f>
        <v>0</v>
      </c>
      <c r="S126" s="417">
        <f>IF(S112&lt;A126,0,IF((SUM(E126:R126)+((C126-D126)*B126))&gt;(C126-D126),C126-D126-SUM(E126:R126),(C126-D126)*B126))</f>
        <v>0</v>
      </c>
      <c r="T126" s="417">
        <f>IF(T112&lt;A126,0,IF((SUM(E126:S126)+((C126-D126)*B126))&gt;(C126-D126),C126-D126-SUM(E126:S126),(C126-D126)*B126))</f>
        <v>0</v>
      </c>
      <c r="U126" s="417">
        <f>IF(U112&lt;A126,0,IF((SUM(E126:T126)+((C126-D126)*B126))&gt;(C126-D126),C126-D126-SUM(E126:T126),(C126-D126)*B126))</f>
        <v>0</v>
      </c>
      <c r="V126" s="417">
        <f>IF(V112&lt;A126,0,IF((SUM(E126:U126)+((C126-D126)*B126))&gt;(C126-D126),C126-D126-SUM(E126:U126),(C126-D126)*B126))</f>
        <v>0</v>
      </c>
      <c r="W126" s="417">
        <f>IF(W112&lt;A126,0,IF((SUM(E126:V126)+((C126-D126)*B126))&gt;(C126-D126),C126-D126-SUM(E126:V126),(C126-D126)*B126))</f>
        <v>0</v>
      </c>
      <c r="X126" s="417">
        <f>IF(X112&lt;A126,0,IF((SUM(E126:W126)+((C126-D126)*B126))&gt;(C126-D126),C126-D126-SUM(E126:W126),(C126-D126)*B126))</f>
        <v>0</v>
      </c>
      <c r="Y126" s="417">
        <f>IF(Y112&lt;A126,0,IF((SUM(E126:X126)+((C126-D126)*B126))&gt;(C126-D126),C126-D126-SUM(E126:X126),(C126-D126)*B126))</f>
        <v>0</v>
      </c>
      <c r="Z126" s="417">
        <f>IF(Z112&lt;A126,0,IF((SUM(E126:Y126)+((C126-D126)*B126))&gt;(C126-D126),C126-D126-SUM(E126:Y126),(C126-D126)*B126))</f>
        <v>0</v>
      </c>
      <c r="AA126" s="417">
        <f>IF(AA112&lt;A126,0,IF((SUM(E126:Z126)+((C126-D126)*B126))&gt;(C126-D126),C126-D126-SUM(E126:Z126),(C126-D126)*B126))</f>
        <v>0</v>
      </c>
      <c r="AB126" s="417">
        <f>IF(AB112&lt;A126,0,IF((SUM(E126:AA126)+((C126-D126)*B126))&gt;(C126-D126),C126-D126-SUM(E126:AA126),(C126-D126)*B126))</f>
        <v>0</v>
      </c>
      <c r="AC126" s="417">
        <f>IF(AC112&lt;A126,0,IF((SUM(E126:AB126)+((C126-D126)*B126))&gt;(C126-D126),C126-D126-SUM(E126:AB126),(C126-D126)*B126))</f>
        <v>0</v>
      </c>
      <c r="AD126" s="417">
        <f>IF(AD112&lt;A126,0,IF((SUM(E126:AC126)+((C126-D126)*B126))&gt;(C126-D126),C126-D126-SUM(E126:AC126),(C126-D126)*B126))</f>
        <v>0</v>
      </c>
      <c r="AE126" s="417">
        <f>IF(AE112&lt;A126,0,IF((SUM(E126:AD126)+((C126-D126)*B126))&gt;(C126-D126),C126-D126-SUM(E126:AD126),(C126-D126)*B126))</f>
        <v>0</v>
      </c>
      <c r="AF126" s="417">
        <f>IF(AF112&lt;A126,0,IF((SUM(E126:AE126)+((C126-D126)*B126))&gt;(C126-D126),C126-D126-SUM(E126:AE126),(C126-D126)*B126))</f>
        <v>0</v>
      </c>
      <c r="AG126" s="417">
        <f>IF(AG112&lt;A126,0,IF((SUM(E126:AF126)+((C126-D126)*B126))&gt;(C126-D126),C126-D126-SUM(E126:AF126),(C126-D126)*B126))</f>
        <v>0</v>
      </c>
      <c r="AH126" s="417">
        <f>IF(AH112&lt;A126,0,IF((SUM(E126:AG126)+((C126-D126)*B126))&gt;(C126-D126),C126-D126-SUM(E126:AG126),(C126-D126)*B126))</f>
        <v>0</v>
      </c>
    </row>
    <row r="127" spans="1:34" s="75" customFormat="1" ht="13.15" customHeight="1" outlineLevel="1" x14ac:dyDescent="0.2">
      <c r="A127" s="416">
        <v>15</v>
      </c>
      <c r="B127" s="374">
        <v>0.1</v>
      </c>
      <c r="C127" s="378">
        <f>SUMIF('14 - Investimentos'!B:B,'15 - Depreciação'!A110,'14 - Investimentos'!S:S)</f>
        <v>0</v>
      </c>
      <c r="D127" s="417">
        <f>C127*B110</f>
        <v>0</v>
      </c>
      <c r="E127" s="417">
        <f>IF(E112&lt;A127,0,(C127-D127)*B127)</f>
        <v>0</v>
      </c>
      <c r="F127" s="417">
        <f>IF(F112&lt;A127,0,IF((SUM(E127:E127)+((C127-D127)*B127))&gt;(C127-D127),C127-D127-SUM(E127:E127),(C127-D127)*B127))</f>
        <v>0</v>
      </c>
      <c r="G127" s="417">
        <f>IF(G112&lt;A127,0,IF((SUM(E127:F127)+((C127-D127)*B127))&gt;(C127-D127),C127-D127-SUM(E127:F127),(C127-D127)*B127))</f>
        <v>0</v>
      </c>
      <c r="H127" s="417">
        <f>IF(H112&lt;A127,0,IF((SUM(E127:G127)+((C127-D127)*B127))&gt;(C127-D127),C127-D127-SUM(E127:G127),(C127-D127)*B127))</f>
        <v>0</v>
      </c>
      <c r="I127" s="417">
        <f>IF(I112&lt;A127,0,IF((SUM(E127:H127)+((C127-D127)*B127))&gt;(C127-D127),C127-D127-SUM(E127:H127),(C127-D127)*B127))</f>
        <v>0</v>
      </c>
      <c r="J127" s="417">
        <f>IF(J112&lt;A127,0,IF((SUM(E127:I127)+((C127-D127)*B127))&gt;(C127-D127),C127-D127-SUM(E127:I127),(C127-D127)*B127))</f>
        <v>0</v>
      </c>
      <c r="K127" s="417">
        <f>IF(K112&lt;A127,0,IF((SUM(E127:J127)+((C127-D127)*B127))&gt;(C127-D127),C127-D127-SUM(E127:J127),(C127-D127)*B127))</f>
        <v>0</v>
      </c>
      <c r="L127" s="417">
        <f>IF(L112&lt;A127,0,IF((SUM(E127:K127)+((C127-D127)*B127))&gt;(C127-D127),C127-D127-SUM(E127:K127),(C127-D127)*B127))</f>
        <v>0</v>
      </c>
      <c r="M127" s="417">
        <f>IF(M112&lt;A127,0,IF((SUM(E127:L127)+((C127-D127)*B127))&gt;(C127-D127),C127-D127-SUM(E127:L127),(C127-D127)*B127))</f>
        <v>0</v>
      </c>
      <c r="N127" s="417">
        <f>IF(N112&lt;A127,0,IF((SUM(E127:M127)+((C127-D127)*B127))&gt;(C127-D127),C127-D127-SUM(E127:M127),(C127-D127)*B127))</f>
        <v>0</v>
      </c>
      <c r="O127" s="417">
        <f>IF(O112&lt;A127,0,IF((SUM(E127:N127)+((C127-D127)*B127))&gt;(C127-D127),C127-D127-SUM(E127:N127),(C127-D127)*B127))</f>
        <v>0</v>
      </c>
      <c r="P127" s="417">
        <f>IF(P112&lt;A127,0,IF((SUM(E127:O127)+((C127-D127)*B127))&gt;(C127-D127),C127-D127-SUM(E127:O127),(C127-D127)*B127))</f>
        <v>0</v>
      </c>
      <c r="Q127" s="417">
        <f>IF(Q112&lt;A127,0,IF((SUM(E127:P127)+((C127-D127)*B127))&gt;(C127-D127),C127-D127-SUM(E127:P127),(C127-D127)*B127))</f>
        <v>0</v>
      </c>
      <c r="R127" s="417">
        <f>IF(R112&lt;A127,0,IF((SUM(E127:Q127)+((C127-D127)*B127))&gt;(C127-D127),C127-D127-SUM(E127:Q127),(C127-D127)*B127))</f>
        <v>0</v>
      </c>
      <c r="S127" s="417">
        <f>IF(S112&lt;A127,0,IF((SUM(E127:R127)+((C127-D127)*B127))&gt;(C127-D127),C127-D127-SUM(E127:R127),(C127-D127)*B127))</f>
        <v>0</v>
      </c>
      <c r="T127" s="417">
        <f>IF(T112&lt;A127,0,IF((SUM(E127:S127)+((C127-D127)*B127))&gt;(C127-D127),C127-D127-SUM(E127:S127),(C127-D127)*B127))</f>
        <v>0</v>
      </c>
      <c r="U127" s="417">
        <f>IF(U112&lt;A127,0,IF((SUM(E127:T127)+((C127-D127)*B127))&gt;(C127-D127),C127-D127-SUM(E127:T127),(C127-D127)*B127))</f>
        <v>0</v>
      </c>
      <c r="V127" s="417">
        <f>IF(V112&lt;A127,0,IF((SUM(E127:U127)+((C127-D127)*B127))&gt;(C127-D127),C127-D127-SUM(E127:U127),(C127-D127)*B127))</f>
        <v>0</v>
      </c>
      <c r="W127" s="417">
        <f>IF(W112&lt;A127,0,IF((SUM(E127:V127)+((C127-D127)*B127))&gt;(C127-D127),C127-D127-SUM(E127:V127),(C127-D127)*B127))</f>
        <v>0</v>
      </c>
      <c r="X127" s="417">
        <f>IF(X112&lt;A127,0,IF((SUM(E127:W127)+((C127-D127)*B127))&gt;(C127-D127),C127-D127-SUM(E127:W127),(C127-D127)*B127))</f>
        <v>0</v>
      </c>
      <c r="Y127" s="417">
        <f>IF(Y112&lt;A127,0,IF((SUM(E127:X127)+((C127-D127)*B127))&gt;(C127-D127),C127-D127-SUM(E127:X127),(C127-D127)*B127))</f>
        <v>0</v>
      </c>
      <c r="Z127" s="417">
        <f>IF(Z112&lt;A127,0,IF((SUM(E127:Y127)+((C127-D127)*B127))&gt;(C127-D127),C127-D127-SUM(E127:Y127),(C127-D127)*B127))</f>
        <v>0</v>
      </c>
      <c r="AA127" s="417">
        <f>IF(AA112&lt;A127,0,IF((SUM(E127:Z127)+((C127-D127)*B127))&gt;(C127-D127),C127-D127-SUM(E127:Z127),(C127-D127)*B127))</f>
        <v>0</v>
      </c>
      <c r="AB127" s="417">
        <f>IF(AB112&lt;A127,0,IF((SUM(E127:AA127)+((C127-D127)*B127))&gt;(C127-D127),C127-D127-SUM(E127:AA127),(C127-D127)*B127))</f>
        <v>0</v>
      </c>
      <c r="AC127" s="417">
        <f>IF(AC112&lt;A127,0,IF((SUM(E127:AB127)+((C127-D127)*B127))&gt;(C127-D127),C127-D127-SUM(E127:AB127),(C127-D127)*B127))</f>
        <v>0</v>
      </c>
      <c r="AD127" s="417">
        <f>IF(AD112&lt;A127,0,IF((SUM(E127:AC127)+((C127-D127)*B127))&gt;(C127-D127),C127-D127-SUM(E127:AC127),(C127-D127)*B127))</f>
        <v>0</v>
      </c>
      <c r="AE127" s="417">
        <f>IF(AE112&lt;A127,0,IF((SUM(E127:AD127)+((C127-D127)*B127))&gt;(C127-D127),C127-D127-SUM(E127:AD127),(C127-D127)*B127))</f>
        <v>0</v>
      </c>
      <c r="AF127" s="417">
        <f>IF(AF112&lt;A127,0,IF((SUM(E127:AE127)+((C127-D127)*B127))&gt;(C127-D127),C127-D127-SUM(E127:AE127),(C127-D127)*B127))</f>
        <v>0</v>
      </c>
      <c r="AG127" s="417">
        <f>IF(AG112&lt;A127,0,IF((SUM(E127:AF127)+((C127-D127)*B127))&gt;(C127-D127),C127-D127-SUM(E127:AF127),(C127-D127)*B127))</f>
        <v>0</v>
      </c>
      <c r="AH127" s="417">
        <f>IF(AH112&lt;A127,0,IF((SUM(E127:AG127)+((C127-D127)*B127))&gt;(C127-D127),C127-D127-SUM(E127:AG127),(C127-D127)*B127))</f>
        <v>0</v>
      </c>
    </row>
    <row r="128" spans="1:34" s="75" customFormat="1" ht="13.15" customHeight="1" outlineLevel="1" x14ac:dyDescent="0.2">
      <c r="A128" s="416">
        <v>16</v>
      </c>
      <c r="B128" s="374">
        <v>0.1</v>
      </c>
      <c r="C128" s="378">
        <f>SUMIF('14 - Investimentos'!B:B,'15 - Depreciação'!A110,'14 - Investimentos'!T:T)</f>
        <v>5000</v>
      </c>
      <c r="D128" s="417">
        <f>C128*B110</f>
        <v>0</v>
      </c>
      <c r="E128" s="417">
        <f>IF(E112&lt;A128,0,(C128-D128)*B128)</f>
        <v>0</v>
      </c>
      <c r="F128" s="417">
        <f>IF(F112&lt;A128,0,IF((SUM(E128:E128)+((C128-D128)*B128))&gt;(C128-D128),C128-D128-SUM(E128:E128),(C128-D128)*B128))</f>
        <v>0</v>
      </c>
      <c r="G128" s="417">
        <f>IF(G112&lt;A128,0,IF((SUM(E128:F128)+((C128-D128)*B128))&gt;(C128-D128),C128-D128-SUM(E128:F128),(C128-D128)*B128))</f>
        <v>0</v>
      </c>
      <c r="H128" s="417">
        <f>IF(H112&lt;A128,0,IF((SUM(E128:G128)+((C128-D128)*B128))&gt;(C128-D128),C128-D128-SUM(E128:G128),(C128-D128)*B128))</f>
        <v>0</v>
      </c>
      <c r="I128" s="417">
        <f>IF(I112&lt;A128,0,IF((SUM(E128:H128)+((C128-D128)*B128))&gt;(C128-D128),C128-D128-SUM(E128:H128),(C128-D128)*B128))</f>
        <v>0</v>
      </c>
      <c r="J128" s="417">
        <f>IF(J112&lt;A128,0,IF((SUM(E128:I128)+((C128-D128)*B128))&gt;(C128-D128),C128-D128-SUM(E128:I128),(C128-D128)*B128))</f>
        <v>0</v>
      </c>
      <c r="K128" s="417">
        <f>IF(K112&lt;A128,0,IF((SUM(E128:J128)+((C128-D128)*B128))&gt;(C128-D128),C128-D128-SUM(E128:J128),(C128-D128)*B128))</f>
        <v>0</v>
      </c>
      <c r="L128" s="417">
        <f>IF(L112&lt;A128,0,IF((SUM(E128:K128)+((C128-D128)*B128))&gt;(C128-D128),C128-D128-SUM(E128:K128),(C128-D128)*B128))</f>
        <v>0</v>
      </c>
      <c r="M128" s="417">
        <f>IF(M112&lt;A128,0,IF((SUM(E128:L128)+((C128-D128)*B128))&gt;(C128-D128),C128-D128-SUM(E128:L128),(C128-D128)*B128))</f>
        <v>0</v>
      </c>
      <c r="N128" s="417">
        <f>IF(N112&lt;A128,0,IF((SUM(E128:M128)+((C128-D128)*B128))&gt;(C128-D128),C128-D128-SUM(E128:M128),(C128-D128)*B128))</f>
        <v>0</v>
      </c>
      <c r="O128" s="417">
        <f>IF(O112&lt;A128,0,IF((SUM(E128:N128)+((C128-D128)*B128))&gt;(C128-D128),C128-D128-SUM(E128:N128),(C128-D128)*B128))</f>
        <v>0</v>
      </c>
      <c r="P128" s="417">
        <f>IF(P112&lt;A128,0,IF((SUM(E128:O128)+((C128-D128)*B128))&gt;(C128-D128),C128-D128-SUM(E128:O128),(C128-D128)*B128))</f>
        <v>0</v>
      </c>
      <c r="Q128" s="417">
        <f>IF(Q112&lt;A128,0,IF((SUM(E128:P128)+((C128-D128)*B128))&gt;(C128-D128),C128-D128-SUM(E128:P128),(C128-D128)*B128))</f>
        <v>0</v>
      </c>
      <c r="R128" s="417">
        <f>IF(R112&lt;A128,0,IF((SUM(E128:Q128)+((C128-D128)*B128))&gt;(C128-D128),C128-D128-SUM(E128:Q128),(C128-D128)*B128))</f>
        <v>0</v>
      </c>
      <c r="S128" s="417">
        <f>IF(S112&lt;A128,0,IF((SUM(E128:R128)+((C128-D128)*B128))&gt;(C128-D128),C128-D128-SUM(E128:R128),(C128-D128)*B128))</f>
        <v>0</v>
      </c>
      <c r="T128" s="417">
        <f>IF(T112&lt;A128,0,IF((SUM(E128:S128)+((C128-D128)*B128))&gt;(C128-D128),C128-D128-SUM(E128:S128),(C128-D128)*B128))</f>
        <v>500</v>
      </c>
      <c r="U128" s="417">
        <f>IF(U112&lt;A128,0,IF((SUM(E128:T128)+((C128-D128)*B128))&gt;(C128-D128),C128-D128-SUM(E128:T128),(C128-D128)*B128))</f>
        <v>500</v>
      </c>
      <c r="V128" s="417">
        <f>IF(V112&lt;A128,0,IF((SUM(E128:U128)+((C128-D128)*B128))&gt;(C128-D128),C128-D128-SUM(E128:U128),(C128-D128)*B128))</f>
        <v>500</v>
      </c>
      <c r="W128" s="417">
        <f>IF(W112&lt;A128,0,IF((SUM(E128:V128)+((C128-D128)*B128))&gt;(C128-D128),C128-D128-SUM(E128:V128),(C128-D128)*B128))</f>
        <v>500</v>
      </c>
      <c r="X128" s="417">
        <f>IF(X112&lt;A128,0,IF((SUM(E128:W128)+((C128-D128)*B128))&gt;(C128-D128),C128-D128-SUM(E128:W128),(C128-D128)*B128))</f>
        <v>500</v>
      </c>
      <c r="Y128" s="417">
        <f>IF(Y112&lt;A128,0,IF((SUM(E128:X128)+((C128-D128)*B128))&gt;(C128-D128),C128-D128-SUM(E128:X128),(C128-D128)*B128))</f>
        <v>500</v>
      </c>
      <c r="Z128" s="417">
        <f>IF(Z112&lt;A128,0,IF((SUM(E128:Y128)+((C128-D128)*B128))&gt;(C128-D128),C128-D128-SUM(E128:Y128),(C128-D128)*B128))</f>
        <v>500</v>
      </c>
      <c r="AA128" s="417">
        <f>IF(AA112&lt;A128,0,IF((SUM(E128:Z128)+((C128-D128)*B128))&gt;(C128-D128),C128-D128-SUM(E128:Z128),(C128-D128)*B128))</f>
        <v>500</v>
      </c>
      <c r="AB128" s="417">
        <f>IF(AB112&lt;A128,0,IF((SUM(E128:AA128)+((C128-D128)*B128))&gt;(C128-D128),C128-D128-SUM(E128:AA128),(C128-D128)*B128))</f>
        <v>500</v>
      </c>
      <c r="AC128" s="417">
        <f>IF(AC112&lt;A128,0,IF((SUM(E128:AB128)+((C128-D128)*B128))&gt;(C128-D128),C128-D128-SUM(E128:AB128),(C128-D128)*B128))</f>
        <v>500</v>
      </c>
      <c r="AD128" s="417">
        <f>IF(AD112&lt;A128,0,IF((SUM(E128:AC128)+((C128-D128)*B128))&gt;(C128-D128),C128-D128-SUM(E128:AC128),(C128-D128)*B128))</f>
        <v>0</v>
      </c>
      <c r="AE128" s="417">
        <f>IF(AE112&lt;A128,0,IF((SUM(E128:AD128)+((C128-D128)*B128))&gt;(C128-D128),C128-D128-SUM(E128:AD128),(C128-D128)*B128))</f>
        <v>0</v>
      </c>
      <c r="AF128" s="417">
        <f>IF(AF112&lt;A128,0,IF((SUM(E128:AE128)+((C128-D128)*B128))&gt;(C128-D128),C128-D128-SUM(E128:AE128),(C128-D128)*B128))</f>
        <v>0</v>
      </c>
      <c r="AG128" s="417">
        <f>IF(AG112&lt;A128,0,IF((SUM(E128:AF128)+((C128-D128)*B128))&gt;(C128-D128),C128-D128-SUM(E128:AF128),(C128-D128)*B128))</f>
        <v>0</v>
      </c>
      <c r="AH128" s="417">
        <f>IF(AH112&lt;A128,0,IF((SUM(E128:AG128)+((C128-D128)*B128))&gt;(C128-D128),C128-D128-SUM(E128:AG128),(C128-D128)*B128))</f>
        <v>0</v>
      </c>
    </row>
    <row r="129" spans="1:34" s="75" customFormat="1" ht="13.15" customHeight="1" outlineLevel="1" x14ac:dyDescent="0.2">
      <c r="A129" s="416">
        <v>17</v>
      </c>
      <c r="B129" s="374">
        <v>0.1</v>
      </c>
      <c r="C129" s="378">
        <f>SUMIF('14 - Investimentos'!B:B,'15 - Depreciação'!A110,'14 - Investimentos'!U:U)</f>
        <v>0</v>
      </c>
      <c r="D129" s="417">
        <f>C129*B110</f>
        <v>0</v>
      </c>
      <c r="E129" s="417">
        <f>IF(E112&lt;A129,0,(C129-D129)*B129)</f>
        <v>0</v>
      </c>
      <c r="F129" s="417">
        <f>IF(F112&lt;A129,0,IF((SUM(E129:E129)+((C129-D129)*B129))&gt;(C129-D129),C129-D129-SUM(E129:E129),(C129-D129)*B129))</f>
        <v>0</v>
      </c>
      <c r="G129" s="417">
        <f>IF(G112&lt;A129,0,IF((SUM(E129:F129)+((C129-D129)*B129))&gt;(C129-D129),C129-D129-SUM(E129:F129),(C129-D129)*B129))</f>
        <v>0</v>
      </c>
      <c r="H129" s="417">
        <f>IF(H112&lt;A129,0,IF((SUM(E129:G129)+((C129-D129)*B129))&gt;(C129-D129),C129-D129-SUM(E129:G129),(C129-D129)*B129))</f>
        <v>0</v>
      </c>
      <c r="I129" s="417">
        <f>IF(I112&lt;A129,0,IF((SUM(E129:H129)+((C129-D129)*B129))&gt;(C129-D129),C129-D129-SUM(E129:H129),(C129-D129)*B129))</f>
        <v>0</v>
      </c>
      <c r="J129" s="417">
        <f>IF(J112&lt;A129,0,IF((SUM(E129:I129)+((C129-D129)*B129))&gt;(C129-D129),C129-D129-SUM(E129:I129),(C129-D129)*B129))</f>
        <v>0</v>
      </c>
      <c r="K129" s="417">
        <f>IF(K112&lt;A129,0,IF((SUM(E129:J129)+((C129-D129)*B129))&gt;(C129-D129),C129-D129-SUM(E129:J129),(C129-D129)*B129))</f>
        <v>0</v>
      </c>
      <c r="L129" s="417">
        <f>IF(L112&lt;A129,0,IF((SUM(E129:K129)+((C129-D129)*B129))&gt;(C129-D129),C129-D129-SUM(E129:K129),(C129-D129)*B129))</f>
        <v>0</v>
      </c>
      <c r="M129" s="417">
        <f>IF(M112&lt;A129,0,IF((SUM(E129:L129)+((C129-D129)*B129))&gt;(C129-D129),C129-D129-SUM(E129:L129),(C129-D129)*B129))</f>
        <v>0</v>
      </c>
      <c r="N129" s="417">
        <f>IF(N112&lt;A129,0,IF((SUM(E129:M129)+((C129-D129)*B129))&gt;(C129-D129),C129-D129-SUM(E129:M129),(C129-D129)*B129))</f>
        <v>0</v>
      </c>
      <c r="O129" s="417">
        <f>IF(O112&lt;A129,0,IF((SUM(E129:N129)+((C129-D129)*B129))&gt;(C129-D129),C129-D129-SUM(E129:N129),(C129-D129)*B129))</f>
        <v>0</v>
      </c>
      <c r="P129" s="417">
        <f>IF(P112&lt;A129,0,IF((SUM(E129:O129)+((C129-D129)*B129))&gt;(C129-D129),C129-D129-SUM(E129:O129),(C129-D129)*B129))</f>
        <v>0</v>
      </c>
      <c r="Q129" s="417">
        <f>IF(Q112&lt;A129,0,IF((SUM(E129:P129)+((C129-D129)*B129))&gt;(C129-D129),C129-D129-SUM(E129:P129),(C129-D129)*B129))</f>
        <v>0</v>
      </c>
      <c r="R129" s="417">
        <f>IF(R112&lt;A129,0,IF((SUM(E129:Q129)+((C129-D129)*B129))&gt;(C129-D129),C129-D129-SUM(E129:Q129),(C129-D129)*B129))</f>
        <v>0</v>
      </c>
      <c r="S129" s="417">
        <f>IF(S112&lt;A129,0,IF((SUM(E129:R129)+((C129-D129)*B129))&gt;(C129-D129),C129-D129-SUM(E129:R129),(C129-D129)*B129))</f>
        <v>0</v>
      </c>
      <c r="T129" s="417">
        <f>IF(T112&lt;A129,0,IF((SUM(E129:S129)+((C129-D129)*B129))&gt;(C129-D129),C129-D129-SUM(E129:S129),(C129-D129)*B129))</f>
        <v>0</v>
      </c>
      <c r="U129" s="417">
        <f>IF(U112&lt;A129,0,IF((SUM(E129:T129)+((C129-D129)*B129))&gt;(C129-D129),C129-D129-SUM(E129:T129),(C129-D129)*B129))</f>
        <v>0</v>
      </c>
      <c r="V129" s="417">
        <f>IF(V112&lt;A129,0,IF((SUM(E129:U129)+((C129-D129)*B129))&gt;(C129-D129),C129-D129-SUM(E129:U129),(C129-D129)*B129))</f>
        <v>0</v>
      </c>
      <c r="W129" s="417">
        <f>IF(W112&lt;A129,0,IF((SUM(E129:V129)+((C129-D129)*B129))&gt;(C129-D129),C129-D129-SUM(E129:V129),(C129-D129)*B129))</f>
        <v>0</v>
      </c>
      <c r="X129" s="417">
        <f>IF(X112&lt;A129,0,IF((SUM(E129:W129)+((C129-D129)*B129))&gt;(C129-D129),C129-D129-SUM(E129:W129),(C129-D129)*B129))</f>
        <v>0</v>
      </c>
      <c r="Y129" s="417">
        <f>IF(Y112&lt;A129,0,IF((SUM(E129:X129)+((C129-D129)*B129))&gt;(C129-D129),C129-D129-SUM(E129:X129),(C129-D129)*B129))</f>
        <v>0</v>
      </c>
      <c r="Z129" s="417">
        <f>IF(Z112&lt;A129,0,IF((SUM(E129:Y129)+((C129-D129)*B129))&gt;(C129-D129),C129-D129-SUM(E129:Y129),(C129-D129)*B129))</f>
        <v>0</v>
      </c>
      <c r="AA129" s="417">
        <f>IF(AA112&lt;A129,0,IF((SUM(E129:Z129)+((C129-D129)*B129))&gt;(C129-D129),C129-D129-SUM(E129:Z129),(C129-D129)*B129))</f>
        <v>0</v>
      </c>
      <c r="AB129" s="417">
        <f>IF(AB112&lt;A129,0,IF((SUM(E129:AA129)+((C129-D129)*B129))&gt;(C129-D129),C129-D129-SUM(E129:AA129),(C129-D129)*B129))</f>
        <v>0</v>
      </c>
      <c r="AC129" s="417">
        <f>IF(AC112&lt;A129,0,IF((SUM(E129:AB129)+((C129-D129)*B129))&gt;(C129-D129),C129-D129-SUM(E129:AB129),(C129-D129)*B129))</f>
        <v>0</v>
      </c>
      <c r="AD129" s="417">
        <f>IF(AD112&lt;A129,0,IF((SUM(E129:AC129)+((C129-D129)*B129))&gt;(C129-D129),C129-D129-SUM(E129:AC129),(C129-D129)*B129))</f>
        <v>0</v>
      </c>
      <c r="AE129" s="417">
        <f>IF(AE112&lt;A129,0,IF((SUM(E129:AD129)+((C129-D129)*B129))&gt;(C129-D129),C129-D129-SUM(E129:AD129),(C129-D129)*B129))</f>
        <v>0</v>
      </c>
      <c r="AF129" s="417">
        <f>IF(AF112&lt;A129,0,IF((SUM(E129:AE129)+((C129-D129)*B129))&gt;(C129-D129),C129-D129-SUM(E129:AE129),(C129-D129)*B129))</f>
        <v>0</v>
      </c>
      <c r="AG129" s="417">
        <f>IF(AG112&lt;A129,0,IF((SUM(E129:AF129)+((C129-D129)*B129))&gt;(C129-D129),C129-D129-SUM(E129:AF129),(C129-D129)*B129))</f>
        <v>0</v>
      </c>
      <c r="AH129" s="417">
        <f>IF(AH112&lt;A129,0,IF((SUM(E129:AG129)+((C129-D129)*B129))&gt;(C129-D129),C129-D129-SUM(E129:AG129),(C129-D129)*B129))</f>
        <v>0</v>
      </c>
    </row>
    <row r="130" spans="1:34" s="75" customFormat="1" ht="13.15" customHeight="1" outlineLevel="1" x14ac:dyDescent="0.2">
      <c r="A130" s="416">
        <v>18</v>
      </c>
      <c r="B130" s="374">
        <v>0.1</v>
      </c>
      <c r="C130" s="378">
        <f>SUMIF('14 - Investimentos'!B:B,'15 - Depreciação'!A110,'14 - Investimentos'!V:V)</f>
        <v>0</v>
      </c>
      <c r="D130" s="417">
        <f>C130*B110</f>
        <v>0</v>
      </c>
      <c r="E130" s="417">
        <f>IF(E112&lt;A130,0,(C130-D130)*B130)</f>
        <v>0</v>
      </c>
      <c r="F130" s="417">
        <f>IF(F112&lt;A130,0,IF((SUM(E130:E130)+((C130-D130)*B130))&gt;(C130-D130),C130-D130-SUM(E130:E130),(C130-D130)*B130))</f>
        <v>0</v>
      </c>
      <c r="G130" s="417">
        <f>IF(G112&lt;A130,0,IF((SUM(E130:F130)+((C130-D130)*B130))&gt;(C130-D130),C130-D130-SUM(E130:F130),(C130-D130)*B130))</f>
        <v>0</v>
      </c>
      <c r="H130" s="417">
        <f>IF(H112&lt;A130,0,IF((SUM(E130:G130)+((C130-D130)*B130))&gt;(C130-D130),C130-D130-SUM(E130:G130),(C130-D130)*B130))</f>
        <v>0</v>
      </c>
      <c r="I130" s="417">
        <f>IF(I112&lt;A130,0,IF((SUM(E130:H130)+((C130-D130)*B130))&gt;(C130-D130),C130-D130-SUM(E130:H130),(C130-D130)*B130))</f>
        <v>0</v>
      </c>
      <c r="J130" s="417">
        <f>IF(J112&lt;A130,0,IF((SUM(E130:I130)+((C130-D130)*B130))&gt;(C130-D130),C130-D130-SUM(E130:I130),(C130-D130)*B130))</f>
        <v>0</v>
      </c>
      <c r="K130" s="417">
        <f>IF(K112&lt;A130,0,IF((SUM(E130:J130)+((C130-D130)*B130))&gt;(C130-D130),C130-D130-SUM(E130:J130),(C130-D130)*B130))</f>
        <v>0</v>
      </c>
      <c r="L130" s="417">
        <f>IF(L112&lt;A130,0,IF((SUM(E130:K130)+((C130-D130)*B130))&gt;(C130-D130),C130-D130-SUM(E130:K130),(C130-D130)*B130))</f>
        <v>0</v>
      </c>
      <c r="M130" s="417">
        <f>IF(M112&lt;A130,0,IF((SUM(E130:L130)+((C130-D130)*B130))&gt;(C130-D130),C130-D130-SUM(E130:L130),(C130-D130)*B130))</f>
        <v>0</v>
      </c>
      <c r="N130" s="417">
        <f>IF(N112&lt;A130,0,IF((SUM(E130:M130)+((C130-D130)*B130))&gt;(C130-D130),C130-D130-SUM(E130:M130),(C130-D130)*B130))</f>
        <v>0</v>
      </c>
      <c r="O130" s="417">
        <f>IF(O112&lt;A130,0,IF((SUM(E130:N130)+((C130-D130)*B130))&gt;(C130-D130),C130-D130-SUM(E130:N130),(C130-D130)*B130))</f>
        <v>0</v>
      </c>
      <c r="P130" s="417">
        <f>IF(P112&lt;A130,0,IF((SUM(E130:O130)+((C130-D130)*B130))&gt;(C130-D130),C130-D130-SUM(E130:O130),(C130-D130)*B130))</f>
        <v>0</v>
      </c>
      <c r="Q130" s="417">
        <f>IF(Q112&lt;A130,0,IF((SUM(E130:P130)+((C130-D130)*B130))&gt;(C130-D130),C130-D130-SUM(E130:P130),(C130-D130)*B130))</f>
        <v>0</v>
      </c>
      <c r="R130" s="417">
        <f>IF(R112&lt;A130,0,IF((SUM(E130:Q130)+((C130-D130)*B130))&gt;(C130-D130),C130-D130-SUM(E130:Q130),(C130-D130)*B130))</f>
        <v>0</v>
      </c>
      <c r="S130" s="417">
        <f>IF(S112&lt;A130,0,IF((SUM(E130:R130)+((C130-D130)*B130))&gt;(C130-D130),C130-D130-SUM(E130:R130),(C130-D130)*B130))</f>
        <v>0</v>
      </c>
      <c r="T130" s="417">
        <f>IF(T112&lt;A130,0,IF((SUM(E130:S130)+((C130-D130)*B130))&gt;(C130-D130),C130-D130-SUM(E130:S130),(C130-D130)*B130))</f>
        <v>0</v>
      </c>
      <c r="U130" s="417">
        <f>IF(U112&lt;A130,0,IF((SUM(E130:T130)+((C130-D130)*B130))&gt;(C130-D130),C130-D130-SUM(E130:T130),(C130-D130)*B130))</f>
        <v>0</v>
      </c>
      <c r="V130" s="417">
        <f>IF(V112&lt;A130,0,IF((SUM(E130:U130)+((C130-D130)*B130))&gt;(C130-D130),C130-D130-SUM(E130:U130),(C130-D130)*B130))</f>
        <v>0</v>
      </c>
      <c r="W130" s="417">
        <f>IF(W112&lt;A130,0,IF((SUM(E130:V130)+((C130-D130)*B130))&gt;(C130-D130),C130-D130-SUM(E130:V130),(C130-D130)*B130))</f>
        <v>0</v>
      </c>
      <c r="X130" s="417">
        <f>IF(X112&lt;A130,0,IF((SUM(E130:W130)+((C130-D130)*B130))&gt;(C130-D130),C130-D130-SUM(E130:W130),(C130-D130)*B130))</f>
        <v>0</v>
      </c>
      <c r="Y130" s="417">
        <f>IF(Y112&lt;A130,0,IF((SUM(E130:X130)+((C130-D130)*B130))&gt;(C130-D130),C130-D130-SUM(E130:X130),(C130-D130)*B130))</f>
        <v>0</v>
      </c>
      <c r="Z130" s="417">
        <f>IF(Z112&lt;A130,0,IF((SUM(E130:Y130)+((C130-D130)*B130))&gt;(C130-D130),C130-D130-SUM(E130:Y130),(C130-D130)*B130))</f>
        <v>0</v>
      </c>
      <c r="AA130" s="417">
        <f>IF(AA112&lt;A130,0,IF((SUM(E130:Z130)+((C130-D130)*B130))&gt;(C130-D130),C130-D130-SUM(E130:Z130),(C130-D130)*B130))</f>
        <v>0</v>
      </c>
      <c r="AB130" s="417">
        <f>IF(AB112&lt;A130,0,IF((SUM(E130:AA130)+((C130-D130)*B130))&gt;(C130-D130),C130-D130-SUM(E130:AA130),(C130-D130)*B130))</f>
        <v>0</v>
      </c>
      <c r="AC130" s="417">
        <f>IF(AC112&lt;A130,0,IF((SUM(E130:AB130)+((C130-D130)*B130))&gt;(C130-D130),C130-D130-SUM(E130:AB130),(C130-D130)*B130))</f>
        <v>0</v>
      </c>
      <c r="AD130" s="417">
        <f>IF(AD112&lt;A130,0,IF((SUM(E130:AC130)+((C130-D130)*B130))&gt;(C130-D130),C130-D130-SUM(E130:AC130),(C130-D130)*B130))</f>
        <v>0</v>
      </c>
      <c r="AE130" s="417">
        <f>IF(AE112&lt;A130,0,IF((SUM(E130:AD130)+((C130-D130)*B130))&gt;(C130-D130),C130-D130-SUM(E130:AD130),(C130-D130)*B130))</f>
        <v>0</v>
      </c>
      <c r="AF130" s="417">
        <f>IF(AF112&lt;A130,0,IF((SUM(E130:AE130)+((C130-D130)*B130))&gt;(C130-D130),C130-D130-SUM(E130:AE130),(C130-D130)*B130))</f>
        <v>0</v>
      </c>
      <c r="AG130" s="417">
        <f>IF(AG112&lt;A130,0,IF((SUM(E130:AF130)+((C130-D130)*B130))&gt;(C130-D130),C130-D130-SUM(E130:AF130),(C130-D130)*B130))</f>
        <v>0</v>
      </c>
      <c r="AH130" s="417">
        <f>IF(AH112&lt;A130,0,IF((SUM(E130:AG130)+((C130-D130)*B130))&gt;(C130-D130),C130-D130-SUM(E130:AG130),(C130-D130)*B130))</f>
        <v>0</v>
      </c>
    </row>
    <row r="131" spans="1:34" s="75" customFormat="1" ht="13.15" customHeight="1" outlineLevel="1" x14ac:dyDescent="0.2">
      <c r="A131" s="416">
        <v>19</v>
      </c>
      <c r="B131" s="374">
        <v>0.1</v>
      </c>
      <c r="C131" s="378">
        <f>SUMIF('14 - Investimentos'!B:B,'15 - Depreciação'!A110,'14 - Investimentos'!W:W)</f>
        <v>0</v>
      </c>
      <c r="D131" s="417">
        <f>C131*B110</f>
        <v>0</v>
      </c>
      <c r="E131" s="417">
        <f>IF(E112&lt;A131,0,(C131-D131)*B131)</f>
        <v>0</v>
      </c>
      <c r="F131" s="417">
        <f>IF(F112&lt;A131,0,IF((SUM(E131:E131)+((C131-D131)*B131))&gt;(C131-D131),C131-D131-SUM(E131:E131),(C131-D131)*B131))</f>
        <v>0</v>
      </c>
      <c r="G131" s="417">
        <f>IF(G112&lt;A131,0,IF((SUM(E131:F131)+((C131-D131)*B131))&gt;(C131-D131),C131-D131-SUM(E131:F131),(C131-D131)*B131))</f>
        <v>0</v>
      </c>
      <c r="H131" s="417">
        <f>IF(H112&lt;A131,0,IF((SUM(E131:G131)+((C131-D131)*B131))&gt;(C131-D131),C131-D131-SUM(E131:G131),(C131-D131)*B131))</f>
        <v>0</v>
      </c>
      <c r="I131" s="417">
        <f>IF(I112&lt;A131,0,IF((SUM(E131:H131)+((C131-D131)*B131))&gt;(C131-D131),C131-D131-SUM(E131:H131),(C131-D131)*B131))</f>
        <v>0</v>
      </c>
      <c r="J131" s="417">
        <f>IF(J112&lt;A131,0,IF((SUM(E131:I131)+((C131-D131)*B131))&gt;(C131-D131),C131-D131-SUM(E131:I131),(C131-D131)*B131))</f>
        <v>0</v>
      </c>
      <c r="K131" s="417">
        <f>IF(K112&lt;A131,0,IF((SUM(E131:J131)+((C131-D131)*B131))&gt;(C131-D131),C131-D131-SUM(E131:J131),(C131-D131)*B131))</f>
        <v>0</v>
      </c>
      <c r="L131" s="417">
        <f>IF(L112&lt;A131,0,IF((SUM(E131:K131)+((C131-D131)*B131))&gt;(C131-D131),C131-D131-SUM(E131:K131),(C131-D131)*B131))</f>
        <v>0</v>
      </c>
      <c r="M131" s="417">
        <f>IF(M112&lt;A131,0,IF((SUM(E131:L131)+((C131-D131)*B131))&gt;(C131-D131),C131-D131-SUM(E131:L131),(C131-D131)*B131))</f>
        <v>0</v>
      </c>
      <c r="N131" s="417">
        <f>IF(N112&lt;A131,0,IF((SUM(E131:M131)+((C131-D131)*B131))&gt;(C131-D131),C131-D131-SUM(E131:M131),(C131-D131)*B131))</f>
        <v>0</v>
      </c>
      <c r="O131" s="417">
        <f>IF(O112&lt;A131,0,IF((SUM(E131:N131)+((C131-D131)*B131))&gt;(C131-D131),C131-D131-SUM(E131:N131),(C131-D131)*B131))</f>
        <v>0</v>
      </c>
      <c r="P131" s="417">
        <f>IF(P112&lt;A131,0,IF((SUM(E131:O131)+((C131-D131)*B131))&gt;(C131-D131),C131-D131-SUM(E131:O131),(C131-D131)*B131))</f>
        <v>0</v>
      </c>
      <c r="Q131" s="417">
        <f>IF(Q112&lt;A131,0,IF((SUM(E131:P131)+((C131-D131)*B131))&gt;(C131-D131),C131-D131-SUM(E131:P131),(C131-D131)*B131))</f>
        <v>0</v>
      </c>
      <c r="R131" s="417">
        <f>IF(R112&lt;A131,0,IF((SUM(E131:Q131)+((C131-D131)*B131))&gt;(C131-D131),C131-D131-SUM(E131:Q131),(C131-D131)*B131))</f>
        <v>0</v>
      </c>
      <c r="S131" s="417">
        <f>IF(S112&lt;A131,0,IF((SUM(E131:R131)+((C131-D131)*B131))&gt;(C131-D131),C131-D131-SUM(E131:R131),(C131-D131)*B131))</f>
        <v>0</v>
      </c>
      <c r="T131" s="417">
        <f>IF(T112&lt;A131,0,IF((SUM(E131:S131)+((C131-D131)*B131))&gt;(C131-D131),C131-D131-SUM(E131:S131),(C131-D131)*B131))</f>
        <v>0</v>
      </c>
      <c r="U131" s="417">
        <f>IF(U112&lt;A131,0,IF((SUM(E131:T131)+((C131-D131)*B131))&gt;(C131-D131),C131-D131-SUM(E131:T131),(C131-D131)*B131))</f>
        <v>0</v>
      </c>
      <c r="V131" s="417">
        <f>IF(V112&lt;A131,0,IF((SUM(E131:U131)+((C131-D131)*B131))&gt;(C131-D131),C131-D131-SUM(E131:U131),(C131-D131)*B131))</f>
        <v>0</v>
      </c>
      <c r="W131" s="417">
        <f>IF(W112&lt;A131,0,IF((SUM(E131:V131)+((C131-D131)*B131))&gt;(C131-D131),C131-D131-SUM(E131:V131),(C131-D131)*B131))</f>
        <v>0</v>
      </c>
      <c r="X131" s="417">
        <f>IF(X112&lt;A131,0,IF((SUM(E131:W131)+((C131-D131)*B131))&gt;(C131-D131),C131-D131-SUM(E131:W131),(C131-D131)*B131))</f>
        <v>0</v>
      </c>
      <c r="Y131" s="417">
        <f>IF(Y112&lt;A131,0,IF((SUM(E131:X131)+((C131-D131)*B131))&gt;(C131-D131),C131-D131-SUM(E131:X131),(C131-D131)*B131))</f>
        <v>0</v>
      </c>
      <c r="Z131" s="417">
        <f>IF(Z112&lt;A131,0,IF((SUM(E131:Y131)+((C131-D131)*B131))&gt;(C131-D131),C131-D131-SUM(E131:Y131),(C131-D131)*B131))</f>
        <v>0</v>
      </c>
      <c r="AA131" s="417">
        <f>IF(AA112&lt;A131,0,IF((SUM(E131:Z131)+((C131-D131)*B131))&gt;(C131-D131),C131-D131-SUM(E131:Z131),(C131-D131)*B131))</f>
        <v>0</v>
      </c>
      <c r="AB131" s="417">
        <f>IF(AB112&lt;A131,0,IF((SUM(E131:AA131)+((C131-D131)*B131))&gt;(C131-D131),C131-D131-SUM(E131:AA131),(C131-D131)*B131))</f>
        <v>0</v>
      </c>
      <c r="AC131" s="417">
        <f>IF(AC112&lt;A131,0,IF((SUM(E131:AB131)+((C131-D131)*B131))&gt;(C131-D131),C131-D131-SUM(E131:AB131),(C131-D131)*B131))</f>
        <v>0</v>
      </c>
      <c r="AD131" s="417">
        <f>IF(AD112&lt;A131,0,IF((SUM(E131:AC131)+((C131-D131)*B131))&gt;(C131-D131),C131-D131-SUM(E131:AC131),(C131-D131)*B131))</f>
        <v>0</v>
      </c>
      <c r="AE131" s="417">
        <f>IF(AE112&lt;A131,0,IF((SUM(E131:AD131)+((C131-D131)*B131))&gt;(C131-D131),C131-D131-SUM(E131:AD131),(C131-D131)*B131))</f>
        <v>0</v>
      </c>
      <c r="AF131" s="417">
        <f>IF(AF112&lt;A131,0,IF((SUM(E131:AE131)+((C131-D131)*B131))&gt;(C131-D131),C131-D131-SUM(E131:AE131),(C131-D131)*B131))</f>
        <v>0</v>
      </c>
      <c r="AG131" s="417">
        <f>IF(AG112&lt;A131,0,IF((SUM(E131:AF131)+((C131-D131)*B131))&gt;(C131-D131),C131-D131-SUM(E131:AF131),(C131-D131)*B131))</f>
        <v>0</v>
      </c>
      <c r="AH131" s="417">
        <f>IF(AH112&lt;A131,0,IF((SUM(E131:AG131)+((C131-D131)*B131))&gt;(C131-D131),C131-D131-SUM(E131:AG131),(C131-D131)*B131))</f>
        <v>0</v>
      </c>
    </row>
    <row r="132" spans="1:34" s="75" customFormat="1" ht="13.15" customHeight="1" outlineLevel="1" x14ac:dyDescent="0.2">
      <c r="A132" s="416">
        <v>20</v>
      </c>
      <c r="B132" s="374">
        <v>0.1</v>
      </c>
      <c r="C132" s="378">
        <f>SUMIF('14 - Investimentos'!B:B,'15 - Depreciação'!A110,'14 - Investimentos'!X:X)</f>
        <v>0</v>
      </c>
      <c r="D132" s="417">
        <f>C132*B110</f>
        <v>0</v>
      </c>
      <c r="E132" s="417">
        <f>IF(E112&lt;A132,0,(C132-D132)*B132)</f>
        <v>0</v>
      </c>
      <c r="F132" s="417">
        <f>IF(F112&lt;A132,0,IF((SUM(E132:E132)+((C132-D132)*B132))&gt;(C132-D132),C132-D132-SUM(E132:E132),(C132-D132)*B132))</f>
        <v>0</v>
      </c>
      <c r="G132" s="417">
        <f>IF(G112&lt;A132,0,IF((SUM(E132:F132)+((C132-D132)*B132))&gt;(C132-D132),C132-D132-SUM(E132:F132),(C132-D132)*B132))</f>
        <v>0</v>
      </c>
      <c r="H132" s="417">
        <f>IF(H112&lt;A132,0,IF((SUM(E132:G132)+((C132-D132)*B132))&gt;(C132-D132),C132-D132-SUM(E132:G132),(C132-D132)*B132))</f>
        <v>0</v>
      </c>
      <c r="I132" s="417">
        <f>IF(I112&lt;A132,0,IF((SUM(E132:H132)+((C132-D132)*B132))&gt;(C132-D132),C132-D132-SUM(E132:H132),(C132-D132)*B132))</f>
        <v>0</v>
      </c>
      <c r="J132" s="417">
        <f>IF(J112&lt;A132,0,IF((SUM(E132:I132)+((C132-D132)*B132))&gt;(C132-D132),C132-D132-SUM(E132:I132),(C132-D132)*B132))</f>
        <v>0</v>
      </c>
      <c r="K132" s="417">
        <f>IF(K112&lt;A132,0,IF((SUM(E132:J132)+((C132-D132)*B132))&gt;(C132-D132),C132-D132-SUM(E132:J132),(C132-D132)*B132))</f>
        <v>0</v>
      </c>
      <c r="L132" s="417">
        <f>IF(L112&lt;A132,0,IF((SUM(E132:K132)+((C132-D132)*B132))&gt;(C132-D132),C132-D132-SUM(E132:K132),(C132-D132)*B132))</f>
        <v>0</v>
      </c>
      <c r="M132" s="417">
        <f>IF(M112&lt;A132,0,IF((SUM(E132:L132)+((C132-D132)*B132))&gt;(C132-D132),C132-D132-SUM(E132:L132),(C132-D132)*B132))</f>
        <v>0</v>
      </c>
      <c r="N132" s="417">
        <f>IF(N112&lt;A132,0,IF((SUM(E132:M132)+((C132-D132)*B132))&gt;(C132-D132),C132-D132-SUM(E132:M132),(C132-D132)*B132))</f>
        <v>0</v>
      </c>
      <c r="O132" s="417">
        <f>IF(O112&lt;A132,0,IF((SUM(E132:N132)+((C132-D132)*B132))&gt;(C132-D132),C132-D132-SUM(E132:N132),(C132-D132)*B132))</f>
        <v>0</v>
      </c>
      <c r="P132" s="417">
        <f>IF(P112&lt;A132,0,IF((SUM(E132:O132)+((C132-D132)*B132))&gt;(C132-D132),C132-D132-SUM(E132:O132),(C132-D132)*B132))</f>
        <v>0</v>
      </c>
      <c r="Q132" s="417">
        <f>IF(Q112&lt;A132,0,IF((SUM(E132:P132)+((C132-D132)*B132))&gt;(C132-D132),C132-D132-SUM(E132:P132),(C132-D132)*B132))</f>
        <v>0</v>
      </c>
      <c r="R132" s="417">
        <f>IF(R112&lt;A132,0,IF((SUM(E132:Q132)+((C132-D132)*B132))&gt;(C132-D132),C132-D132-SUM(E132:Q132),(C132-D132)*B132))</f>
        <v>0</v>
      </c>
      <c r="S132" s="417">
        <f>IF(S112&lt;A132,0,IF((SUM(E132:R132)+((C132-D132)*B132))&gt;(C132-D132),C132-D132-SUM(E132:R132),(C132-D132)*B132))</f>
        <v>0</v>
      </c>
      <c r="T132" s="417">
        <f>IF(T112&lt;A132,0,IF((SUM(E132:S132)+((C132-D132)*B132))&gt;(C132-D132),C132-D132-SUM(E132:S132),(C132-D132)*B132))</f>
        <v>0</v>
      </c>
      <c r="U132" s="417">
        <f>IF(U112&lt;A132,0,IF((SUM(E132:T132)+((C132-D132)*B132))&gt;(C132-D132),C132-D132-SUM(E132:T132),(C132-D132)*B132))</f>
        <v>0</v>
      </c>
      <c r="V132" s="417">
        <f>IF(V112&lt;A132,0,IF((SUM(E132:U132)+((C132-D132)*B132))&gt;(C132-D132),C132-D132-SUM(E132:U132),(C132-D132)*B132))</f>
        <v>0</v>
      </c>
      <c r="W132" s="417">
        <f>IF(W112&lt;A132,0,IF((SUM(E132:V132)+((C132-D132)*B132))&gt;(C132-D132),C132-D132-SUM(E132:V132),(C132-D132)*B132))</f>
        <v>0</v>
      </c>
      <c r="X132" s="417">
        <f>IF(X112&lt;A132,0,IF((SUM(E132:W132)+((C132-D132)*B132))&gt;(C132-D132),C132-D132-SUM(E132:W132),(C132-D132)*B132))</f>
        <v>0</v>
      </c>
      <c r="Y132" s="417">
        <f>IF(Y112&lt;A132,0,IF((SUM(E132:X132)+((C132-D132)*B132))&gt;(C132-D132),C132-D132-SUM(E132:X132),(C132-D132)*B132))</f>
        <v>0</v>
      </c>
      <c r="Z132" s="417">
        <f>IF(Z112&lt;A132,0,IF((SUM(E132:Y132)+((C132-D132)*B132))&gt;(C132-D132),C132-D132-SUM(E132:Y132),(C132-D132)*B132))</f>
        <v>0</v>
      </c>
      <c r="AA132" s="417">
        <f>IF(AA112&lt;A132,0,IF((SUM(E132:Z132)+((C132-D132)*B132))&gt;(C132-D132),C132-D132-SUM(E132:Z132),(C132-D132)*B132))</f>
        <v>0</v>
      </c>
      <c r="AB132" s="417">
        <f>IF(AB112&lt;A132,0,IF((SUM(E132:AA132)+((C132-D132)*B132))&gt;(C132-D132),C132-D132-SUM(E132:AA132),(C132-D132)*B132))</f>
        <v>0</v>
      </c>
      <c r="AC132" s="417">
        <f>IF(AC112&lt;A132,0,IF((SUM(E132:AB132)+((C132-D132)*B132))&gt;(C132-D132),C132-D132-SUM(E132:AB132),(C132-D132)*B132))</f>
        <v>0</v>
      </c>
      <c r="AD132" s="417">
        <f>IF(AD112&lt;A132,0,IF((SUM(E132:AC132)+((C132-D132)*B132))&gt;(C132-D132),C132-D132-SUM(E132:AC132),(C132-D132)*B132))</f>
        <v>0</v>
      </c>
      <c r="AE132" s="417">
        <f>IF(AE112&lt;A132,0,IF((SUM(E132:AD132)+((C132-D132)*B132))&gt;(C132-D132),C132-D132-SUM(E132:AD132),(C132-D132)*B132))</f>
        <v>0</v>
      </c>
      <c r="AF132" s="417">
        <f>IF(AF112&lt;A132,0,IF((SUM(E132:AE132)+((C132-D132)*B132))&gt;(C132-D132),C132-D132-SUM(E132:AE132),(C132-D132)*B132))</f>
        <v>0</v>
      </c>
      <c r="AG132" s="417">
        <f>IF(AG112&lt;A132,0,IF((SUM(E132:AF132)+((C132-D132)*B132))&gt;(C132-D132),C132-D132-SUM(E132:AF132),(C132-D132)*B132))</f>
        <v>0</v>
      </c>
      <c r="AH132" s="417">
        <f>IF(AH112&lt;A132,0,IF((SUM(E132:AG132)+((C132-D132)*B132))&gt;(C132-D132),C132-D132-SUM(E132:AG132),(C132-D132)*B132))</f>
        <v>0</v>
      </c>
    </row>
    <row r="133" spans="1:34" s="75" customFormat="1" ht="13.15" customHeight="1" outlineLevel="1" x14ac:dyDescent="0.2">
      <c r="A133" s="416">
        <v>21</v>
      </c>
      <c r="B133" s="374">
        <v>0.1</v>
      </c>
      <c r="C133" s="378">
        <f>SUMIF('14 - Investimentos'!B:B,'15 - Depreciação'!A110,'14 - Investimentos'!Y:Y)</f>
        <v>5000</v>
      </c>
      <c r="D133" s="417">
        <f>C133*B110</f>
        <v>0</v>
      </c>
      <c r="E133" s="417">
        <f>IF(E112&lt;A133,0,(C133-D133)*B133)</f>
        <v>0</v>
      </c>
      <c r="F133" s="417">
        <f>IF(F112&lt;A133,0,IF((SUM(E133:E133)+((C133-D133)*B133))&gt;(C133-D133),C133-D133-SUM(E133:E133),(C133-D133)*B133))</f>
        <v>0</v>
      </c>
      <c r="G133" s="417">
        <f>IF(G112&lt;A133,0,IF((SUM(E133:F133)+((C133-D133)*B133))&gt;(C133-D133),C133-D133-SUM(E133:F133),(C133-D133)*B133))</f>
        <v>0</v>
      </c>
      <c r="H133" s="417">
        <f>IF(H112&lt;A133,0,IF((SUM(E133:G133)+((C133-D133)*B133))&gt;(C133-D133),C133-D133-SUM(E133:G133),(C133-D133)*B133))</f>
        <v>0</v>
      </c>
      <c r="I133" s="417">
        <f>IF(I112&lt;A133,0,IF((SUM(E133:H133)+((C133-D133)*B133))&gt;(C133-D133),C133-D133-SUM(E133:H133),(C133-D133)*B133))</f>
        <v>0</v>
      </c>
      <c r="J133" s="417">
        <f>IF(J112&lt;A133,0,IF((SUM(E133:I133)+((C133-D133)*B133))&gt;(C133-D133),C133-D133-SUM(E133:I133),(C133-D133)*B133))</f>
        <v>0</v>
      </c>
      <c r="K133" s="417">
        <f>IF(K112&lt;A133,0,IF((SUM(E133:J133)+((C133-D133)*B133))&gt;(C133-D133),C133-D133-SUM(E133:J133),(C133-D133)*B133))</f>
        <v>0</v>
      </c>
      <c r="L133" s="417">
        <f>IF(L112&lt;A133,0,IF((SUM(E133:K133)+((C133-D133)*B133))&gt;(C133-D133),C133-D133-SUM(E133:K133),(C133-D133)*B133))</f>
        <v>0</v>
      </c>
      <c r="M133" s="417">
        <f>IF(M112&lt;A133,0,IF((SUM(E133:L133)+((C133-D133)*B133))&gt;(C133-D133),C133-D133-SUM(E133:L133),(C133-D133)*B133))</f>
        <v>0</v>
      </c>
      <c r="N133" s="417">
        <f>IF(N112&lt;A133,0,IF((SUM(E133:M133)+((C133-D133)*B133))&gt;(C133-D133),C133-D133-SUM(E133:M133),(C133-D133)*B133))</f>
        <v>0</v>
      </c>
      <c r="O133" s="417">
        <f>IF(O112&lt;A133,0,IF((SUM(E133:N133)+((C133-D133)*B133))&gt;(C133-D133),C133-D133-SUM(E133:N133),(C133-D133)*B133))</f>
        <v>0</v>
      </c>
      <c r="P133" s="417">
        <f>IF(P112&lt;A133,0,IF((SUM(E133:O133)+((C133-D133)*B133))&gt;(C133-D133),C133-D133-SUM(E133:O133),(C133-D133)*B133))</f>
        <v>0</v>
      </c>
      <c r="Q133" s="417">
        <f>IF(Q112&lt;A133,0,IF((SUM(E133:P133)+((C133-D133)*B133))&gt;(C133-D133),C133-D133-SUM(E133:P133),(C133-D133)*B133))</f>
        <v>0</v>
      </c>
      <c r="R133" s="417">
        <f>IF(R112&lt;A133,0,IF((SUM(E133:Q133)+((C133-D133)*B133))&gt;(C133-D133),C133-D133-SUM(E133:Q133),(C133-D133)*B133))</f>
        <v>0</v>
      </c>
      <c r="S133" s="417">
        <f>IF(S112&lt;A133,0,IF((SUM(E133:R133)+((C133-D133)*B133))&gt;(C133-D133),C133-D133-SUM(E133:R133),(C133-D133)*B133))</f>
        <v>0</v>
      </c>
      <c r="T133" s="417">
        <f>IF(T112&lt;A133,0,IF((SUM(E133:S133)+((C133-D133)*B133))&gt;(C133-D133),C133-D133-SUM(E133:S133),(C133-D133)*B133))</f>
        <v>0</v>
      </c>
      <c r="U133" s="417">
        <f>IF(U112&lt;A133,0,IF((SUM(E133:T133)+((C133-D133)*B133))&gt;(C133-D133),C133-D133-SUM(E133:T133),(C133-D133)*B133))</f>
        <v>0</v>
      </c>
      <c r="V133" s="417">
        <f>IF(V112&lt;A133,0,IF((SUM(E133:U133)+((C133-D133)*B133))&gt;(C133-D133),C133-D133-SUM(E133:U133),(C133-D133)*B133))</f>
        <v>0</v>
      </c>
      <c r="W133" s="417">
        <f>IF(W112&lt;A133,0,IF((SUM(E133:V133)+((C133-D133)*B133))&gt;(C133-D133),C133-D133-SUM(E133:V133),(C133-D133)*B133))</f>
        <v>0</v>
      </c>
      <c r="X133" s="417">
        <f>IF(X112&lt;A133,0,IF((SUM(E133:W133)+((C133-D133)*B133))&gt;(C133-D133),C133-D133-SUM(E133:W133),(C133-D133)*B133))</f>
        <v>0</v>
      </c>
      <c r="Y133" s="417">
        <f>IF(Y112&lt;A133,0,IF((SUM(E133:X133)+((C133-D133)*B133))&gt;(C133-D133),C133-D133-SUM(E133:X133),(C133-D133)*B133))</f>
        <v>500</v>
      </c>
      <c r="Z133" s="417">
        <f>IF(Z112&lt;A133,0,IF((SUM(E133:Y133)+((C133-D133)*B133))&gt;(C133-D133),C133-D133-SUM(E133:Y133),(C133-D133)*B133))</f>
        <v>500</v>
      </c>
      <c r="AA133" s="417">
        <f>IF(AA112&lt;A133,0,IF((SUM(E133:Z133)+((C133-D133)*B133))&gt;(C133-D133),C133-D133-SUM(E133:Z133),(C133-D133)*B133))</f>
        <v>500</v>
      </c>
      <c r="AB133" s="417">
        <f>IF(AB112&lt;A133,0,IF((SUM(E133:AA133)+((C133-D133)*B133))&gt;(C133-D133),C133-D133-SUM(E133:AA133),(C133-D133)*B133))</f>
        <v>500</v>
      </c>
      <c r="AC133" s="417">
        <f>IF(AC112&lt;A133,0,IF((SUM(E133:AB133)+((C133-D133)*B133))&gt;(C133-D133),C133-D133-SUM(E133:AB133),(C133-D133)*B133))</f>
        <v>500</v>
      </c>
      <c r="AD133" s="417">
        <f>IF(AD112&lt;A133,0,IF((SUM(E133:AC133)+((C133-D133)*B133))&gt;(C133-D133),C133-D133-SUM(E133:AC133),(C133-D133)*B133))</f>
        <v>500</v>
      </c>
      <c r="AE133" s="417">
        <f>IF(AE112&lt;A133,0,IF((SUM(E133:AD133)+((C133-D133)*B133))&gt;(C133-D133),C133-D133-SUM(E133:AD133),(C133-D133)*B133))</f>
        <v>500</v>
      </c>
      <c r="AF133" s="417">
        <f>IF(AF112&lt;A133,0,IF((SUM(E133:AE133)+((C133-D133)*B133))&gt;(C133-D133),C133-D133-SUM(E133:AE133),(C133-D133)*B133))</f>
        <v>500</v>
      </c>
      <c r="AG133" s="417">
        <f>IF(AG112&lt;A133,0,IF((SUM(E133:AF133)+((C133-D133)*B133))&gt;(C133-D133),C133-D133-SUM(E133:AF133),(C133-D133)*B133))</f>
        <v>500</v>
      </c>
      <c r="AH133" s="417">
        <f>IF(AH112&lt;A133,0,IF((SUM(E133:AG133)+((C133-D133)*B133))&gt;(C133-D133),C133-D133-SUM(E133:AG133),(C133-D133)*B133))</f>
        <v>500</v>
      </c>
    </row>
    <row r="134" spans="1:34" s="75" customFormat="1" ht="13.15" customHeight="1" outlineLevel="1" x14ac:dyDescent="0.2">
      <c r="A134" s="416">
        <v>22</v>
      </c>
      <c r="B134" s="374">
        <v>0.1</v>
      </c>
      <c r="C134" s="378">
        <f>SUMIF('14 - Investimentos'!B:B,'15 - Depreciação'!A110,'14 - Investimentos'!Z:Z)</f>
        <v>0</v>
      </c>
      <c r="D134" s="417">
        <f>C134*B110</f>
        <v>0</v>
      </c>
      <c r="E134" s="417">
        <f>IF(E112&lt;A134,0,(C134-D134)*B134)</f>
        <v>0</v>
      </c>
      <c r="F134" s="417">
        <f>IF(F112&lt;A134,0,IF((SUM(E134:E134)+((C134-D134)*B134))&gt;(C134-D134),C134-D134-SUM(E134:E134),(C134-D134)*B134))</f>
        <v>0</v>
      </c>
      <c r="G134" s="417">
        <f>IF(G112&lt;A134,0,IF((SUM(E134:F134)+((C134-D134)*B134))&gt;(C134-D134),C134-D134-SUM(E134:F134),(C134-D134)*B134))</f>
        <v>0</v>
      </c>
      <c r="H134" s="417">
        <f>IF(H112&lt;A134,0,IF((SUM(E134:G134)+((C134-D134)*B134))&gt;(C134-D134),C134-D134-SUM(E134:G134),(C134-D134)*B134))</f>
        <v>0</v>
      </c>
      <c r="I134" s="417">
        <f>IF(I112&lt;A134,0,IF((SUM(E134:H134)+((C134-D134)*B134))&gt;(C134-D134),C134-D134-SUM(E134:H134),(C134-D134)*B134))</f>
        <v>0</v>
      </c>
      <c r="J134" s="417">
        <f>IF(J112&lt;A134,0,IF((SUM(E134:I134)+((C134-D134)*B134))&gt;(C134-D134),C134-D134-SUM(E134:I134),(C134-D134)*B134))</f>
        <v>0</v>
      </c>
      <c r="K134" s="417">
        <f>IF(K112&lt;A134,0,IF((SUM(E134:J134)+((C134-D134)*B134))&gt;(C134-D134),C134-D134-SUM(E134:J134),(C134-D134)*B134))</f>
        <v>0</v>
      </c>
      <c r="L134" s="417">
        <f>IF(L112&lt;A134,0,IF((SUM(E134:K134)+((C134-D134)*B134))&gt;(C134-D134),C134-D134-SUM(E134:K134),(C134-D134)*B134))</f>
        <v>0</v>
      </c>
      <c r="M134" s="417">
        <f>IF(M112&lt;A134,0,IF((SUM(E134:L134)+((C134-D134)*B134))&gt;(C134-D134),C134-D134-SUM(E134:L134),(C134-D134)*B134))</f>
        <v>0</v>
      </c>
      <c r="N134" s="417">
        <f>IF(N112&lt;A134,0,IF((SUM(E134:M134)+((C134-D134)*B134))&gt;(C134-D134),C134-D134-SUM(E134:M134),(C134-D134)*B134))</f>
        <v>0</v>
      </c>
      <c r="O134" s="417">
        <f>IF(O112&lt;A134,0,IF((SUM(E134:N134)+((C134-D134)*B134))&gt;(C134-D134),C134-D134-SUM(E134:N134),(C134-D134)*B134))</f>
        <v>0</v>
      </c>
      <c r="P134" s="417">
        <f>IF(P112&lt;A134,0,IF((SUM(E134:O134)+((C134-D134)*B134))&gt;(C134-D134),C134-D134-SUM(E134:O134),(C134-D134)*B134))</f>
        <v>0</v>
      </c>
      <c r="Q134" s="417">
        <f>IF(Q112&lt;A134,0,IF((SUM(E134:P134)+((C134-D134)*B134))&gt;(C134-D134),C134-D134-SUM(E134:P134),(C134-D134)*B134))</f>
        <v>0</v>
      </c>
      <c r="R134" s="417">
        <f>IF(R112&lt;A134,0,IF((SUM(E134:Q134)+((C134-D134)*B134))&gt;(C134-D134),C134-D134-SUM(E134:Q134),(C134-D134)*B134))</f>
        <v>0</v>
      </c>
      <c r="S134" s="417">
        <f>IF(S112&lt;A134,0,IF((SUM(E134:R134)+((C134-D134)*B134))&gt;(C134-D134),C134-D134-SUM(E134:R134),(C134-D134)*B134))</f>
        <v>0</v>
      </c>
      <c r="T134" s="417">
        <f>IF(T112&lt;A134,0,IF((SUM(E134:S134)+((C134-D134)*B134))&gt;(C134-D134),C134-D134-SUM(E134:S134),(C134-D134)*B134))</f>
        <v>0</v>
      </c>
      <c r="U134" s="417">
        <f>IF(U112&lt;A134,0,IF((SUM(E134:T134)+((C134-D134)*B134))&gt;(C134-D134),C134-D134-SUM(E134:T134),(C134-D134)*B134))</f>
        <v>0</v>
      </c>
      <c r="V134" s="417">
        <f>IF(V112&lt;A134,0,IF((SUM(E134:U134)+((C134-D134)*B134))&gt;(C134-D134),C134-D134-SUM(E134:U134),(C134-D134)*B134))</f>
        <v>0</v>
      </c>
      <c r="W134" s="417">
        <f>IF(W112&lt;A134,0,IF((SUM(E134:V134)+((C134-D134)*B134))&gt;(C134-D134),C134-D134-SUM(E134:V134),(C134-D134)*B134))</f>
        <v>0</v>
      </c>
      <c r="X134" s="417">
        <f>IF(X112&lt;A134,0,IF((SUM(E134:W134)+((C134-D134)*B134))&gt;(C134-D134),C134-D134-SUM(E134:W134),(C134-D134)*B134))</f>
        <v>0</v>
      </c>
      <c r="Y134" s="417">
        <f>IF(Y112&lt;A134,0,IF((SUM(E134:X134)+((C134-D134)*B134))&gt;(C134-D134),C134-D134-SUM(E134:X134),(C134-D134)*B134))</f>
        <v>0</v>
      </c>
      <c r="Z134" s="417">
        <f>IF(Z112&lt;A134,0,IF((SUM(E134:Y134)+((C134-D134)*B134))&gt;(C134-D134),C134-D134-SUM(E134:Y134),(C134-D134)*B134))</f>
        <v>0</v>
      </c>
      <c r="AA134" s="417">
        <f>IF(AA112&lt;A134,0,IF((SUM(E134:Z134)+((C134-D134)*B134))&gt;(C134-D134),C134-D134-SUM(E134:Z134),(C134-D134)*B134))</f>
        <v>0</v>
      </c>
      <c r="AB134" s="417">
        <f>IF(AB112&lt;A134,0,IF((SUM(E134:AA134)+((C134-D134)*B134))&gt;(C134-D134),C134-D134-SUM(E134:AA134),(C134-D134)*B134))</f>
        <v>0</v>
      </c>
      <c r="AC134" s="417">
        <f>IF(AC112&lt;A134,0,IF((SUM(E134:AB134)+((C134-D134)*B134))&gt;(C134-D134),C134-D134-SUM(E134:AB134),(C134-D134)*B134))</f>
        <v>0</v>
      </c>
      <c r="AD134" s="417">
        <f>IF(AD112&lt;A134,0,IF((SUM(E134:AC134)+((C134-D134)*B134))&gt;(C134-D134),C134-D134-SUM(E134:AC134),(C134-D134)*B134))</f>
        <v>0</v>
      </c>
      <c r="AE134" s="417">
        <f>IF(AE112&lt;A134,0,IF((SUM(E134:AD134)+((C134-D134)*B134))&gt;(C134-D134),C134-D134-SUM(E134:AD134),(C134-D134)*B134))</f>
        <v>0</v>
      </c>
      <c r="AF134" s="417">
        <f>IF(AF112&lt;A134,0,IF((SUM(E134:AE134)+((C134-D134)*B134))&gt;(C134-D134),C134-D134-SUM(E134:AE134),(C134-D134)*B134))</f>
        <v>0</v>
      </c>
      <c r="AG134" s="417">
        <f>IF(AG112&lt;A134,0,IF((SUM(E134:AF134)+((C134-D134)*B134))&gt;(C134-D134),C134-D134-SUM(E134:AF134),(C134-D134)*B134))</f>
        <v>0</v>
      </c>
      <c r="AH134" s="417">
        <f>IF(AH112&lt;A134,0,IF((SUM(E134:AG134)+((C134-D134)*B134))&gt;(C134-D134),C134-D134-SUM(E134:AG134),(C134-D134)*B134))</f>
        <v>0</v>
      </c>
    </row>
    <row r="135" spans="1:34" s="75" customFormat="1" ht="13.15" customHeight="1" outlineLevel="1" x14ac:dyDescent="0.2">
      <c r="A135" s="416">
        <v>23</v>
      </c>
      <c r="B135" s="374">
        <v>0.1</v>
      </c>
      <c r="C135" s="378">
        <f>SUMIF('14 - Investimentos'!B:B,'15 - Depreciação'!A110,'14 - Investimentos'!AA:AA)</f>
        <v>0</v>
      </c>
      <c r="D135" s="417">
        <f>C135*B110</f>
        <v>0</v>
      </c>
      <c r="E135" s="417">
        <f>IF(E112&lt;A135,0,(C135-D135)*B135)</f>
        <v>0</v>
      </c>
      <c r="F135" s="417">
        <f>IF(F112&lt;A135,0,IF((SUM(E135:E135)+((C135-D135)*B135))&gt;(C135-D135),C135-D135-SUM(E135:E135),(C135-D135)*B135))</f>
        <v>0</v>
      </c>
      <c r="G135" s="417">
        <f>IF(G112&lt;A135,0,IF((SUM(E135:F135)+((C135-D135)*B135))&gt;(C135-D135),C135-D135-SUM(E135:F135),(C135-D135)*B135))</f>
        <v>0</v>
      </c>
      <c r="H135" s="417">
        <f>IF(H112&lt;A135,0,IF((SUM(E135:G135)+((C135-D135)*B135))&gt;(C135-D135),C135-D135-SUM(E135:G135),(C135-D135)*B135))</f>
        <v>0</v>
      </c>
      <c r="I135" s="417">
        <f>IF(I112&lt;A135,0,IF((SUM(E135:H135)+((C135-D135)*B135))&gt;(C135-D135),C135-D135-SUM(E135:H135),(C135-D135)*B135))</f>
        <v>0</v>
      </c>
      <c r="J135" s="417">
        <f>IF(J112&lt;A135,0,IF((SUM(E135:I135)+((C135-D135)*B135))&gt;(C135-D135),C135-D135-SUM(E135:I135),(C135-D135)*B135))</f>
        <v>0</v>
      </c>
      <c r="K135" s="417">
        <f>IF(K112&lt;A135,0,IF((SUM(E135:J135)+((C135-D135)*B135))&gt;(C135-D135),C135-D135-SUM(E135:J135),(C135-D135)*B135))</f>
        <v>0</v>
      </c>
      <c r="L135" s="417">
        <f>IF(L112&lt;A135,0,IF((SUM(E135:K135)+((C135-D135)*B135))&gt;(C135-D135),C135-D135-SUM(E135:K135),(C135-D135)*B135))</f>
        <v>0</v>
      </c>
      <c r="M135" s="417">
        <f>IF(M112&lt;A135,0,IF((SUM(E135:L135)+((C135-D135)*B135))&gt;(C135-D135),C135-D135-SUM(E135:L135),(C135-D135)*B135))</f>
        <v>0</v>
      </c>
      <c r="N135" s="417">
        <f>IF(N112&lt;A135,0,IF((SUM(E135:M135)+((C135-D135)*B135))&gt;(C135-D135),C135-D135-SUM(E135:M135),(C135-D135)*B135))</f>
        <v>0</v>
      </c>
      <c r="O135" s="417">
        <f>IF(O112&lt;A135,0,IF((SUM(E135:N135)+((C135-D135)*B135))&gt;(C135-D135),C135-D135-SUM(E135:N135),(C135-D135)*B135))</f>
        <v>0</v>
      </c>
      <c r="P135" s="417">
        <f>IF(P112&lt;A135,0,IF((SUM(E135:O135)+((C135-D135)*B135))&gt;(C135-D135),C135-D135-SUM(E135:O135),(C135-D135)*B135))</f>
        <v>0</v>
      </c>
      <c r="Q135" s="417">
        <f>IF(Q112&lt;A135,0,IF((SUM(E135:P135)+((C135-D135)*B135))&gt;(C135-D135),C135-D135-SUM(E135:P135),(C135-D135)*B135))</f>
        <v>0</v>
      </c>
      <c r="R135" s="417">
        <f>IF(R112&lt;A135,0,IF((SUM(E135:Q135)+((C135-D135)*B135))&gt;(C135-D135),C135-D135-SUM(E135:Q135),(C135-D135)*B135))</f>
        <v>0</v>
      </c>
      <c r="S135" s="417">
        <f>IF(S112&lt;A135,0,IF((SUM(E135:R135)+((C135-D135)*B135))&gt;(C135-D135),C135-D135-SUM(E135:R135),(C135-D135)*B135))</f>
        <v>0</v>
      </c>
      <c r="T135" s="417">
        <f>IF(T112&lt;A135,0,IF((SUM(E135:S135)+((C135-D135)*B135))&gt;(C135-D135),C135-D135-SUM(E135:S135),(C135-D135)*B135))</f>
        <v>0</v>
      </c>
      <c r="U135" s="417">
        <f>IF(U112&lt;A135,0,IF((SUM(E135:T135)+((C135-D135)*B135))&gt;(C135-D135),C135-D135-SUM(E135:T135),(C135-D135)*B135))</f>
        <v>0</v>
      </c>
      <c r="V135" s="417">
        <f>IF(V112&lt;A135,0,IF((SUM(E135:U135)+((C135-D135)*B135))&gt;(C135-D135),C135-D135-SUM(E135:U135),(C135-D135)*B135))</f>
        <v>0</v>
      </c>
      <c r="W135" s="417">
        <f>IF(W112&lt;A135,0,IF((SUM(E135:V135)+((C135-D135)*B135))&gt;(C135-D135),C135-D135-SUM(E135:V135),(C135-D135)*B135))</f>
        <v>0</v>
      </c>
      <c r="X135" s="417">
        <f>IF(X112&lt;A135,0,IF((SUM(E135:W135)+((C135-D135)*B135))&gt;(C135-D135),C135-D135-SUM(E135:W135),(C135-D135)*B135))</f>
        <v>0</v>
      </c>
      <c r="Y135" s="417">
        <f>IF(Y112&lt;A135,0,IF((SUM(E135:X135)+((C135-D135)*B135))&gt;(C135-D135),C135-D135-SUM(E135:X135),(C135-D135)*B135))</f>
        <v>0</v>
      </c>
      <c r="Z135" s="417">
        <f>IF(Z112&lt;A135,0,IF((SUM(E135:Y135)+((C135-D135)*B135))&gt;(C135-D135),C135-D135-SUM(E135:Y135),(C135-D135)*B135))</f>
        <v>0</v>
      </c>
      <c r="AA135" s="417">
        <f>IF(AA112&lt;A135,0,IF((SUM(E135:Z135)+((C135-D135)*B135))&gt;(C135-D135),C135-D135-SUM(E135:Z135),(C135-D135)*B135))</f>
        <v>0</v>
      </c>
      <c r="AB135" s="417">
        <f>IF(AB112&lt;A135,0,IF((SUM(E135:AA135)+((C135-D135)*B135))&gt;(C135-D135),C135-D135-SUM(E135:AA135),(C135-D135)*B135))</f>
        <v>0</v>
      </c>
      <c r="AC135" s="417">
        <f>IF(AC112&lt;A135,0,IF((SUM(E135:AB135)+((C135-D135)*B135))&gt;(C135-D135),C135-D135-SUM(E135:AB135),(C135-D135)*B135))</f>
        <v>0</v>
      </c>
      <c r="AD135" s="417">
        <f>IF(AD112&lt;A135,0,IF((SUM(E135:AC135)+((C135-D135)*B135))&gt;(C135-D135),C135-D135-SUM(E135:AC135),(C135-D135)*B135))</f>
        <v>0</v>
      </c>
      <c r="AE135" s="417">
        <f>IF(AE112&lt;A135,0,IF((SUM(E135:AD135)+((C135-D135)*B135))&gt;(C135-D135),C135-D135-SUM(E135:AD135),(C135-D135)*B135))</f>
        <v>0</v>
      </c>
      <c r="AF135" s="417">
        <f>IF(AF112&lt;A135,0,IF((SUM(E135:AE135)+((C135-D135)*B135))&gt;(C135-D135),C135-D135-SUM(E135:AE135),(C135-D135)*B135))</f>
        <v>0</v>
      </c>
      <c r="AG135" s="417">
        <f>IF(AG112&lt;A135,0,IF((SUM(E135:AF135)+((C135-D135)*B135))&gt;(C135-D135),C135-D135-SUM(E135:AF135),(C135-D135)*B135))</f>
        <v>0</v>
      </c>
      <c r="AH135" s="417">
        <f>IF(AH112&lt;A135,0,IF((SUM(E135:AG135)+((C135-D135)*B135))&gt;(C135-D135),C135-D135-SUM(E135:AG135),(C135-D135)*B135))</f>
        <v>0</v>
      </c>
    </row>
    <row r="136" spans="1:34" s="75" customFormat="1" ht="13.15" customHeight="1" outlineLevel="1" x14ac:dyDescent="0.2">
      <c r="A136" s="416">
        <v>24</v>
      </c>
      <c r="B136" s="374">
        <v>0.1</v>
      </c>
      <c r="C136" s="378">
        <f>SUMIF('14 - Investimentos'!B:B,'15 - Depreciação'!A110,'14 - Investimentos'!AB:AB)</f>
        <v>0</v>
      </c>
      <c r="D136" s="417">
        <f>C136*B110</f>
        <v>0</v>
      </c>
      <c r="E136" s="417">
        <f>IF(E112&lt;A136,0,(C136-D136)*B136)</f>
        <v>0</v>
      </c>
      <c r="F136" s="417">
        <f>IF(F112&lt;A136,0,IF((SUM(E136:E136)+((C136-D136)*B136))&gt;(C136-D136),C136-D136-SUM(E136:E136),(C136-D136)*B136))</f>
        <v>0</v>
      </c>
      <c r="G136" s="417">
        <f>IF(G112&lt;A136,0,IF((SUM(E136:F136)+((C136-D136)*B136))&gt;(C136-D136),C136-D136-SUM(E136:F136),(C136-D136)*B136))</f>
        <v>0</v>
      </c>
      <c r="H136" s="417">
        <f>IF(H112&lt;A136,0,IF((SUM(E136:G136)+((C136-D136)*B136))&gt;(C136-D136),C136-D136-SUM(E136:G136),(C136-D136)*B136))</f>
        <v>0</v>
      </c>
      <c r="I136" s="417">
        <f>IF(I112&lt;A136,0,IF((SUM(E136:H136)+((C136-D136)*B136))&gt;(C136-D136),C136-D136-SUM(E136:H136),(C136-D136)*B136))</f>
        <v>0</v>
      </c>
      <c r="J136" s="417">
        <f>IF(J112&lt;A136,0,IF((SUM(E136:I136)+((C136-D136)*B136))&gt;(C136-D136),C136-D136-SUM(E136:I136),(C136-D136)*B136))</f>
        <v>0</v>
      </c>
      <c r="K136" s="417">
        <f>IF(K112&lt;A136,0,IF((SUM(E136:J136)+((C136-D136)*B136))&gt;(C136-D136),C136-D136-SUM(E136:J136),(C136-D136)*B136))</f>
        <v>0</v>
      </c>
      <c r="L136" s="417">
        <f>IF(L112&lt;A136,0,IF((SUM(E136:K136)+((C136-D136)*B136))&gt;(C136-D136),C136-D136-SUM(E136:K136),(C136-D136)*B136))</f>
        <v>0</v>
      </c>
      <c r="M136" s="417">
        <f>IF(M112&lt;A136,0,IF((SUM(E136:L136)+((C136-D136)*B136))&gt;(C136-D136),C136-D136-SUM(E136:L136),(C136-D136)*B136))</f>
        <v>0</v>
      </c>
      <c r="N136" s="417">
        <f>IF(N112&lt;A136,0,IF((SUM(E136:M136)+((C136-D136)*B136))&gt;(C136-D136),C136-D136-SUM(E136:M136),(C136-D136)*B136))</f>
        <v>0</v>
      </c>
      <c r="O136" s="417">
        <f>IF(O112&lt;A136,0,IF((SUM(E136:N136)+((C136-D136)*B136))&gt;(C136-D136),C136-D136-SUM(E136:N136),(C136-D136)*B136))</f>
        <v>0</v>
      </c>
      <c r="P136" s="417">
        <f>IF(P112&lt;A136,0,IF((SUM(E136:O136)+((C136-D136)*B136))&gt;(C136-D136),C136-D136-SUM(E136:O136),(C136-D136)*B136))</f>
        <v>0</v>
      </c>
      <c r="Q136" s="417">
        <f>IF(Q112&lt;A136,0,IF((SUM(E136:P136)+((C136-D136)*B136))&gt;(C136-D136),C136-D136-SUM(E136:P136),(C136-D136)*B136))</f>
        <v>0</v>
      </c>
      <c r="R136" s="417">
        <f>IF(R112&lt;A136,0,IF((SUM(E136:Q136)+((C136-D136)*B136))&gt;(C136-D136),C136-D136-SUM(E136:Q136),(C136-D136)*B136))</f>
        <v>0</v>
      </c>
      <c r="S136" s="417">
        <f>IF(S112&lt;A136,0,IF((SUM(E136:R136)+((C136-D136)*B136))&gt;(C136-D136),C136-D136-SUM(E136:R136),(C136-D136)*B136))</f>
        <v>0</v>
      </c>
      <c r="T136" s="417">
        <f>IF(T112&lt;A136,0,IF((SUM(E136:S136)+((C136-D136)*B136))&gt;(C136-D136),C136-D136-SUM(E136:S136),(C136-D136)*B136))</f>
        <v>0</v>
      </c>
      <c r="U136" s="417">
        <f>IF(U112&lt;A136,0,IF((SUM(E136:T136)+((C136-D136)*B136))&gt;(C136-D136),C136-D136-SUM(E136:T136),(C136-D136)*B136))</f>
        <v>0</v>
      </c>
      <c r="V136" s="417">
        <f>IF(V112&lt;A136,0,IF((SUM(E136:U136)+((C136-D136)*B136))&gt;(C136-D136),C136-D136-SUM(E136:U136),(C136-D136)*B136))</f>
        <v>0</v>
      </c>
      <c r="W136" s="417">
        <f>IF(W112&lt;A136,0,IF((SUM(E136:V136)+((C136-D136)*B136))&gt;(C136-D136),C136-D136-SUM(E136:V136),(C136-D136)*B136))</f>
        <v>0</v>
      </c>
      <c r="X136" s="417">
        <f>IF(X112&lt;A136,0,IF((SUM(E136:W136)+((C136-D136)*B136))&gt;(C136-D136),C136-D136-SUM(E136:W136),(C136-D136)*B136))</f>
        <v>0</v>
      </c>
      <c r="Y136" s="417">
        <f>IF(Y112&lt;A136,0,IF((SUM(E136:X136)+((C136-D136)*B136))&gt;(C136-D136),C136-D136-SUM(E136:X136),(C136-D136)*B136))</f>
        <v>0</v>
      </c>
      <c r="Z136" s="417">
        <f>IF(Z112&lt;A136,0,IF((SUM(E136:Y136)+((C136-D136)*B136))&gt;(C136-D136),C136-D136-SUM(E136:Y136),(C136-D136)*B136))</f>
        <v>0</v>
      </c>
      <c r="AA136" s="417">
        <f>IF(AA112&lt;A136,0,IF((SUM(E136:Z136)+((C136-D136)*B136))&gt;(C136-D136),C136-D136-SUM(E136:Z136),(C136-D136)*B136))</f>
        <v>0</v>
      </c>
      <c r="AB136" s="417">
        <f>IF(AB112&lt;A136,0,IF((SUM(E136:AA136)+((C136-D136)*B136))&gt;(C136-D136),C136-D136-SUM(E136:AA136),(C136-D136)*B136))</f>
        <v>0</v>
      </c>
      <c r="AC136" s="417">
        <f>IF(AC112&lt;A136,0,IF((SUM(E136:AB136)+((C136-D136)*B136))&gt;(C136-D136),C136-D136-SUM(E136:AB136),(C136-D136)*B136))</f>
        <v>0</v>
      </c>
      <c r="AD136" s="417">
        <f>IF(AD112&lt;A136,0,IF((SUM(E136:AC136)+((C136-D136)*B136))&gt;(C136-D136),C136-D136-SUM(E136:AC136),(C136-D136)*B136))</f>
        <v>0</v>
      </c>
      <c r="AE136" s="417">
        <f>IF(AE112&lt;A136,0,IF((SUM(E136:AD136)+((C136-D136)*B136))&gt;(C136-D136),C136-D136-SUM(E136:AD136),(C136-D136)*B136))</f>
        <v>0</v>
      </c>
      <c r="AF136" s="417">
        <f>IF(AF112&lt;A136,0,IF((SUM(E136:AE136)+((C136-D136)*B136))&gt;(C136-D136),C136-D136-SUM(E136:AE136),(C136-D136)*B136))</f>
        <v>0</v>
      </c>
      <c r="AG136" s="417">
        <f>IF(AG112&lt;A136,0,IF((SUM(E136:AF136)+((C136-D136)*B136))&gt;(C136-D136),C136-D136-SUM(E136:AF136),(C136-D136)*B136))</f>
        <v>0</v>
      </c>
      <c r="AH136" s="417">
        <f>IF(AH112&lt;A136,0,IF((SUM(E136:AG136)+((C136-D136)*B136))&gt;(C136-D136),C136-D136-SUM(E136:AG136),(C136-D136)*B136))</f>
        <v>0</v>
      </c>
    </row>
    <row r="137" spans="1:34" s="75" customFormat="1" ht="13.15" customHeight="1" outlineLevel="1" x14ac:dyDescent="0.2">
      <c r="A137" s="416">
        <v>25</v>
      </c>
      <c r="B137" s="374">
        <v>0.1</v>
      </c>
      <c r="C137" s="378">
        <f>SUMIF('14 - Investimentos'!B:B,'15 - Depreciação'!A110,'14 - Investimentos'!AC:AC)</f>
        <v>0</v>
      </c>
      <c r="D137" s="417">
        <f>C137*B110</f>
        <v>0</v>
      </c>
      <c r="E137" s="417">
        <f>IF(E112&lt;A137,0,(C137-D137)*B137)</f>
        <v>0</v>
      </c>
      <c r="F137" s="417">
        <f>IF(F112&lt;A137,0,IF((SUM(E137:E137)+((C137-D137)*B137))&gt;(C137-D137),C137-D137-SUM(E137:E137),(C137-D137)*B137))</f>
        <v>0</v>
      </c>
      <c r="G137" s="417">
        <f>IF(G112&lt;A137,0,IF((SUM(E137:F137)+((C137-D137)*B137))&gt;(C137-D137),C137-D137-SUM(E137:F137),(C137-D137)*B137))</f>
        <v>0</v>
      </c>
      <c r="H137" s="417">
        <f>IF(H112&lt;A137,0,IF((SUM(E137:G137)+((C137-D137)*B137))&gt;(C137-D137),C137-D137-SUM(E137:G137),(C137-D137)*B137))</f>
        <v>0</v>
      </c>
      <c r="I137" s="417">
        <f>IF(I112&lt;A137,0,IF((SUM(E137:H137)+((C137-D137)*B137))&gt;(C137-D137),C137-D137-SUM(E137:H137),(C137-D137)*B137))</f>
        <v>0</v>
      </c>
      <c r="J137" s="417">
        <f>IF(J112&lt;A137,0,IF((SUM(E137:I137)+((C137-D137)*B137))&gt;(C137-D137),C137-D137-SUM(E137:I137),(C137-D137)*B137))</f>
        <v>0</v>
      </c>
      <c r="K137" s="417">
        <f>IF(K112&lt;A137,0,IF((SUM(E137:J137)+((C137-D137)*B137))&gt;(C137-D137),C137-D137-SUM(E137:J137),(C137-D137)*B137))</f>
        <v>0</v>
      </c>
      <c r="L137" s="417">
        <f>IF(L112&lt;A137,0,IF((SUM(E137:K137)+((C137-D137)*B137))&gt;(C137-D137),C137-D137-SUM(E137:K137),(C137-D137)*B137))</f>
        <v>0</v>
      </c>
      <c r="M137" s="417">
        <f>IF(M112&lt;A137,0,IF((SUM(E137:L137)+((C137-D137)*B137))&gt;(C137-D137),C137-D137-SUM(E137:L137),(C137-D137)*B137))</f>
        <v>0</v>
      </c>
      <c r="N137" s="417">
        <f>IF(N112&lt;A137,0,IF((SUM(E137:M137)+((C137-D137)*B137))&gt;(C137-D137),C137-D137-SUM(E137:M137),(C137-D137)*B137))</f>
        <v>0</v>
      </c>
      <c r="O137" s="417">
        <f>IF(O112&lt;A137,0,IF((SUM(E137:N137)+((C137-D137)*B137))&gt;(C137-D137),C137-D137-SUM(E137:N137),(C137-D137)*B137))</f>
        <v>0</v>
      </c>
      <c r="P137" s="417">
        <f>IF(P112&lt;A137,0,IF((SUM(E137:O137)+((C137-D137)*B137))&gt;(C137-D137),C137-D137-SUM(E137:O137),(C137-D137)*B137))</f>
        <v>0</v>
      </c>
      <c r="Q137" s="417">
        <f>IF(Q112&lt;A137,0,IF((SUM(E137:P137)+((C137-D137)*B137))&gt;(C137-D137),C137-D137-SUM(E137:P137),(C137-D137)*B137))</f>
        <v>0</v>
      </c>
      <c r="R137" s="417">
        <f>IF(R112&lt;A137,0,IF((SUM(E137:Q137)+((C137-D137)*B137))&gt;(C137-D137),C137-D137-SUM(E137:Q137),(C137-D137)*B137))</f>
        <v>0</v>
      </c>
      <c r="S137" s="417">
        <f>IF(S112&lt;A137,0,IF((SUM(E137:R137)+((C137-D137)*B137))&gt;(C137-D137),C137-D137-SUM(E137:R137),(C137-D137)*B137))</f>
        <v>0</v>
      </c>
      <c r="T137" s="417">
        <f>IF(T112&lt;A137,0,IF((SUM(E137:S137)+((C137-D137)*B137))&gt;(C137-D137),C137-D137-SUM(E137:S137),(C137-D137)*B137))</f>
        <v>0</v>
      </c>
      <c r="U137" s="417">
        <f>IF(U112&lt;A137,0,IF((SUM(E137:T137)+((C137-D137)*B137))&gt;(C137-D137),C137-D137-SUM(E137:T137),(C137-D137)*B137))</f>
        <v>0</v>
      </c>
      <c r="V137" s="417">
        <f>IF(V112&lt;A137,0,IF((SUM(E137:U137)+((C137-D137)*B137))&gt;(C137-D137),C137-D137-SUM(E137:U137),(C137-D137)*B137))</f>
        <v>0</v>
      </c>
      <c r="W137" s="417">
        <f>IF(W112&lt;A137,0,IF((SUM(E137:V137)+((C137-D137)*B137))&gt;(C137-D137),C137-D137-SUM(E137:V137),(C137-D137)*B137))</f>
        <v>0</v>
      </c>
      <c r="X137" s="417">
        <f>IF(X112&lt;A137,0,IF((SUM(E137:W137)+((C137-D137)*B137))&gt;(C137-D137),C137-D137-SUM(E137:W137),(C137-D137)*B137))</f>
        <v>0</v>
      </c>
      <c r="Y137" s="417">
        <f>IF(Y112&lt;A137,0,IF((SUM(E137:X137)+((C137-D137)*B137))&gt;(C137-D137),C137-D137-SUM(E137:X137),(C137-D137)*B137))</f>
        <v>0</v>
      </c>
      <c r="Z137" s="417">
        <f>IF(Z112&lt;A137,0,IF((SUM(E137:Y137)+((C137-D137)*B137))&gt;(C137-D137),C137-D137-SUM(E137:Y137),(C137-D137)*B137))</f>
        <v>0</v>
      </c>
      <c r="AA137" s="417">
        <f>IF(AA112&lt;A137,0,IF((SUM(E137:Z137)+((C137-D137)*B137))&gt;(C137-D137),C137-D137-SUM(E137:Z137),(C137-D137)*B137))</f>
        <v>0</v>
      </c>
      <c r="AB137" s="417">
        <f>IF(AB112&lt;A137,0,IF((SUM(E137:AA137)+((C137-D137)*B137))&gt;(C137-D137),C137-D137-SUM(E137:AA137),(C137-D137)*B137))</f>
        <v>0</v>
      </c>
      <c r="AC137" s="417">
        <f>IF(AC112&lt;A137,0,IF((SUM(E137:AB137)+((C137-D137)*B137))&gt;(C137-D137),C137-D137-SUM(E137:AB137),(C137-D137)*B137))</f>
        <v>0</v>
      </c>
      <c r="AD137" s="417">
        <f>IF(AD112&lt;A137,0,IF((SUM(E137:AC137)+((C137-D137)*B137))&gt;(C137-D137),C137-D137-SUM(E137:AC137),(C137-D137)*B137))</f>
        <v>0</v>
      </c>
      <c r="AE137" s="417">
        <f>IF(AE112&lt;A137,0,IF((SUM(E137:AD137)+((C137-D137)*B137))&gt;(C137-D137),C137-D137-SUM(E137:AD137),(C137-D137)*B137))</f>
        <v>0</v>
      </c>
      <c r="AF137" s="417">
        <f>IF(AF112&lt;A137,0,IF((SUM(E137:AE137)+((C137-D137)*B137))&gt;(C137-D137),C137-D137-SUM(E137:AE137),(C137-D137)*B137))</f>
        <v>0</v>
      </c>
      <c r="AG137" s="417">
        <f>IF(AG112&lt;A137,0,IF((SUM(E137:AF137)+((C137-D137)*B137))&gt;(C137-D137),C137-D137-SUM(E137:AF137),(C137-D137)*B137))</f>
        <v>0</v>
      </c>
      <c r="AH137" s="417">
        <f>IF(AH112&lt;A137,0,IF((SUM(E137:AG137)+((C137-D137)*B137))&gt;(C137-D137),C137-D137-SUM(E137:AG137),(C137-D137)*B137))</f>
        <v>0</v>
      </c>
    </row>
    <row r="138" spans="1:34" s="75" customFormat="1" ht="13.15" customHeight="1" outlineLevel="1" x14ac:dyDescent="0.2">
      <c r="A138" s="416">
        <v>26</v>
      </c>
      <c r="B138" s="374">
        <v>0.1</v>
      </c>
      <c r="C138" s="378">
        <f>SUMIF('14 - Investimentos'!B:B,'15 - Depreciação'!A110,'14 - Investimentos'!AD:AD)</f>
        <v>5000</v>
      </c>
      <c r="D138" s="417">
        <f>C138*B110</f>
        <v>0</v>
      </c>
      <c r="E138" s="417">
        <f>IF(E112&lt;A138,0,(C138-D138)*B138)</f>
        <v>0</v>
      </c>
      <c r="F138" s="417">
        <f>IF(F112&lt;A138,0,IF((SUM(E138:E138)+((C138-D138)*B138))&gt;(C138-D138),C138-D138-SUM(E138:E138),(C138-D138)*B138))</f>
        <v>0</v>
      </c>
      <c r="G138" s="417">
        <f>IF(G112&lt;A138,0,IF((SUM(E138:F138)+((C138-D138)*B138))&gt;(C138-D138),C138-D138-SUM(E138:F138),(C138-D138)*B138))</f>
        <v>0</v>
      </c>
      <c r="H138" s="417">
        <f>IF(H112&lt;A138,0,IF((SUM(E138:G138)+((C138-D138)*B138))&gt;(C138-D138),C138-D138-SUM(E138:G138),(C138-D138)*B138))</f>
        <v>0</v>
      </c>
      <c r="I138" s="417">
        <f>IF(I112&lt;A138,0,IF((SUM(E138:H138)+((C138-D138)*B138))&gt;(C138-D138),C138-D138-SUM(E138:H138),(C138-D138)*B138))</f>
        <v>0</v>
      </c>
      <c r="J138" s="417">
        <f>IF(J112&lt;A138,0,IF((SUM(E138:I138)+((C138-D138)*B138))&gt;(C138-D138),C138-D138-SUM(E138:I138),(C138-D138)*B138))</f>
        <v>0</v>
      </c>
      <c r="K138" s="417">
        <f>IF(K112&lt;A138,0,IF((SUM(E138:J138)+((C138-D138)*B138))&gt;(C138-D138),C138-D138-SUM(E138:J138),(C138-D138)*B138))</f>
        <v>0</v>
      </c>
      <c r="L138" s="417">
        <f>IF(L112&lt;A138,0,IF((SUM(E138:K138)+((C138-D138)*B138))&gt;(C138-D138),C138-D138-SUM(E138:K138),(C138-D138)*B138))</f>
        <v>0</v>
      </c>
      <c r="M138" s="417">
        <f>IF(M112&lt;A138,0,IF((SUM(E138:L138)+((C138-D138)*B138))&gt;(C138-D138),C138-D138-SUM(E138:L138),(C138-D138)*B138))</f>
        <v>0</v>
      </c>
      <c r="N138" s="417">
        <f>IF(N112&lt;A138,0,IF((SUM(E138:M138)+((C138-D138)*B138))&gt;(C138-D138),C138-D138-SUM(E138:M138),(C138-D138)*B138))</f>
        <v>0</v>
      </c>
      <c r="O138" s="417">
        <f>IF(O112&lt;A138,0,IF((SUM(E138:N138)+((C138-D138)*B138))&gt;(C138-D138),C138-D138-SUM(E138:N138),(C138-D138)*B138))</f>
        <v>0</v>
      </c>
      <c r="P138" s="417">
        <f>IF(P112&lt;A138,0,IF((SUM(E138:O138)+((C138-D138)*B138))&gt;(C138-D138),C138-D138-SUM(E138:O138),(C138-D138)*B138))</f>
        <v>0</v>
      </c>
      <c r="Q138" s="417">
        <f>IF(Q112&lt;A138,0,IF((SUM(E138:P138)+((C138-D138)*B138))&gt;(C138-D138),C138-D138-SUM(E138:P138),(C138-D138)*B138))</f>
        <v>0</v>
      </c>
      <c r="R138" s="417">
        <f>IF(R112&lt;A138,0,IF((SUM(E138:Q138)+((C138-D138)*B138))&gt;(C138-D138),C138-D138-SUM(E138:Q138),(C138-D138)*B138))</f>
        <v>0</v>
      </c>
      <c r="S138" s="417">
        <f>IF(S112&lt;A138,0,IF((SUM(E138:R138)+((C138-D138)*B138))&gt;(C138-D138),C138-D138-SUM(E138:R138),(C138-D138)*B138))</f>
        <v>0</v>
      </c>
      <c r="T138" s="417">
        <f>IF(T112&lt;A138,0,IF((SUM(E138:S138)+((C138-D138)*B138))&gt;(C138-D138),C138-D138-SUM(E138:S138),(C138-D138)*B138))</f>
        <v>0</v>
      </c>
      <c r="U138" s="417">
        <f>IF(U112&lt;A138,0,IF((SUM(E138:T138)+((C138-D138)*B138))&gt;(C138-D138),C138-D138-SUM(E138:T138),(C138-D138)*B138))</f>
        <v>0</v>
      </c>
      <c r="V138" s="417">
        <f>IF(V112&lt;A138,0,IF((SUM(E138:U138)+((C138-D138)*B138))&gt;(C138-D138),C138-D138-SUM(E138:U138),(C138-D138)*B138))</f>
        <v>0</v>
      </c>
      <c r="W138" s="417">
        <f>IF(W112&lt;A138,0,IF((SUM(E138:V138)+((C138-D138)*B138))&gt;(C138-D138),C138-D138-SUM(E138:V138),(C138-D138)*B138))</f>
        <v>0</v>
      </c>
      <c r="X138" s="417">
        <f>IF(X112&lt;A138,0,IF((SUM(E138:W138)+((C138-D138)*B138))&gt;(C138-D138),C138-D138-SUM(E138:W138),(C138-D138)*B138))</f>
        <v>0</v>
      </c>
      <c r="Y138" s="417">
        <f>IF(Y112&lt;A138,0,IF((SUM(E138:X138)+((C138-D138)*B138))&gt;(C138-D138),C138-D138-SUM(E138:X138),(C138-D138)*B138))</f>
        <v>0</v>
      </c>
      <c r="Z138" s="417">
        <f>IF(Z112&lt;A138,0,IF((SUM(E138:Y138)+((C138-D138)*B138))&gt;(C138-D138),C138-D138-SUM(E138:Y138),(C138-D138)*B138))</f>
        <v>0</v>
      </c>
      <c r="AA138" s="417">
        <f>IF(AA112&lt;A138,0,IF((SUM(E138:Z138)+((C138-D138)*B138))&gt;(C138-D138),C138-D138-SUM(E138:Z138),(C138-D138)*B138))</f>
        <v>0</v>
      </c>
      <c r="AB138" s="417">
        <f>IF(AB112&lt;A138,0,IF((SUM(E138:AA138)+((C138-D138)*B138))&gt;(C138-D138),C138-D138-SUM(E138:AA138),(C138-D138)*B138))</f>
        <v>0</v>
      </c>
      <c r="AC138" s="417">
        <f>IF(AC112&lt;A138,0,IF((SUM(E138:AB138)+((C138-D138)*B138))&gt;(C138-D138),C138-D138-SUM(E138:AB138),(C138-D138)*B138))</f>
        <v>0</v>
      </c>
      <c r="AD138" s="417">
        <f>IF(AD112&lt;A138,0,IF((SUM(E138:AC138)+((C138-D138)*B138))&gt;(C138-D138),C138-D138-SUM(E138:AC138),(C138-D138)*B138))</f>
        <v>500</v>
      </c>
      <c r="AE138" s="417">
        <f>IF(AE112&lt;A138,0,IF((SUM(E138:AD138)+((C138-D138)*B138))&gt;(C138-D138),C138-D138-SUM(E138:AD138),(C138-D138)*B138))</f>
        <v>500</v>
      </c>
      <c r="AF138" s="417">
        <f>IF(AF112&lt;A138,0,IF((SUM(E138:AE138)+((C138-D138)*B138))&gt;(C138-D138),C138-D138-SUM(E138:AE138),(C138-D138)*B138))</f>
        <v>500</v>
      </c>
      <c r="AG138" s="417">
        <f>IF(AG112&lt;A138,0,IF((SUM(E138:AF138)+((C138-D138)*B138))&gt;(C138-D138),C138-D138-SUM(E138:AF138),(C138-D138)*B138))</f>
        <v>500</v>
      </c>
      <c r="AH138" s="417">
        <f>IF(AH112&lt;A138,0,IF((SUM(E138:AG138)+((C138-D138)*B138))&gt;(C138-D138),C138-D138-SUM(E138:AG138),(C138-D138)*B138))</f>
        <v>500</v>
      </c>
    </row>
    <row r="139" spans="1:34" s="75" customFormat="1" ht="13.15" customHeight="1" outlineLevel="1" x14ac:dyDescent="0.2">
      <c r="A139" s="416">
        <v>27</v>
      </c>
      <c r="B139" s="374">
        <v>0.1</v>
      </c>
      <c r="C139" s="378">
        <f>SUMIF('14 - Investimentos'!B:B,'15 - Depreciação'!A110,'14 - Investimentos'!AE:AE)</f>
        <v>0</v>
      </c>
      <c r="D139" s="417">
        <f>C139*B110</f>
        <v>0</v>
      </c>
      <c r="E139" s="417">
        <f>IF(E112&lt;A139,0,(C139-D139)*B139)</f>
        <v>0</v>
      </c>
      <c r="F139" s="417">
        <f>IF(F112&lt;A139,0,IF((SUM(E139:E139)+((C139-D139)*B139))&gt;(C139-D139),C139-D139-SUM(E139:E139),(C139-D139)*B139))</f>
        <v>0</v>
      </c>
      <c r="G139" s="417">
        <f>IF(G112&lt;A139,0,IF((SUM(E139:F139)+((C139-D139)*B139))&gt;(C139-D139),C139-D139-SUM(E139:F139),(C139-D139)*B139))</f>
        <v>0</v>
      </c>
      <c r="H139" s="417">
        <f>IF(H112&lt;A139,0,IF((SUM(E139:G139)+((C139-D139)*B139))&gt;(C139-D139),C139-D139-SUM(E139:G139),(C139-D139)*B139))</f>
        <v>0</v>
      </c>
      <c r="I139" s="417">
        <f>IF(I112&lt;A139,0,IF((SUM(E139:H139)+((C139-D139)*B139))&gt;(C139-D139),C139-D139-SUM(E139:H139),(C139-D139)*B139))</f>
        <v>0</v>
      </c>
      <c r="J139" s="417">
        <f>IF(J112&lt;A139,0,IF((SUM(E139:I139)+((C139-D139)*B139))&gt;(C139-D139),C139-D139-SUM(E139:I139),(C139-D139)*B139))</f>
        <v>0</v>
      </c>
      <c r="K139" s="417">
        <f>IF(K112&lt;A139,0,IF((SUM(E139:J139)+((C139-D139)*B139))&gt;(C139-D139),C139-D139-SUM(E139:J139),(C139-D139)*B139))</f>
        <v>0</v>
      </c>
      <c r="L139" s="417">
        <f>IF(L112&lt;A139,0,IF((SUM(E139:K139)+((C139-D139)*B139))&gt;(C139-D139),C139-D139-SUM(E139:K139),(C139-D139)*B139))</f>
        <v>0</v>
      </c>
      <c r="M139" s="417">
        <f>IF(M112&lt;A139,0,IF((SUM(E139:L139)+((C139-D139)*B139))&gt;(C139-D139),C139-D139-SUM(E139:L139),(C139-D139)*B139))</f>
        <v>0</v>
      </c>
      <c r="N139" s="417">
        <f>IF(N112&lt;A139,0,IF((SUM(E139:M139)+((C139-D139)*B139))&gt;(C139-D139),C139-D139-SUM(E139:M139),(C139-D139)*B139))</f>
        <v>0</v>
      </c>
      <c r="O139" s="417">
        <f>IF(O112&lt;A139,0,IF((SUM(E139:N139)+((C139-D139)*B139))&gt;(C139-D139),C139-D139-SUM(E139:N139),(C139-D139)*B139))</f>
        <v>0</v>
      </c>
      <c r="P139" s="417">
        <f>IF(P112&lt;A139,0,IF((SUM(E139:O139)+((C139-D139)*B139))&gt;(C139-D139),C139-D139-SUM(E139:O139),(C139-D139)*B139))</f>
        <v>0</v>
      </c>
      <c r="Q139" s="417">
        <f>IF(Q112&lt;A139,0,IF((SUM(E139:P139)+((C139-D139)*B139))&gt;(C139-D139),C139-D139-SUM(E139:P139),(C139-D139)*B139))</f>
        <v>0</v>
      </c>
      <c r="R139" s="417">
        <f>IF(R112&lt;A139,0,IF((SUM(E139:Q139)+((C139-D139)*B139))&gt;(C139-D139),C139-D139-SUM(E139:Q139),(C139-D139)*B139))</f>
        <v>0</v>
      </c>
      <c r="S139" s="417">
        <f>IF(S112&lt;A139,0,IF((SUM(E139:R139)+((C139-D139)*B139))&gt;(C139-D139),C139-D139-SUM(E139:R139),(C139-D139)*B139))</f>
        <v>0</v>
      </c>
      <c r="T139" s="417">
        <f>IF(T112&lt;A139,0,IF((SUM(E139:S139)+((C139-D139)*B139))&gt;(C139-D139),C139-D139-SUM(E139:S139),(C139-D139)*B139))</f>
        <v>0</v>
      </c>
      <c r="U139" s="417">
        <f>IF(U112&lt;A139,0,IF((SUM(E139:T139)+((C139-D139)*B139))&gt;(C139-D139),C139-D139-SUM(E139:T139),(C139-D139)*B139))</f>
        <v>0</v>
      </c>
      <c r="V139" s="417">
        <f>IF(V112&lt;A139,0,IF((SUM(E139:U139)+((C139-D139)*B139))&gt;(C139-D139),C139-D139-SUM(E139:U139),(C139-D139)*B139))</f>
        <v>0</v>
      </c>
      <c r="W139" s="417">
        <f>IF(W112&lt;A139,0,IF((SUM(E139:V139)+((C139-D139)*B139))&gt;(C139-D139),C139-D139-SUM(E139:V139),(C139-D139)*B139))</f>
        <v>0</v>
      </c>
      <c r="X139" s="417">
        <f>IF(X112&lt;A139,0,IF((SUM(E139:W139)+((C139-D139)*B139))&gt;(C139-D139),C139-D139-SUM(E139:W139),(C139-D139)*B139))</f>
        <v>0</v>
      </c>
      <c r="Y139" s="417">
        <f>IF(Y112&lt;A139,0,IF((SUM(E139:X139)+((C139-D139)*B139))&gt;(C139-D139),C139-D139-SUM(E139:X139),(C139-D139)*B139))</f>
        <v>0</v>
      </c>
      <c r="Z139" s="417">
        <f>IF(Z112&lt;A139,0,IF((SUM(E139:Y139)+((C139-D139)*B139))&gt;(C139-D139),C139-D139-SUM(E139:Y139),(C139-D139)*B139))</f>
        <v>0</v>
      </c>
      <c r="AA139" s="417">
        <f>IF(AA112&lt;A139,0,IF((SUM(E139:Z139)+((C139-D139)*B139))&gt;(C139-D139),C139-D139-SUM(E139:Z139),(C139-D139)*B139))</f>
        <v>0</v>
      </c>
      <c r="AB139" s="417">
        <f>IF(AB112&lt;A139,0,IF((SUM(E139:AA139)+((C139-D139)*B139))&gt;(C139-D139),C139-D139-SUM(E139:AA139),(C139-D139)*B139))</f>
        <v>0</v>
      </c>
      <c r="AC139" s="417">
        <f>IF(AC112&lt;A139,0,IF((SUM(E139:AB139)+((C139-D139)*B139))&gt;(C139-D139),C139-D139-SUM(E139:AB139),(C139-D139)*B139))</f>
        <v>0</v>
      </c>
      <c r="AD139" s="417">
        <f>IF(AD112&lt;A139,0,IF((SUM(E139:AC139)+((C139-D139)*B139))&gt;(C139-D139),C139-D139-SUM(E139:AC139),(C139-D139)*B139))</f>
        <v>0</v>
      </c>
      <c r="AE139" s="417">
        <f>IF(AE112&lt;A139,0,IF((SUM(E139:AD139)+((C139-D139)*B139))&gt;(C139-D139),C139-D139-SUM(E139:AD139),(C139-D139)*B139))</f>
        <v>0</v>
      </c>
      <c r="AF139" s="417">
        <f>IF(AF112&lt;A139,0,IF((SUM(E139:AE139)+((C139-D139)*B139))&gt;(C139-D139),C139-D139-SUM(E139:AE139),(C139-D139)*B139))</f>
        <v>0</v>
      </c>
      <c r="AG139" s="417">
        <f>IF(AG112&lt;A139,0,IF((SUM(E139:AF139)+((C139-D139)*B139))&gt;(C139-D139),C139-D139-SUM(E139:AF139),(C139-D139)*B139))</f>
        <v>0</v>
      </c>
      <c r="AH139" s="417">
        <f>IF(AH112&lt;A139,0,IF((SUM(E139:AG139)+((C139-D139)*B139))&gt;(C139-D139),C139-D139-SUM(E139:AG139),(C139-D139)*B139))</f>
        <v>0</v>
      </c>
    </row>
    <row r="140" spans="1:34" s="75" customFormat="1" ht="13.15" customHeight="1" outlineLevel="1" x14ac:dyDescent="0.2">
      <c r="A140" s="416">
        <v>28</v>
      </c>
      <c r="B140" s="374">
        <v>0.1</v>
      </c>
      <c r="C140" s="378">
        <f>SUMIF('14 - Investimentos'!B:B,'15 - Depreciação'!A110,'14 - Investimentos'!AE:AE)</f>
        <v>0</v>
      </c>
      <c r="D140" s="417">
        <f>C140*B110</f>
        <v>0</v>
      </c>
      <c r="E140" s="417">
        <f>IF(E112&lt;A140,0,(C140-D140)*B140)</f>
        <v>0</v>
      </c>
      <c r="F140" s="417">
        <f>IF(F112&lt;A140,0,IF((SUM(E140:E140)+((C140-D140)*B140))&gt;(C140-D140),C140-D140-SUM(E140:E140),(C140-D140)*B140))</f>
        <v>0</v>
      </c>
      <c r="G140" s="417">
        <f>IF(G112&lt;A140,0,IF((SUM(E140:F140)+((C140-D140)*B140))&gt;(C140-D140),C140-D140-SUM(E140:F140),(C140-D140)*B140))</f>
        <v>0</v>
      </c>
      <c r="H140" s="417">
        <f>IF(H112&lt;A140,0,IF((SUM(E140:G140)+((C140-D140)*B140))&gt;(C140-D140),C140-D140-SUM(E140:G140),(C140-D140)*B140))</f>
        <v>0</v>
      </c>
      <c r="I140" s="417">
        <f>IF(I112&lt;A140,0,IF((SUM(E140:H140)+((C140-D140)*B140))&gt;(C140-D140),C140-D140-SUM(E140:H140),(C140-D140)*B140))</f>
        <v>0</v>
      </c>
      <c r="J140" s="417">
        <f>IF(J112&lt;A140,0,IF((SUM(E140:I140)+((C140-D140)*B140))&gt;(C140-D140),C140-D140-SUM(E140:I140),(C140-D140)*B140))</f>
        <v>0</v>
      </c>
      <c r="K140" s="417">
        <f>IF(K112&lt;A140,0,IF((SUM(E140:J140)+((C140-D140)*B140))&gt;(C140-D140),C140-D140-SUM(E140:J140),(C140-D140)*B140))</f>
        <v>0</v>
      </c>
      <c r="L140" s="417">
        <f>IF(L112&lt;A140,0,IF((SUM(E140:K140)+((C140-D140)*B140))&gt;(C140-D140),C140-D140-SUM(E140:K140),(C140-D140)*B140))</f>
        <v>0</v>
      </c>
      <c r="M140" s="417">
        <f>IF(M112&lt;A140,0,IF((SUM(E140:L140)+((C140-D140)*B140))&gt;(C140-D140),C140-D140-SUM(E140:L140),(C140-D140)*B140))</f>
        <v>0</v>
      </c>
      <c r="N140" s="417">
        <f>IF(N112&lt;A140,0,IF((SUM(E140:M140)+((C140-D140)*B140))&gt;(C140-D140),C140-D140-SUM(E140:M140),(C140-D140)*B140))</f>
        <v>0</v>
      </c>
      <c r="O140" s="417">
        <f>IF(O112&lt;A140,0,IF((SUM(E140:N140)+((C140-D140)*B140))&gt;(C140-D140),C140-D140-SUM(E140:N140),(C140-D140)*B140))</f>
        <v>0</v>
      </c>
      <c r="P140" s="417">
        <f>IF(P112&lt;A140,0,IF((SUM(E140:O140)+((C140-D140)*B140))&gt;(C140-D140),C140-D140-SUM(E140:O140),(C140-D140)*B140))</f>
        <v>0</v>
      </c>
      <c r="Q140" s="417">
        <f>IF(Q112&lt;A140,0,IF((SUM(E140:P140)+((C140-D140)*B140))&gt;(C140-D140),C140-D140-SUM(E140:P140),(C140-D140)*B140))</f>
        <v>0</v>
      </c>
      <c r="R140" s="417">
        <f>IF(R112&lt;A140,0,IF((SUM(E140:Q140)+((C140-D140)*B140))&gt;(C140-D140),C140-D140-SUM(E140:Q140),(C140-D140)*B140))</f>
        <v>0</v>
      </c>
      <c r="S140" s="417">
        <f>IF(S112&lt;A140,0,IF((SUM(E140:R140)+((C140-D140)*B140))&gt;(C140-D140),C140-D140-SUM(E140:R140),(C140-D140)*B140))</f>
        <v>0</v>
      </c>
      <c r="T140" s="417">
        <f>IF(T112&lt;A140,0,IF((SUM(E140:S140)+((C140-D140)*B140))&gt;(C140-D140),C140-D140-SUM(E140:S140),(C140-D140)*B140))</f>
        <v>0</v>
      </c>
      <c r="U140" s="417">
        <f>IF(U112&lt;A140,0,IF((SUM(E140:T140)+((C140-D140)*B140))&gt;(C140-D140),C140-D140-SUM(E140:T140),(C140-D140)*B140))</f>
        <v>0</v>
      </c>
      <c r="V140" s="417">
        <f>IF(V112&lt;A140,0,IF((SUM(E140:U140)+((C140-D140)*B140))&gt;(C140-D140),C140-D140-SUM(E140:U140),(C140-D140)*B140))</f>
        <v>0</v>
      </c>
      <c r="W140" s="417">
        <f>IF(W112&lt;A140,0,IF((SUM(E140:V140)+((C140-D140)*B140))&gt;(C140-D140),C140-D140-SUM(E140:V140),(C140-D140)*B140))</f>
        <v>0</v>
      </c>
      <c r="X140" s="417">
        <f>IF(X112&lt;A140,0,IF((SUM(E140:W140)+((C140-D140)*B140))&gt;(C140-D140),C140-D140-SUM(E140:W140),(C140-D140)*B140))</f>
        <v>0</v>
      </c>
      <c r="Y140" s="417">
        <f>IF(Y112&lt;A140,0,IF((SUM(E140:X140)+((C140-D140)*B140))&gt;(C140-D140),C140-D140-SUM(E140:X140),(C140-D140)*B140))</f>
        <v>0</v>
      </c>
      <c r="Z140" s="417">
        <f>IF(Z112&lt;A140,0,IF((SUM(E140:Y140)+((C140-D140)*B140))&gt;(C140-D140),C140-D140-SUM(E140:Y140),(C140-D140)*B140))</f>
        <v>0</v>
      </c>
      <c r="AA140" s="417">
        <f>IF(AA112&lt;A140,0,IF((SUM(E140:Z140)+((C140-D140)*B140))&gt;(C140-D140),C140-D140-SUM(E140:Z140),(C140-D140)*B140))</f>
        <v>0</v>
      </c>
      <c r="AB140" s="417">
        <f>IF(AB112&lt;A140,0,IF((SUM(E140:AA140)+((C140-D140)*B140))&gt;(C140-D140),C140-D140-SUM(E140:AA140),(C140-D140)*B140))</f>
        <v>0</v>
      </c>
      <c r="AC140" s="417">
        <f>IF(AC112&lt;A140,0,IF((SUM(E140:AB140)+((C140-D140)*B140))&gt;(C140-D140),C140-D140-SUM(E140:AB140),(C140-D140)*B140))</f>
        <v>0</v>
      </c>
      <c r="AD140" s="417">
        <f>IF(AD112&lt;A140,0,IF((SUM(E140:AC140)+((C140-D140)*B140))&gt;(C140-D140),C140-D140-SUM(E140:AC140),(C140-D140)*B140))</f>
        <v>0</v>
      </c>
      <c r="AE140" s="417">
        <f>IF(AE112&lt;A140,0,IF((SUM(E140:AD140)+((C140-D140)*B140))&gt;(C140-D140),C140-D140-SUM(E140:AD140),(C140-D140)*B140))</f>
        <v>0</v>
      </c>
      <c r="AF140" s="417">
        <f>IF(AF112&lt;A140,0,IF((SUM(E140:AE140)+((C140-D140)*B140))&gt;(C140-D140),C140-D140-SUM(E140:AE140),(C140-D140)*B140))</f>
        <v>0</v>
      </c>
      <c r="AG140" s="417">
        <f>IF(AG112&lt;A140,0,IF((SUM(E140:AF140)+((C140-D140)*B140))&gt;(C140-D140),C140-D140-SUM(E140:AF140),(C140-D140)*B140))</f>
        <v>0</v>
      </c>
      <c r="AH140" s="417">
        <f>IF(AH112&lt;A140,0,IF((SUM(E140:AG140)+((C140-D140)*B140))&gt;(C140-D140),C140-D140-SUM(E140:AG140),(C140-D140)*B140))</f>
        <v>0</v>
      </c>
    </row>
    <row r="141" spans="1:34" s="75" customFormat="1" ht="13.15" customHeight="1" outlineLevel="1" x14ac:dyDescent="0.2">
      <c r="A141" s="416">
        <v>29</v>
      </c>
      <c r="B141" s="374">
        <v>0.1</v>
      </c>
      <c r="C141" s="378">
        <f>SUMIF('14 - Investimentos'!B:B,'15 - Depreciação'!A110,'14 - Investimentos'!AF:AF)</f>
        <v>0</v>
      </c>
      <c r="D141" s="417">
        <f>C141*B110</f>
        <v>0</v>
      </c>
      <c r="E141" s="417">
        <f>IF(E112&lt;A141,0,(C141-D141)*B141)</f>
        <v>0</v>
      </c>
      <c r="F141" s="417">
        <f>IF(F112&lt;A141,0,IF((SUM(E141:E141)+((C141-D141)*B141))&gt;(C141-D141),C141-D141-SUM(E141:E141),(C141-D141)*B141))</f>
        <v>0</v>
      </c>
      <c r="G141" s="417">
        <f>IF(G112&lt;A141,0,IF((SUM(E141:F141)+((C141-D141)*B141))&gt;(C141-D141),C141-D141-SUM(E141:F141),(C141-D141)*B141))</f>
        <v>0</v>
      </c>
      <c r="H141" s="417">
        <f>IF(H112&lt;A141,0,IF((SUM(E141:G141)+((C141-D141)*B141))&gt;(C141-D141),C141-D141-SUM(E141:G141),(C141-D141)*B141))</f>
        <v>0</v>
      </c>
      <c r="I141" s="417">
        <f>IF(I112&lt;A141,0,IF((SUM(E141:H141)+((C141-D141)*B141))&gt;(C141-D141),C141-D141-SUM(E141:H141),(C141-D141)*B141))</f>
        <v>0</v>
      </c>
      <c r="J141" s="417">
        <f>IF(J112&lt;A141,0,IF((SUM(E141:I141)+((C141-D141)*B141))&gt;(C141-D141),C141-D141-SUM(E141:I141),(C141-D141)*B141))</f>
        <v>0</v>
      </c>
      <c r="K141" s="417">
        <f>IF(K112&lt;A141,0,IF((SUM(E141:J141)+((C141-D141)*B141))&gt;(C141-D141),C141-D141-SUM(E141:J141),(C141-D141)*B141))</f>
        <v>0</v>
      </c>
      <c r="L141" s="417">
        <f>IF(L112&lt;A141,0,IF((SUM(E141:K141)+((C141-D141)*B141))&gt;(C141-D141),C141-D141-SUM(E141:K141),(C141-D141)*B141))</f>
        <v>0</v>
      </c>
      <c r="M141" s="417">
        <f>IF(M112&lt;A141,0,IF((SUM(E141:L141)+((C141-D141)*B141))&gt;(C141-D141),C141-D141-SUM(E141:L141),(C141-D141)*B141))</f>
        <v>0</v>
      </c>
      <c r="N141" s="417">
        <f>IF(N112&lt;A141,0,IF((SUM(E141:M141)+((C141-D141)*B141))&gt;(C141-D141),C141-D141-SUM(E141:M141),(C141-D141)*B141))</f>
        <v>0</v>
      </c>
      <c r="O141" s="417">
        <f>IF(O112&lt;A141,0,IF((SUM(E141:N141)+((C141-D141)*B141))&gt;(C141-D141),C141-D141-SUM(E141:N141),(C141-D141)*B141))</f>
        <v>0</v>
      </c>
      <c r="P141" s="417">
        <f>IF(P112&lt;A141,0,IF((SUM(E141:O141)+((C141-D141)*B141))&gt;(C141-D141),C141-D141-SUM(E141:O141),(C141-D141)*B141))</f>
        <v>0</v>
      </c>
      <c r="Q141" s="417">
        <f>IF(Q112&lt;A141,0,IF((SUM(E141:P141)+((C141-D141)*B141))&gt;(C141-D141),C141-D141-SUM(E141:P141),(C141-D141)*B141))</f>
        <v>0</v>
      </c>
      <c r="R141" s="417">
        <f>IF(R112&lt;A141,0,IF((SUM(E141:Q141)+((C141-D141)*B141))&gt;(C141-D141),C141-D141-SUM(E141:Q141),(C141-D141)*B141))</f>
        <v>0</v>
      </c>
      <c r="S141" s="417">
        <f>IF(S112&lt;A141,0,IF((SUM(E141:R141)+((C141-D141)*B141))&gt;(C141-D141),C141-D141-SUM(E141:R141),(C141-D141)*B141))</f>
        <v>0</v>
      </c>
      <c r="T141" s="417">
        <f>IF(T112&lt;A141,0,IF((SUM(E141:S141)+((C141-D141)*B141))&gt;(C141-D141),C141-D141-SUM(E141:S141),(C141-D141)*B141))</f>
        <v>0</v>
      </c>
      <c r="U141" s="417">
        <f>IF(U112&lt;A141,0,IF((SUM(E141:T141)+((C141-D141)*B141))&gt;(C141-D141),C141-D141-SUM(E141:T141),(C141-D141)*B141))</f>
        <v>0</v>
      </c>
      <c r="V141" s="417">
        <f>IF(V112&lt;A141,0,IF((SUM(E141:U141)+((C141-D141)*B141))&gt;(C141-D141),C141-D141-SUM(E141:U141),(C141-D141)*B141))</f>
        <v>0</v>
      </c>
      <c r="W141" s="417">
        <f>IF(W112&lt;A141,0,IF((SUM(E141:V141)+((C141-D141)*B141))&gt;(C141-D141),C141-D141-SUM(E141:V141),(C141-D141)*B141))</f>
        <v>0</v>
      </c>
      <c r="X141" s="417">
        <f>IF(X112&lt;A141,0,IF((SUM(E141:W141)+((C141-D141)*B141))&gt;(C141-D141),C141-D141-SUM(E141:W141),(C141-D141)*B141))</f>
        <v>0</v>
      </c>
      <c r="Y141" s="417">
        <f>IF(Y112&lt;A141,0,IF((SUM(E141:X141)+((C141-D141)*B141))&gt;(C141-D141),C141-D141-SUM(E141:X141),(C141-D141)*B141))</f>
        <v>0</v>
      </c>
      <c r="Z141" s="417">
        <f>IF(Z112&lt;A141,0,IF((SUM(E141:Y141)+((C141-D141)*B141))&gt;(C141-D141),C141-D141-SUM(E141:Y141),(C141-D141)*B141))</f>
        <v>0</v>
      </c>
      <c r="AA141" s="417">
        <f>IF(AA112&lt;A141,0,IF((SUM(E141:Z141)+((C141-D141)*B141))&gt;(C141-D141),C141-D141-SUM(E141:Z141),(C141-D141)*B141))</f>
        <v>0</v>
      </c>
      <c r="AB141" s="417">
        <f>IF(AB112&lt;A141,0,IF((SUM(E141:AA141)+((C141-D141)*B141))&gt;(C141-D141),C141-D141-SUM(E141:AA141),(C141-D141)*B141))</f>
        <v>0</v>
      </c>
      <c r="AC141" s="417">
        <f>IF(AC112&lt;A141,0,IF((SUM(E141:AB141)+((C141-D141)*B141))&gt;(C141-D141),C141-D141-SUM(E141:AB141),(C141-D141)*B141))</f>
        <v>0</v>
      </c>
      <c r="AD141" s="417">
        <f>IF(AD112&lt;A141,0,IF((SUM(E141:AC141)+((C141-D141)*B141))&gt;(C141-D141),C141-D141-SUM(E141:AC141),(C141-D141)*B141))</f>
        <v>0</v>
      </c>
      <c r="AE141" s="417">
        <f>IF(AE112&lt;A141,0,IF((SUM(E141:AD141)+((C141-D141)*B141))&gt;(C141-D141),C141-D141-SUM(E141:AD141),(C141-D141)*B141))</f>
        <v>0</v>
      </c>
      <c r="AF141" s="417">
        <f>IF(AF112&lt;A141,0,IF((SUM(E141:AE141)+((C141-D141)*B141))&gt;(C141-D141),C141-D141-SUM(E141:AE141),(C141-D141)*B141))</f>
        <v>0</v>
      </c>
      <c r="AG141" s="417">
        <f>IF(AG112&lt;A141,0,IF((SUM(E141:AF141)+((C141-D141)*B141))&gt;(C141-D141),C141-D141-SUM(E141:AF141),(C141-D141)*B141))</f>
        <v>0</v>
      </c>
      <c r="AH141" s="417">
        <f>IF(AH112&lt;A141,0,IF((SUM(E141:AG141)+((C141-D141)*B141))&gt;(C141-D141),C141-D141-SUM(E141:AG141),(C141-D141)*B141))</f>
        <v>0</v>
      </c>
    </row>
    <row r="142" spans="1:34" s="75" customFormat="1" ht="13.15" customHeight="1" outlineLevel="1" x14ac:dyDescent="0.2">
      <c r="A142" s="416">
        <v>30</v>
      </c>
      <c r="B142" s="374">
        <v>0.1</v>
      </c>
      <c r="C142" s="378">
        <f>SUMIF('14 - Investimentos'!B:B,'15 - Depreciação'!A110,'14 - Investimentos'!AG:AG)</f>
        <v>0</v>
      </c>
      <c r="D142" s="417">
        <f>C142*B110</f>
        <v>0</v>
      </c>
      <c r="E142" s="417">
        <f>IF(E112&lt;A142,0,(C142-D142)*B142)</f>
        <v>0</v>
      </c>
      <c r="F142" s="417">
        <f>IF(F112&lt;A142,0,IF((SUM(E142:E142)+((C142-D142)*B142))&gt;(C142-D142),C142-D142-SUM(E142:E142),(C142-D142)*B142))</f>
        <v>0</v>
      </c>
      <c r="G142" s="417">
        <f>IF(G112&lt;A142,0,IF((SUM(E142:F142)+((C142-D142)*B142))&gt;(C142-D142),C142-D142-SUM(E142:F142),(C142-D142)*B142))</f>
        <v>0</v>
      </c>
      <c r="H142" s="417">
        <f>IF(H112&lt;A142,0,IF((SUM(E142:G142)+((C142-D142)*B142))&gt;(C142-D142),C142-D142-SUM(E142:G142),(C142-D142)*B142))</f>
        <v>0</v>
      </c>
      <c r="I142" s="417">
        <f>IF(I112&lt;A142,0,IF((SUM(E142:H142)+((C142-D142)*B142))&gt;(C142-D142),C142-D142-SUM(E142:H142),(C142-D142)*B142))</f>
        <v>0</v>
      </c>
      <c r="J142" s="417">
        <f>IF(J112&lt;A142,0,IF((SUM(E142:I142)+((C142-D142)*B142))&gt;(C142-D142),C142-D142-SUM(E142:I142),(C142-D142)*B142))</f>
        <v>0</v>
      </c>
      <c r="K142" s="417">
        <f>IF(K112&lt;A142,0,IF((SUM(E142:J142)+((C142-D142)*B142))&gt;(C142-D142),C142-D142-SUM(E142:J142),(C142-D142)*B142))</f>
        <v>0</v>
      </c>
      <c r="L142" s="417">
        <f>IF(L112&lt;A142,0,IF((SUM(E142:K142)+((C142-D142)*B142))&gt;(C142-D142),C142-D142-SUM(E142:K142),(C142-D142)*B142))</f>
        <v>0</v>
      </c>
      <c r="M142" s="417">
        <f>IF(M112&lt;A142,0,IF((SUM(E142:L142)+((C142-D142)*B142))&gt;(C142-D142),C142-D142-SUM(E142:L142),(C142-D142)*B142))</f>
        <v>0</v>
      </c>
      <c r="N142" s="417">
        <f>IF(N112&lt;A142,0,IF((SUM(E142:M142)+((C142-D142)*B142))&gt;(C142-D142),C142-D142-SUM(E142:M142),(C142-D142)*B142))</f>
        <v>0</v>
      </c>
      <c r="O142" s="417">
        <f>IF(O112&lt;A142,0,IF((SUM(E142:N142)+((C142-D142)*B142))&gt;(C142-D142),C142-D142-SUM(E142:N142),(C142-D142)*B142))</f>
        <v>0</v>
      </c>
      <c r="P142" s="417">
        <f>IF(P112&lt;A142,0,IF((SUM(E142:O142)+((C142-D142)*B142))&gt;(C142-D142),C142-D142-SUM(E142:O142),(C142-D142)*B142))</f>
        <v>0</v>
      </c>
      <c r="Q142" s="417">
        <f>IF(Q112&lt;A142,0,IF((SUM(E142:P142)+((C142-D142)*B142))&gt;(C142-D142),C142-D142-SUM(E142:P142),(C142-D142)*B142))</f>
        <v>0</v>
      </c>
      <c r="R142" s="417">
        <f>IF(R112&lt;A142,0,IF((SUM(E142:Q142)+((C142-D142)*B142))&gt;(C142-D142),C142-D142-SUM(E142:Q142),(C142-D142)*B142))</f>
        <v>0</v>
      </c>
      <c r="S142" s="417">
        <f>IF(S112&lt;A142,0,IF((SUM(E142:R142)+((C142-D142)*B142))&gt;(C142-D142),C142-D142-SUM(E142:R142),(C142-D142)*B142))</f>
        <v>0</v>
      </c>
      <c r="T142" s="417">
        <f>IF(T112&lt;A142,0,IF((SUM(E142:S142)+((C142-D142)*B142))&gt;(C142-D142),C142-D142-SUM(E142:S142),(C142-D142)*B142))</f>
        <v>0</v>
      </c>
      <c r="U142" s="417">
        <f>IF(U112&lt;A142,0,IF((SUM(E142:T142)+((C142-D142)*B142))&gt;(C142-D142),C142-D142-SUM(E142:T142),(C142-D142)*B142))</f>
        <v>0</v>
      </c>
      <c r="V142" s="417">
        <f>IF(V112&lt;A142,0,IF((SUM(E142:U142)+((C142-D142)*B142))&gt;(C142-D142),C142-D142-SUM(E142:U142),(C142-D142)*B142))</f>
        <v>0</v>
      </c>
      <c r="W142" s="417">
        <f>IF(W112&lt;A142,0,IF((SUM(E142:V142)+((C142-D142)*B142))&gt;(C142-D142),C142-D142-SUM(E142:V142),(C142-D142)*B142))</f>
        <v>0</v>
      </c>
      <c r="X142" s="417">
        <f>IF(X112&lt;A142,0,IF((SUM(E142:W142)+((C142-D142)*B142))&gt;(C142-D142),C142-D142-SUM(E142:W142),(C142-D142)*B142))</f>
        <v>0</v>
      </c>
      <c r="Y142" s="417">
        <f>IF(Y112&lt;A142,0,IF((SUM(E142:X142)+((C142-D142)*B142))&gt;(C142-D142),C142-D142-SUM(E142:X142),(C142-D142)*B142))</f>
        <v>0</v>
      </c>
      <c r="Z142" s="417">
        <f>IF(Z112&lt;A142,0,IF((SUM(E142:Y142)+((C142-D142)*B142))&gt;(C142-D142),C142-D142-SUM(E142:Y142),(C142-D142)*B142))</f>
        <v>0</v>
      </c>
      <c r="AA142" s="417">
        <f>IF(AA112&lt;A142,0,IF((SUM(E142:Z142)+((C142-D142)*B142))&gt;(C142-D142),C142-D142-SUM(E142:Z142),(C142-D142)*B142))</f>
        <v>0</v>
      </c>
      <c r="AB142" s="417">
        <f>IF(AB112&lt;A142,0,IF((SUM(E142:AA142)+((C142-D142)*B142))&gt;(C142-D142),C142-D142-SUM(E142:AA142),(C142-D142)*B142))</f>
        <v>0</v>
      </c>
      <c r="AC142" s="417">
        <f>IF(AC112&lt;A142,0,IF((SUM(E142:AB142)+((C142-D142)*B142))&gt;(C142-D142),C142-D142-SUM(E142:AB142),(C142-D142)*B142))</f>
        <v>0</v>
      </c>
      <c r="AD142" s="417">
        <f>IF(AD112&lt;A142,0,IF((SUM(E142:AC142)+((C142-D142)*B142))&gt;(C142-D142),C142-D142-SUM(E142:AC142),(C142-D142)*B142))</f>
        <v>0</v>
      </c>
      <c r="AE142" s="417">
        <f>IF(AE112&lt;A142,0,IF((SUM(E142:AD142)+((C142-D142)*B142))&gt;(C142-D142),C142-D142-SUM(E142:AD142),(C142-D142)*B142))</f>
        <v>0</v>
      </c>
      <c r="AF142" s="417">
        <f>IF(AF112&lt;A142,0,IF((SUM(E142:AE142)+((C142-D142)*B142))&gt;(C142-D142),C142-D142-SUM(E142:AE142),(C142-D142)*B142))</f>
        <v>0</v>
      </c>
      <c r="AG142" s="417">
        <f>IF(AG112&lt;A142,0,IF((SUM(E142:AF142)+((C142-D142)*B142))&gt;(C142-D142),C142-D142-SUM(E142:AF142),(C142-D142)*B142))</f>
        <v>0</v>
      </c>
      <c r="AH142" s="417">
        <f>IF(AH112&lt;A142,0,IF((SUM(E142:AG142)+((C142-D142)*B142))&gt;(C142-D142),C142-D142-SUM(E142:AG142),(C142-D142)*B142))</f>
        <v>0</v>
      </c>
    </row>
    <row r="143" spans="1:34" s="75" customFormat="1" ht="13.15" customHeight="1" x14ac:dyDescent="0.2">
      <c r="A143" s="375" t="s">
        <v>71</v>
      </c>
      <c r="B143" s="379"/>
      <c r="C143" s="380">
        <f>SUM(C113:C142)</f>
        <v>640000</v>
      </c>
      <c r="D143" s="376"/>
      <c r="E143" s="380">
        <f t="shared" ref="E143:AH143" si="3">SUM(E113:E142)</f>
        <v>61500</v>
      </c>
      <c r="F143" s="380">
        <f t="shared" si="3"/>
        <v>61500</v>
      </c>
      <c r="G143" s="380">
        <f t="shared" si="3"/>
        <v>61500</v>
      </c>
      <c r="H143" s="380">
        <f t="shared" si="3"/>
        <v>61500</v>
      </c>
      <c r="I143" s="380">
        <f t="shared" si="3"/>
        <v>61500</v>
      </c>
      <c r="J143" s="380">
        <f t="shared" si="3"/>
        <v>62000</v>
      </c>
      <c r="K143" s="380">
        <f t="shared" si="3"/>
        <v>62000</v>
      </c>
      <c r="L143" s="380">
        <f t="shared" si="3"/>
        <v>62000</v>
      </c>
      <c r="M143" s="380">
        <f t="shared" si="3"/>
        <v>62000</v>
      </c>
      <c r="N143" s="380">
        <f t="shared" si="3"/>
        <v>62000</v>
      </c>
      <c r="O143" s="380">
        <f t="shared" si="3"/>
        <v>1000</v>
      </c>
      <c r="P143" s="380">
        <f t="shared" si="3"/>
        <v>1000</v>
      </c>
      <c r="Q143" s="380">
        <f t="shared" si="3"/>
        <v>1000</v>
      </c>
      <c r="R143" s="380">
        <f t="shared" si="3"/>
        <v>1000</v>
      </c>
      <c r="S143" s="380">
        <f t="shared" si="3"/>
        <v>1000</v>
      </c>
      <c r="T143" s="380">
        <f t="shared" si="3"/>
        <v>1000</v>
      </c>
      <c r="U143" s="380">
        <f t="shared" si="3"/>
        <v>1000</v>
      </c>
      <c r="V143" s="380">
        <f t="shared" si="3"/>
        <v>1000</v>
      </c>
      <c r="W143" s="380">
        <f t="shared" si="3"/>
        <v>1000</v>
      </c>
      <c r="X143" s="380">
        <f t="shared" si="3"/>
        <v>1000</v>
      </c>
      <c r="Y143" s="380">
        <f t="shared" si="3"/>
        <v>1000</v>
      </c>
      <c r="Z143" s="380">
        <f t="shared" si="3"/>
        <v>1000</v>
      </c>
      <c r="AA143" s="380">
        <f t="shared" si="3"/>
        <v>1000</v>
      </c>
      <c r="AB143" s="380">
        <f t="shared" si="3"/>
        <v>1000</v>
      </c>
      <c r="AC143" s="380">
        <f t="shared" si="3"/>
        <v>1000</v>
      </c>
      <c r="AD143" s="380">
        <f t="shared" si="3"/>
        <v>1000</v>
      </c>
      <c r="AE143" s="380">
        <f t="shared" si="3"/>
        <v>1000</v>
      </c>
      <c r="AF143" s="380">
        <f t="shared" si="3"/>
        <v>1000</v>
      </c>
      <c r="AG143" s="380">
        <f t="shared" si="3"/>
        <v>1000</v>
      </c>
      <c r="AH143" s="380">
        <f t="shared" si="3"/>
        <v>1000</v>
      </c>
    </row>
    <row r="145" spans="1:34" s="75" customFormat="1" ht="13.15" customHeight="1" x14ac:dyDescent="0.2">
      <c r="A145" s="373" t="s">
        <v>1082</v>
      </c>
      <c r="B145" s="78"/>
      <c r="C145" s="78"/>
      <c r="D145" s="414"/>
      <c r="E145" s="414"/>
      <c r="F145" s="414"/>
      <c r="G145" s="414"/>
      <c r="H145" s="414"/>
      <c r="I145" s="414"/>
      <c r="J145" s="414"/>
      <c r="K145" s="414"/>
      <c r="L145" s="414"/>
      <c r="M145" s="414"/>
      <c r="N145" s="414"/>
      <c r="O145" s="414"/>
      <c r="P145" s="414"/>
      <c r="Q145" s="414"/>
      <c r="R145" s="414"/>
      <c r="S145" s="414"/>
      <c r="T145" s="414"/>
      <c r="U145" s="414"/>
      <c r="V145" s="414"/>
      <c r="W145" s="414"/>
      <c r="X145" s="414"/>
      <c r="Y145" s="414"/>
      <c r="Z145" s="414"/>
      <c r="AA145" s="414"/>
      <c r="AB145" s="414"/>
      <c r="AC145" s="414"/>
      <c r="AD145" s="414"/>
      <c r="AE145" s="414"/>
      <c r="AF145" s="414"/>
      <c r="AG145" s="414"/>
      <c r="AH145" s="415"/>
    </row>
    <row r="146" spans="1:34" s="75" customFormat="1" ht="13.15" customHeight="1" x14ac:dyDescent="0.2">
      <c r="A146" s="523" t="s">
        <v>1086</v>
      </c>
      <c r="B146" s="78"/>
      <c r="C146" s="78"/>
      <c r="D146" s="414"/>
      <c r="E146" s="414"/>
      <c r="F146" s="414"/>
      <c r="G146" s="414"/>
      <c r="H146" s="414"/>
      <c r="I146" s="414"/>
      <c r="J146" s="414"/>
      <c r="K146" s="414"/>
      <c r="L146" s="414"/>
      <c r="M146" s="414"/>
      <c r="N146" s="414"/>
      <c r="O146" s="414"/>
      <c r="P146" s="414"/>
      <c r="Q146" s="414"/>
      <c r="R146" s="414"/>
      <c r="S146" s="414"/>
      <c r="T146" s="414"/>
      <c r="U146" s="414"/>
      <c r="V146" s="414"/>
      <c r="W146" s="414"/>
      <c r="X146" s="414"/>
      <c r="Y146" s="414"/>
      <c r="Z146" s="414"/>
      <c r="AA146" s="414"/>
      <c r="AB146" s="414"/>
      <c r="AC146" s="414"/>
      <c r="AD146" s="414"/>
      <c r="AE146" s="414"/>
      <c r="AF146" s="414"/>
      <c r="AG146" s="414"/>
      <c r="AH146" s="415"/>
    </row>
    <row r="147" spans="1:34" s="75" customFormat="1" ht="13.15" customHeight="1" x14ac:dyDescent="0.2">
      <c r="A147" s="415"/>
      <c r="B147" s="78"/>
      <c r="C147" s="78"/>
      <c r="D147" s="414"/>
      <c r="E147" s="414"/>
      <c r="F147" s="414"/>
      <c r="G147" s="414"/>
      <c r="H147" s="414"/>
      <c r="I147" s="414"/>
      <c r="J147" s="414"/>
      <c r="K147" s="414"/>
      <c r="L147" s="414"/>
      <c r="M147" s="414"/>
      <c r="N147" s="414"/>
      <c r="O147" s="414"/>
      <c r="P147" s="414"/>
      <c r="Q147" s="414"/>
      <c r="R147" s="414"/>
      <c r="S147" s="414"/>
      <c r="T147" s="414"/>
      <c r="U147" s="414"/>
      <c r="V147" s="414"/>
      <c r="W147" s="414"/>
      <c r="X147" s="414"/>
      <c r="Y147" s="414"/>
      <c r="Z147" s="414"/>
      <c r="AA147" s="414"/>
      <c r="AB147" s="414"/>
      <c r="AC147" s="414"/>
      <c r="AD147" s="414"/>
      <c r="AE147" s="414"/>
      <c r="AF147" s="414"/>
      <c r="AG147" s="414"/>
      <c r="AH147" s="415"/>
    </row>
    <row r="148" spans="1:34" s="75" customFormat="1" ht="13.15" customHeight="1" x14ac:dyDescent="0.2">
      <c r="A148" s="381" t="s">
        <v>1054</v>
      </c>
      <c r="B148" s="382"/>
      <c r="C148" s="382"/>
      <c r="D148" s="534"/>
      <c r="E148" s="383">
        <v>1</v>
      </c>
      <c r="F148" s="383">
        <v>2</v>
      </c>
      <c r="G148" s="383">
        <v>3</v>
      </c>
      <c r="H148" s="383">
        <v>4</v>
      </c>
      <c r="I148" s="383">
        <v>5</v>
      </c>
      <c r="J148" s="383">
        <v>6</v>
      </c>
      <c r="K148" s="383">
        <v>7</v>
      </c>
      <c r="L148" s="383">
        <v>8</v>
      </c>
      <c r="M148" s="383">
        <v>9</v>
      </c>
      <c r="N148" s="383">
        <v>10</v>
      </c>
      <c r="O148" s="383">
        <v>11</v>
      </c>
      <c r="P148" s="383">
        <v>12</v>
      </c>
      <c r="Q148" s="383">
        <v>13</v>
      </c>
      <c r="R148" s="383">
        <v>14</v>
      </c>
      <c r="S148" s="383">
        <v>15</v>
      </c>
      <c r="T148" s="383">
        <v>16</v>
      </c>
      <c r="U148" s="383">
        <v>17</v>
      </c>
      <c r="V148" s="383">
        <v>18</v>
      </c>
      <c r="W148" s="383">
        <v>19</v>
      </c>
      <c r="X148" s="383">
        <v>20</v>
      </c>
      <c r="Y148" s="383">
        <v>21</v>
      </c>
      <c r="Z148" s="383">
        <v>22</v>
      </c>
      <c r="AA148" s="383">
        <v>23</v>
      </c>
      <c r="AB148" s="383">
        <v>24</v>
      </c>
      <c r="AC148" s="383">
        <v>25</v>
      </c>
      <c r="AD148" s="383">
        <v>26</v>
      </c>
      <c r="AE148" s="383">
        <v>27</v>
      </c>
      <c r="AF148" s="383">
        <v>28</v>
      </c>
      <c r="AG148" s="383">
        <v>29</v>
      </c>
      <c r="AH148" s="383">
        <v>30</v>
      </c>
    </row>
    <row r="149" spans="1:34" s="75" customFormat="1" ht="13.15" customHeight="1" x14ac:dyDescent="0.2">
      <c r="A149" s="415" t="s">
        <v>1120</v>
      </c>
      <c r="B149" s="78"/>
      <c r="C149" s="78"/>
      <c r="D149" s="414"/>
      <c r="E149" s="414">
        <v>0</v>
      </c>
      <c r="F149" s="417">
        <f>E153</f>
        <v>18234.277469199998</v>
      </c>
      <c r="G149" s="417">
        <f t="shared" ref="G149:AH149" si="4">F153</f>
        <v>15265.906718399998</v>
      </c>
      <c r="H149" s="417">
        <f t="shared" si="4"/>
        <v>12297.535967599997</v>
      </c>
      <c r="I149" s="417">
        <f t="shared" si="4"/>
        <v>9329.1652167999964</v>
      </c>
      <c r="J149" s="417">
        <f t="shared" si="4"/>
        <v>6982.8720259999955</v>
      </c>
      <c r="K149" s="417">
        <f t="shared" si="4"/>
        <v>7595.0759259999968</v>
      </c>
      <c r="L149" s="417">
        <f t="shared" si="4"/>
        <v>1016.8663599999974</v>
      </c>
      <c r="M149" s="417">
        <f t="shared" si="4"/>
        <v>19110.401169199995</v>
      </c>
      <c r="N149" s="417">
        <f t="shared" si="4"/>
        <v>16534.211318399997</v>
      </c>
      <c r="O149" s="417">
        <f t="shared" si="4"/>
        <v>13350.666247599995</v>
      </c>
      <c r="P149" s="417">
        <f t="shared" si="4"/>
        <v>10049.145036799993</v>
      </c>
      <c r="Q149" s="417">
        <f t="shared" si="4"/>
        <v>6715.7419259999924</v>
      </c>
      <c r="R149" s="417">
        <f t="shared" si="4"/>
        <v>7932.9043859999947</v>
      </c>
      <c r="S149" s="417">
        <f t="shared" si="4"/>
        <v>1342.6709599999954</v>
      </c>
      <c r="T149" s="417">
        <f t="shared" si="4"/>
        <v>18905.840329199993</v>
      </c>
      <c r="U149" s="417">
        <f t="shared" si="4"/>
        <v>15753.449578399994</v>
      </c>
      <c r="V149" s="417">
        <f t="shared" si="4"/>
        <v>13228.272087599993</v>
      </c>
      <c r="W149" s="417">
        <f t="shared" si="4"/>
        <v>10209.489376799993</v>
      </c>
      <c r="X149" s="417">
        <f t="shared" si="4"/>
        <v>6715.2305259999921</v>
      </c>
      <c r="Y149" s="417">
        <f t="shared" si="4"/>
        <v>7305.1797259999921</v>
      </c>
      <c r="Z149" s="417">
        <f t="shared" si="4"/>
        <v>1431.613719999993</v>
      </c>
      <c r="AA149" s="417">
        <f t="shared" si="4"/>
        <v>19226.509229199994</v>
      </c>
      <c r="AB149" s="417">
        <f t="shared" si="4"/>
        <v>15862.250378399995</v>
      </c>
      <c r="AC149" s="417">
        <f t="shared" si="4"/>
        <v>12709.859627599993</v>
      </c>
      <c r="AD149" s="417">
        <f t="shared" si="4"/>
        <v>10298.432136799993</v>
      </c>
      <c r="AE149" s="417">
        <f t="shared" si="4"/>
        <v>7035.8994259999936</v>
      </c>
      <c r="AF149" s="417">
        <f t="shared" si="4"/>
        <v>7413.980525999993</v>
      </c>
      <c r="AG149" s="417">
        <f t="shared" si="4"/>
        <v>799.45125999999277</v>
      </c>
      <c r="AH149" s="417">
        <f t="shared" si="4"/>
        <v>22119.060379999995</v>
      </c>
    </row>
    <row r="150" spans="1:34" s="75" customFormat="1" ht="13.15" customHeight="1" x14ac:dyDescent="0.2">
      <c r="A150" s="415" t="s">
        <v>1121</v>
      </c>
      <c r="B150" s="78"/>
      <c r="C150" s="78"/>
      <c r="D150" s="417">
        <f>SUM(E150:AH150)</f>
        <v>113709.99010000002</v>
      </c>
      <c r="E150" s="417">
        <f>SUMIFS('14 - Investimentos'!E:E,'14 - Investimentos'!$B:$B,'15 - Depreciação'!$A$146)/1000</f>
        <v>21202.648219999999</v>
      </c>
      <c r="F150" s="417">
        <f>SUMIFS('14 - Investimentos'!F:F,'14 - Investimentos'!$B:$B,'15 - Depreciação'!$A$146)/1000</f>
        <v>0</v>
      </c>
      <c r="G150" s="417">
        <f>SUMIFS('14 - Investimentos'!G:G,'14 - Investimentos'!$B:$B,'15 - Depreciação'!$A$146)/1000</f>
        <v>0</v>
      </c>
      <c r="H150" s="417">
        <f>SUMIFS('14 - Investimentos'!H:H,'14 - Investimentos'!$B:$B,'15 - Depreciação'!$A$146)/1000</f>
        <v>0</v>
      </c>
      <c r="I150" s="417">
        <f>SUMIFS('14 - Investimentos'!I:I,'14 - Investimentos'!$B:$B,'15 - Depreciação'!$A$146)/1000</f>
        <v>723.346</v>
      </c>
      <c r="J150" s="417">
        <f>SUMIFS('14 - Investimentos'!J:J,'14 - Investimentos'!$B:$B,'15 - Depreciação'!$A$146)/1000</f>
        <v>829.61900000000003</v>
      </c>
      <c r="K150" s="417">
        <f>SUMIFS('14 - Investimentos'!K:K,'14 - Investimentos'!$B:$B,'15 - Depreciação'!$A$146)/1000</f>
        <v>0</v>
      </c>
      <c r="L150" s="417">
        <f>SUMIFS('14 - Investimentos'!L:L,'14 - Investimentos'!$B:$B,'15 - Depreciação'!$A$146)/1000</f>
        <v>21291.802219999998</v>
      </c>
      <c r="M150" s="417">
        <f>SUMIFS('14 - Investimentos'!M:M,'14 - Investimentos'!$B:$B,'15 - Depreciação'!$A$146)/1000</f>
        <v>723.346</v>
      </c>
      <c r="N150" s="417">
        <f>SUMIFS('14 - Investimentos'!N:N,'14 - Investimentos'!$B:$B,'15 - Depreciação'!$A$146)/1000</f>
        <v>17.119</v>
      </c>
      <c r="O150" s="417">
        <f>SUMIFS('14 - Investimentos'!O:O,'14 - Investimentos'!$B:$B,'15 - Depreciação'!$A$146)/1000</f>
        <v>0</v>
      </c>
      <c r="P150" s="417">
        <f>SUMIFS('14 - Investimentos'!P:P,'14 - Investimentos'!$B:$B,'15 - Depreciação'!$A$146)/1000</f>
        <v>0</v>
      </c>
      <c r="Q150" s="417">
        <f>SUMIFS('14 - Investimentos'!Q:Q,'14 - Investimentos'!$B:$B,'15 - Depreciação'!$A$146)/1000</f>
        <v>1535.846</v>
      </c>
      <c r="R150" s="417">
        <f>SUMIFS('14 - Investimentos'!R:R,'14 - Investimentos'!$B:$B,'15 - Depreciação'!$A$146)/1000</f>
        <v>17.119</v>
      </c>
      <c r="S150" s="417">
        <f>SUMIFS('14 - Investimentos'!S:S,'14 - Investimentos'!$B:$B,'15 - Depreciação'!$A$146)/1000</f>
        <v>20927.428219999998</v>
      </c>
      <c r="T150" s="417">
        <f>SUMIFS('14 - Investimentos'!T:T,'14 - Investimentos'!$B:$B,'15 - Depreciação'!$A$146)/1000</f>
        <v>0</v>
      </c>
      <c r="U150" s="417">
        <f>SUMIFS('14 - Investimentos'!U:U,'14 - Investimentos'!$B:$B,'15 - Depreciação'!$A$146)/1000</f>
        <v>723.346</v>
      </c>
      <c r="V150" s="417">
        <f>SUMIFS('14 - Investimentos'!V:V,'14 - Investimentos'!$B:$B,'15 - Depreciação'!$A$146)/1000</f>
        <v>17.119</v>
      </c>
      <c r="W150" s="417">
        <f>SUMIFS('14 - Investimentos'!W:W,'14 - Investimentos'!$B:$B,'15 - Depreciação'!$A$146)/1000</f>
        <v>0</v>
      </c>
      <c r="X150" s="417">
        <f>SUMIFS('14 - Investimentos'!X:X,'14 - Investimentos'!$B:$B,'15 - Depreciação'!$A$146)/1000</f>
        <v>812.5</v>
      </c>
      <c r="Y150" s="417">
        <f>SUMIFS('14 - Investimentos'!Y:Y,'14 - Investimentos'!$B:$B,'15 - Depreciação'!$A$146)/1000</f>
        <v>723.346</v>
      </c>
      <c r="Z150" s="417">
        <f>SUMIFS('14 - Investimentos'!Z:Z,'14 - Investimentos'!$B:$B,'15 - Depreciação'!$A$146)/1000</f>
        <v>20944.54722</v>
      </c>
      <c r="AA150" s="417">
        <f>SUMIFS('14 - Investimentos'!AA:AA,'14 - Investimentos'!$B:$B,'15 - Depreciação'!$A$146)/1000</f>
        <v>0</v>
      </c>
      <c r="AB150" s="417">
        <f>SUMIFS('14 - Investimentos'!AB:AB,'14 - Investimentos'!$B:$B,'15 - Depreciação'!$A$146)/1000</f>
        <v>0</v>
      </c>
      <c r="AC150" s="417">
        <f>SUMIFS('14 - Investimentos'!AC:AC,'14 - Investimentos'!$B:$B,'15 - Depreciação'!$A$146)/1000</f>
        <v>723.346</v>
      </c>
      <c r="AD150" s="417">
        <f>SUMIFS('14 - Investimentos'!AD:AD,'14 - Investimentos'!$B:$B,'15 - Depreciação'!$A$146)/1000</f>
        <v>17.119</v>
      </c>
      <c r="AE150" s="417">
        <f>SUMIFS('14 - Investimentos'!AE:AE,'14 - Investimentos'!$B:$B,'15 - Depreciação'!$A$146)/1000</f>
        <v>812.5</v>
      </c>
      <c r="AF150" s="417">
        <f>SUMIFS('14 - Investimentos'!AF:AF,'14 - Investimentos'!$B:$B,'15 - Depreciação'!$A$146)/1000</f>
        <v>0</v>
      </c>
      <c r="AG150" s="417">
        <f>SUMIFS('14 - Investimentos'!AG:AG,'14 - Investimentos'!$B:$B,'15 - Depreciação'!$A$146)/1000</f>
        <v>21650.774219999999</v>
      </c>
      <c r="AH150" s="417">
        <f>SUMIFS('14 - Investimentos'!AH:AH,'14 - Investimentos'!$B:$B,'15 - Depreciação'!$A$146)/1000</f>
        <v>17.119</v>
      </c>
    </row>
    <row r="151" spans="1:34" s="75" customFormat="1" ht="13.15" customHeight="1" x14ac:dyDescent="0.2">
      <c r="A151" s="415" t="s">
        <v>1122</v>
      </c>
      <c r="B151" s="78"/>
      <c r="C151" s="78"/>
      <c r="D151" s="417">
        <f>SUM(E151:AH151)</f>
        <v>-27146.739563999996</v>
      </c>
      <c r="E151" s="417">
        <v>0</v>
      </c>
      <c r="F151" s="417">
        <v>0</v>
      </c>
      <c r="G151" s="417">
        <v>0</v>
      </c>
      <c r="H151" s="417">
        <v>0</v>
      </c>
      <c r="I151" s="417">
        <v>0</v>
      </c>
      <c r="J151" s="417">
        <v>0</v>
      </c>
      <c r="K151" s="417">
        <f>-E150*30%</f>
        <v>-6360.7944659999994</v>
      </c>
      <c r="L151" s="417">
        <f t="shared" ref="L151:AH151" si="5">-F150*30%</f>
        <v>0</v>
      </c>
      <c r="M151" s="417">
        <f t="shared" si="5"/>
        <v>0</v>
      </c>
      <c r="N151" s="417">
        <f t="shared" si="5"/>
        <v>0</v>
      </c>
      <c r="O151" s="417">
        <f t="shared" si="5"/>
        <v>-217.00379999999998</v>
      </c>
      <c r="P151" s="417">
        <f t="shared" si="5"/>
        <v>-248.88569999999999</v>
      </c>
      <c r="Q151" s="417">
        <f t="shared" si="5"/>
        <v>0</v>
      </c>
      <c r="R151" s="417">
        <f t="shared" si="5"/>
        <v>-6387.540665999999</v>
      </c>
      <c r="S151" s="417">
        <f t="shared" si="5"/>
        <v>-217.00379999999998</v>
      </c>
      <c r="T151" s="417">
        <f t="shared" si="5"/>
        <v>-5.1356999999999999</v>
      </c>
      <c r="U151" s="417">
        <f t="shared" si="5"/>
        <v>0</v>
      </c>
      <c r="V151" s="417">
        <f t="shared" si="5"/>
        <v>0</v>
      </c>
      <c r="W151" s="417">
        <f t="shared" si="5"/>
        <v>-460.75379999999996</v>
      </c>
      <c r="X151" s="417">
        <f t="shared" si="5"/>
        <v>-5.1356999999999999</v>
      </c>
      <c r="Y151" s="417">
        <f t="shared" si="5"/>
        <v>-6278.2284659999996</v>
      </c>
      <c r="Z151" s="417">
        <f t="shared" si="5"/>
        <v>0</v>
      </c>
      <c r="AA151" s="417">
        <f t="shared" si="5"/>
        <v>-217.00379999999998</v>
      </c>
      <c r="AB151" s="417">
        <f t="shared" si="5"/>
        <v>-5.1356999999999999</v>
      </c>
      <c r="AC151" s="417">
        <f t="shared" si="5"/>
        <v>0</v>
      </c>
      <c r="AD151" s="417">
        <f t="shared" si="5"/>
        <v>-243.75</v>
      </c>
      <c r="AE151" s="417">
        <f t="shared" si="5"/>
        <v>-217.00379999999998</v>
      </c>
      <c r="AF151" s="417">
        <f t="shared" si="5"/>
        <v>-6283.3641660000003</v>
      </c>
      <c r="AG151" s="417">
        <f t="shared" si="5"/>
        <v>0</v>
      </c>
      <c r="AH151" s="417">
        <f t="shared" si="5"/>
        <v>0</v>
      </c>
    </row>
    <row r="152" spans="1:34" s="75" customFormat="1" ht="13.15" customHeight="1" x14ac:dyDescent="0.2">
      <c r="A152" s="415" t="s">
        <v>1123</v>
      </c>
      <c r="B152" s="78"/>
      <c r="C152" s="78"/>
      <c r="D152" s="417">
        <f>SUM(E152:AH152)</f>
        <v>-67688.076206799975</v>
      </c>
      <c r="E152" s="417">
        <f>-E35/1000</f>
        <v>-2968.3707508000007</v>
      </c>
      <c r="F152" s="417">
        <f t="shared" ref="F152:AH152" si="6">-F35/1000</f>
        <v>-2968.3707508000007</v>
      </c>
      <c r="G152" s="417">
        <f t="shared" si="6"/>
        <v>-2968.3707508000007</v>
      </c>
      <c r="H152" s="417">
        <f t="shared" si="6"/>
        <v>-2968.3707508000007</v>
      </c>
      <c r="I152" s="417">
        <f t="shared" si="6"/>
        <v>-3069.6391908000005</v>
      </c>
      <c r="J152" s="417">
        <f t="shared" si="6"/>
        <v>-217.41509999999818</v>
      </c>
      <c r="K152" s="417">
        <f t="shared" si="6"/>
        <v>-217.41510000000002</v>
      </c>
      <c r="L152" s="417">
        <f t="shared" si="6"/>
        <v>-3198.2674108000001</v>
      </c>
      <c r="M152" s="417">
        <f t="shared" si="6"/>
        <v>-3299.5358507999999</v>
      </c>
      <c r="N152" s="417">
        <f t="shared" si="6"/>
        <v>-3200.6640708000004</v>
      </c>
      <c r="O152" s="417">
        <f t="shared" si="6"/>
        <v>-3084.5174108000001</v>
      </c>
      <c r="P152" s="417">
        <f t="shared" si="6"/>
        <v>-3084.5174108000001</v>
      </c>
      <c r="Q152" s="417">
        <f t="shared" si="6"/>
        <v>-318.68353999999817</v>
      </c>
      <c r="R152" s="417">
        <f t="shared" si="6"/>
        <v>-219.81176000000002</v>
      </c>
      <c r="S152" s="417">
        <f t="shared" si="6"/>
        <v>-3147.2550508000004</v>
      </c>
      <c r="T152" s="417">
        <f t="shared" si="6"/>
        <v>-3147.2550508000004</v>
      </c>
      <c r="U152" s="417">
        <f t="shared" si="6"/>
        <v>-3248.5234908000002</v>
      </c>
      <c r="V152" s="417">
        <f t="shared" si="6"/>
        <v>-3035.9017108000003</v>
      </c>
      <c r="W152" s="417">
        <f t="shared" si="6"/>
        <v>-3033.5050508000004</v>
      </c>
      <c r="X152" s="417">
        <f t="shared" si="6"/>
        <v>-217.4151</v>
      </c>
      <c r="Y152" s="417">
        <f t="shared" si="6"/>
        <v>-318.68354000000005</v>
      </c>
      <c r="Z152" s="417">
        <f t="shared" si="6"/>
        <v>-3149.6517107999998</v>
      </c>
      <c r="AA152" s="417">
        <f t="shared" si="6"/>
        <v>-3147.2550507999999</v>
      </c>
      <c r="AB152" s="417">
        <f t="shared" si="6"/>
        <v>-3147.2550507999999</v>
      </c>
      <c r="AC152" s="417">
        <f t="shared" si="6"/>
        <v>-3134.7734907999998</v>
      </c>
      <c r="AD152" s="417">
        <f t="shared" si="6"/>
        <v>-3035.9017107999998</v>
      </c>
      <c r="AE152" s="417">
        <f t="shared" si="6"/>
        <v>-217.4151</v>
      </c>
      <c r="AF152" s="417">
        <f t="shared" si="6"/>
        <v>-331.1651</v>
      </c>
      <c r="AG152" s="417">
        <f t="shared" si="6"/>
        <v>-331.1651</v>
      </c>
      <c r="AH152" s="417">
        <f t="shared" si="6"/>
        <v>-3261.0050508000004</v>
      </c>
    </row>
    <row r="153" spans="1:34" s="75" customFormat="1" ht="13.15" customHeight="1" x14ac:dyDescent="0.2">
      <c r="A153" s="375" t="s">
        <v>1124</v>
      </c>
      <c r="B153" s="379"/>
      <c r="C153" s="379"/>
      <c r="D153" s="376">
        <f>SUM(D150:D152)</f>
        <v>18875.174329200061</v>
      </c>
      <c r="E153" s="380">
        <f>SUM(E149:E152)</f>
        <v>18234.277469199998</v>
      </c>
      <c r="F153" s="380">
        <f>SUM(F149:F152)</f>
        <v>15265.906718399998</v>
      </c>
      <c r="G153" s="380">
        <f t="shared" ref="G153:AH153" si="7">SUM(G149:G152)</f>
        <v>12297.535967599997</v>
      </c>
      <c r="H153" s="380">
        <f t="shared" si="7"/>
        <v>9329.1652167999964</v>
      </c>
      <c r="I153" s="380">
        <f t="shared" si="7"/>
        <v>6982.8720259999955</v>
      </c>
      <c r="J153" s="380">
        <f t="shared" si="7"/>
        <v>7595.0759259999968</v>
      </c>
      <c r="K153" s="380">
        <f t="shared" si="7"/>
        <v>1016.8663599999974</v>
      </c>
      <c r="L153" s="380">
        <f t="shared" si="7"/>
        <v>19110.401169199995</v>
      </c>
      <c r="M153" s="380">
        <f t="shared" si="7"/>
        <v>16534.211318399997</v>
      </c>
      <c r="N153" s="380">
        <f t="shared" si="7"/>
        <v>13350.666247599995</v>
      </c>
      <c r="O153" s="380">
        <f t="shared" si="7"/>
        <v>10049.145036799993</v>
      </c>
      <c r="P153" s="380">
        <f t="shared" si="7"/>
        <v>6715.7419259999924</v>
      </c>
      <c r="Q153" s="380">
        <f t="shared" si="7"/>
        <v>7932.9043859999947</v>
      </c>
      <c r="R153" s="380">
        <f t="shared" si="7"/>
        <v>1342.6709599999954</v>
      </c>
      <c r="S153" s="380">
        <f t="shared" si="7"/>
        <v>18905.840329199993</v>
      </c>
      <c r="T153" s="380">
        <f t="shared" si="7"/>
        <v>15753.449578399994</v>
      </c>
      <c r="U153" s="380">
        <f t="shared" si="7"/>
        <v>13228.272087599993</v>
      </c>
      <c r="V153" s="380">
        <f t="shared" si="7"/>
        <v>10209.489376799993</v>
      </c>
      <c r="W153" s="380">
        <f t="shared" si="7"/>
        <v>6715.2305259999921</v>
      </c>
      <c r="X153" s="380">
        <f t="shared" si="7"/>
        <v>7305.1797259999921</v>
      </c>
      <c r="Y153" s="380">
        <f t="shared" si="7"/>
        <v>1431.613719999993</v>
      </c>
      <c r="Z153" s="380">
        <f t="shared" si="7"/>
        <v>19226.509229199994</v>
      </c>
      <c r="AA153" s="380">
        <f t="shared" si="7"/>
        <v>15862.250378399995</v>
      </c>
      <c r="AB153" s="380">
        <f t="shared" si="7"/>
        <v>12709.859627599993</v>
      </c>
      <c r="AC153" s="380">
        <f t="shared" si="7"/>
        <v>10298.432136799993</v>
      </c>
      <c r="AD153" s="380">
        <f t="shared" si="7"/>
        <v>7035.8994259999936</v>
      </c>
      <c r="AE153" s="380">
        <f t="shared" si="7"/>
        <v>7413.980525999993</v>
      </c>
      <c r="AF153" s="380">
        <f t="shared" si="7"/>
        <v>799.45125999999277</v>
      </c>
      <c r="AG153" s="380">
        <f t="shared" si="7"/>
        <v>22119.060379999995</v>
      </c>
      <c r="AH153" s="380">
        <f t="shared" si="7"/>
        <v>18875.174329199996</v>
      </c>
    </row>
    <row r="154" spans="1:34" s="75" customFormat="1" ht="13.15" customHeight="1" x14ac:dyDescent="0.2">
      <c r="A154" s="415"/>
      <c r="B154" s="78"/>
      <c r="C154" s="78"/>
      <c r="D154" s="414"/>
      <c r="E154" s="414"/>
      <c r="F154" s="414"/>
      <c r="G154" s="414"/>
      <c r="H154" s="414"/>
      <c r="I154" s="414"/>
      <c r="J154" s="414"/>
      <c r="K154" s="414"/>
      <c r="L154" s="414"/>
      <c r="M154" s="414"/>
      <c r="N154" s="414"/>
      <c r="O154" s="414"/>
      <c r="P154" s="414"/>
      <c r="Q154" s="414"/>
      <c r="R154" s="414"/>
      <c r="S154" s="414"/>
      <c r="T154" s="414"/>
      <c r="U154" s="414"/>
      <c r="V154" s="414"/>
      <c r="W154" s="414"/>
      <c r="X154" s="414"/>
      <c r="Y154" s="414"/>
      <c r="Z154" s="414"/>
      <c r="AA154" s="414"/>
      <c r="AB154" s="414"/>
      <c r="AC154" s="414"/>
      <c r="AD154" s="414"/>
      <c r="AE154" s="414"/>
      <c r="AF154" s="414"/>
      <c r="AG154" s="414"/>
      <c r="AH154" s="415"/>
    </row>
    <row r="155" spans="1:34" s="75" customFormat="1" ht="13.15" customHeight="1" x14ac:dyDescent="0.2">
      <c r="A155" s="373" t="s">
        <v>1082</v>
      </c>
      <c r="B155" s="78"/>
      <c r="C155" s="78"/>
      <c r="D155" s="414"/>
      <c r="E155" s="414"/>
      <c r="F155" s="414"/>
      <c r="G155" s="414"/>
      <c r="H155" s="414"/>
      <c r="I155" s="414"/>
      <c r="J155" s="414"/>
      <c r="K155" s="414"/>
      <c r="L155" s="414"/>
      <c r="M155" s="414"/>
      <c r="N155" s="414"/>
      <c r="O155" s="414"/>
      <c r="P155" s="414"/>
      <c r="Q155" s="414"/>
      <c r="R155" s="414"/>
      <c r="S155" s="414"/>
      <c r="T155" s="414"/>
      <c r="U155" s="414"/>
      <c r="V155" s="414"/>
      <c r="W155" s="414"/>
      <c r="X155" s="414"/>
      <c r="Y155" s="414"/>
      <c r="Z155" s="414"/>
      <c r="AA155" s="414"/>
      <c r="AB155" s="414"/>
      <c r="AC155" s="414"/>
      <c r="AD155" s="414"/>
      <c r="AE155" s="414"/>
      <c r="AF155" s="414"/>
      <c r="AG155" s="414"/>
      <c r="AH155" s="415"/>
    </row>
    <row r="156" spans="1:34" s="75" customFormat="1" ht="13.15" customHeight="1" x14ac:dyDescent="0.2">
      <c r="A156" s="523" t="s">
        <v>1091</v>
      </c>
      <c r="B156" s="78"/>
      <c r="C156" s="78"/>
      <c r="D156" s="414"/>
      <c r="E156" s="414"/>
      <c r="F156" s="414"/>
      <c r="G156" s="414"/>
      <c r="H156" s="414"/>
      <c r="I156" s="414"/>
      <c r="J156" s="414"/>
      <c r="K156" s="414"/>
      <c r="L156" s="414"/>
      <c r="M156" s="414"/>
      <c r="N156" s="414"/>
      <c r="O156" s="414"/>
      <c r="P156" s="414"/>
      <c r="Q156" s="414"/>
      <c r="R156" s="414"/>
      <c r="S156" s="414"/>
      <c r="T156" s="414"/>
      <c r="U156" s="414"/>
      <c r="V156" s="414"/>
      <c r="W156" s="414"/>
      <c r="X156" s="414"/>
      <c r="Y156" s="414"/>
      <c r="Z156" s="414"/>
      <c r="AA156" s="414"/>
      <c r="AB156" s="414"/>
      <c r="AC156" s="414"/>
      <c r="AD156" s="414"/>
      <c r="AE156" s="414"/>
      <c r="AF156" s="414"/>
      <c r="AG156" s="414"/>
      <c r="AH156" s="415"/>
    </row>
    <row r="157" spans="1:34" s="75" customFormat="1" ht="13.15" customHeight="1" x14ac:dyDescent="0.2">
      <c r="A157" s="415"/>
      <c r="B157" s="78"/>
      <c r="C157" s="78"/>
      <c r="D157" s="414"/>
      <c r="E157" s="414"/>
      <c r="F157" s="414"/>
      <c r="G157" s="414"/>
      <c r="H157" s="414"/>
      <c r="I157" s="414"/>
      <c r="J157" s="414"/>
      <c r="K157" s="414"/>
      <c r="L157" s="414"/>
      <c r="M157" s="414"/>
      <c r="N157" s="414"/>
      <c r="O157" s="414"/>
      <c r="P157" s="414"/>
      <c r="Q157" s="414"/>
      <c r="R157" s="414"/>
      <c r="S157" s="414"/>
      <c r="T157" s="414"/>
      <c r="U157" s="414"/>
      <c r="V157" s="414"/>
      <c r="W157" s="414"/>
      <c r="X157" s="414"/>
      <c r="Y157" s="414"/>
      <c r="Z157" s="414"/>
      <c r="AA157" s="414"/>
      <c r="AB157" s="414"/>
      <c r="AC157" s="414"/>
      <c r="AD157" s="414"/>
      <c r="AE157" s="414"/>
      <c r="AF157" s="414"/>
      <c r="AG157" s="414"/>
      <c r="AH157" s="415"/>
    </row>
    <row r="158" spans="1:34" s="75" customFormat="1" ht="13.15" customHeight="1" x14ac:dyDescent="0.2">
      <c r="A158" s="381" t="s">
        <v>1054</v>
      </c>
      <c r="B158" s="382"/>
      <c r="C158" s="382"/>
      <c r="D158" s="534"/>
      <c r="E158" s="383">
        <v>1</v>
      </c>
      <c r="F158" s="383">
        <v>2</v>
      </c>
      <c r="G158" s="383">
        <v>3</v>
      </c>
      <c r="H158" s="383">
        <v>4</v>
      </c>
      <c r="I158" s="383">
        <v>5</v>
      </c>
      <c r="J158" s="383">
        <v>6</v>
      </c>
      <c r="K158" s="383">
        <v>7</v>
      </c>
      <c r="L158" s="383">
        <v>8</v>
      </c>
      <c r="M158" s="383">
        <v>9</v>
      </c>
      <c r="N158" s="383">
        <v>10</v>
      </c>
      <c r="O158" s="383">
        <v>11</v>
      </c>
      <c r="P158" s="383">
        <v>12</v>
      </c>
      <c r="Q158" s="383">
        <v>13</v>
      </c>
      <c r="R158" s="383">
        <v>14</v>
      </c>
      <c r="S158" s="383">
        <v>15</v>
      </c>
      <c r="T158" s="383">
        <v>16</v>
      </c>
      <c r="U158" s="383">
        <v>17</v>
      </c>
      <c r="V158" s="383">
        <v>18</v>
      </c>
      <c r="W158" s="383">
        <v>19</v>
      </c>
      <c r="X158" s="383">
        <v>20</v>
      </c>
      <c r="Y158" s="383">
        <v>21</v>
      </c>
      <c r="Z158" s="383">
        <v>22</v>
      </c>
      <c r="AA158" s="383">
        <v>23</v>
      </c>
      <c r="AB158" s="383">
        <v>24</v>
      </c>
      <c r="AC158" s="383">
        <v>25</v>
      </c>
      <c r="AD158" s="383">
        <v>26</v>
      </c>
      <c r="AE158" s="383">
        <v>27</v>
      </c>
      <c r="AF158" s="383">
        <v>28</v>
      </c>
      <c r="AG158" s="383">
        <v>29</v>
      </c>
      <c r="AH158" s="383">
        <v>30</v>
      </c>
    </row>
    <row r="159" spans="1:34" s="75" customFormat="1" ht="13.15" customHeight="1" x14ac:dyDescent="0.2">
      <c r="A159" s="415" t="s">
        <v>1120</v>
      </c>
      <c r="B159" s="78"/>
      <c r="C159" s="78"/>
      <c r="D159" s="414"/>
      <c r="E159" s="414">
        <v>0</v>
      </c>
      <c r="F159" s="417">
        <f>E163</f>
        <v>1545.6869093333328</v>
      </c>
      <c r="G159" s="417">
        <f t="shared" ref="G159:AH159" si="8">F163</f>
        <v>1322.6875526666661</v>
      </c>
      <c r="H159" s="417">
        <f t="shared" si="8"/>
        <v>1571.4528699999996</v>
      </c>
      <c r="I159" s="417">
        <f t="shared" si="8"/>
        <v>975.39929066666616</v>
      </c>
      <c r="J159" s="417">
        <f t="shared" si="8"/>
        <v>900.06308199999933</v>
      </c>
      <c r="K159" s="417">
        <f t="shared" si="8"/>
        <v>1602.2041866666659</v>
      </c>
      <c r="L159" s="417">
        <f t="shared" si="8"/>
        <v>1205.9594679999991</v>
      </c>
      <c r="M159" s="417">
        <f t="shared" si="8"/>
        <v>1923.988642666666</v>
      </c>
      <c r="N159" s="417">
        <f t="shared" si="8"/>
        <v>1216.0348706666659</v>
      </c>
      <c r="O159" s="417">
        <f t="shared" si="8"/>
        <v>1134.028861999999</v>
      </c>
      <c r="P159" s="417">
        <f t="shared" si="8"/>
        <v>1750.9164766666659</v>
      </c>
      <c r="Q159" s="417">
        <f t="shared" si="8"/>
        <v>1228.2182679999992</v>
      </c>
      <c r="R159" s="417">
        <f t="shared" si="8"/>
        <v>1489.8084826666661</v>
      </c>
      <c r="S159" s="417">
        <f t="shared" si="8"/>
        <v>877.09420066666598</v>
      </c>
      <c r="T159" s="417">
        <f t="shared" si="8"/>
        <v>1375.370441999999</v>
      </c>
      <c r="U159" s="417">
        <f t="shared" si="8"/>
        <v>1941.4738566666661</v>
      </c>
      <c r="V159" s="417">
        <f t="shared" si="8"/>
        <v>1437.7394479999994</v>
      </c>
      <c r="W159" s="417">
        <f t="shared" si="8"/>
        <v>1567.1291726666664</v>
      </c>
      <c r="X159" s="417">
        <f t="shared" si="8"/>
        <v>851.70000066666626</v>
      </c>
      <c r="Y159" s="417">
        <f t="shared" si="8"/>
        <v>906.49348199999997</v>
      </c>
      <c r="Z159" s="417">
        <f t="shared" si="8"/>
        <v>1649.1285866666667</v>
      </c>
      <c r="AA159" s="417">
        <f t="shared" si="8"/>
        <v>1714.2494280000001</v>
      </c>
      <c r="AB159" s="417">
        <f t="shared" si="8"/>
        <v>1828.4335526666666</v>
      </c>
      <c r="AC159" s="417">
        <f t="shared" si="8"/>
        <v>1097.7987806666665</v>
      </c>
      <c r="AD159" s="417">
        <f t="shared" si="8"/>
        <v>1018.7453719999997</v>
      </c>
      <c r="AE159" s="417">
        <f t="shared" si="8"/>
        <v>1587.9799866666665</v>
      </c>
      <c r="AF159" s="417">
        <f t="shared" si="8"/>
        <v>1209.3836679999995</v>
      </c>
      <c r="AG159" s="417">
        <f t="shared" si="8"/>
        <v>1578.7623493333328</v>
      </c>
      <c r="AH159" s="417">
        <f t="shared" si="8"/>
        <v>1539.5015246666662</v>
      </c>
    </row>
    <row r="160" spans="1:34" s="75" customFormat="1" ht="13.15" customHeight="1" x14ac:dyDescent="0.2">
      <c r="A160" s="415" t="s">
        <v>1121</v>
      </c>
      <c r="B160" s="78"/>
      <c r="C160" s="78"/>
      <c r="D160" s="417">
        <f>SUM(E160:AH160)</f>
        <v>21137.395710000004</v>
      </c>
      <c r="E160" s="417">
        <f>SUMIFS('14 - Investimentos'!E:E,'14 - Investimentos'!$B:$B,'15 - Depreciação'!$A$156)/1000</f>
        <v>1932.1086366666661</v>
      </c>
      <c r="F160" s="417">
        <f>SUMIFS('14 - Investimentos'!F:F,'14 - Investimentos'!$B:$B,'15 - Depreciação'!$A$156)/1000</f>
        <v>204.27796333333333</v>
      </c>
      <c r="G160" s="417">
        <f>SUMIFS('14 - Investimentos'!G:G,'14 - Investimentos'!$B:$B,'15 - Depreciação'!$A$156)/1000</f>
        <v>845.05329666666671</v>
      </c>
      <c r="H160" s="417">
        <f>SUMIFS('14 - Investimentos'!H:H,'14 - Investimentos'!$B:$B,'15 - Depreciação'!$A$156)/1000</f>
        <v>0.29299999999999998</v>
      </c>
      <c r="I160" s="417">
        <f>SUMIFS('14 - Investimentos'!I:I,'14 - Investimentos'!$B:$B,'15 - Depreciação'!$A$156)/1000</f>
        <v>651.26296333333335</v>
      </c>
      <c r="J160" s="417">
        <f>SUMIFS('14 - Investimentos'!J:J,'14 - Investimentos'!$B:$B,'15 - Depreciação'!$A$156)/1000</f>
        <v>1302.8981866666668</v>
      </c>
      <c r="K160" s="417">
        <f>SUMIFS('14 - Investimentos'!K:K,'14 - Investimentos'!$B:$B,'15 - Depreciação'!$A$156)/1000</f>
        <v>204.57096333333331</v>
      </c>
      <c r="L160" s="417">
        <f>SUMIFS('14 - Investimentos'!L:L,'14 - Investimentos'!$B:$B,'15 - Depreciação'!$A$156)/1000</f>
        <v>1437.2927466666667</v>
      </c>
      <c r="M160" s="417">
        <f>SUMIFS('14 - Investimentos'!M:M,'14 - Investimentos'!$B:$B,'15 - Depreciação'!$A$156)/1000</f>
        <v>14.064</v>
      </c>
      <c r="N160" s="417">
        <f>SUMIFS('14 - Investimentos'!N:N,'14 - Investimentos'!$B:$B,'15 - Depreciação'!$A$156)/1000</f>
        <v>637.19896333333338</v>
      </c>
      <c r="O160" s="417">
        <f>SUMIFS('14 - Investimentos'!O:O,'14 - Investimentos'!$B:$B,'15 - Depreciação'!$A$156)/1000</f>
        <v>1344.3911866666667</v>
      </c>
      <c r="P160" s="417">
        <f>SUMIFS('14 - Investimentos'!P:P,'14 - Investimentos'!$B:$B,'15 - Depreciação'!$A$156)/1000</f>
        <v>204.86396333333332</v>
      </c>
      <c r="Q160" s="417">
        <f>SUMIFS('14 - Investimentos'!Q:Q,'14 - Investimentos'!$B:$B,'15 - Depreciação'!$A$156)/1000</f>
        <v>877.1172966666669</v>
      </c>
      <c r="R160" s="417">
        <f>SUMIFS('14 - Investimentos'!R:R,'14 - Investimentos'!$B:$B,'15 - Depreciação'!$A$156)/1000</f>
        <v>0</v>
      </c>
      <c r="S160" s="417">
        <f>SUMIFS('14 - Investimentos'!S:S,'14 - Investimentos'!$B:$B,'15 - Depreciação'!$A$156)/1000</f>
        <v>1229.4384133333333</v>
      </c>
      <c r="T160" s="417">
        <f>SUMIFS('14 - Investimentos'!T:T,'14 - Investimentos'!$B:$B,'15 - Depreciação'!$A$156)/1000</f>
        <v>1285.4841866666668</v>
      </c>
      <c r="U160" s="417">
        <f>SUMIFS('14 - Investimentos'!U:U,'14 - Investimentos'!$B:$B,'15 - Depreciação'!$A$156)/1000</f>
        <v>218.34196333333333</v>
      </c>
      <c r="V160" s="417">
        <f>SUMIFS('14 - Investimentos'!V:V,'14 - Investimentos'!$B:$B,'15 - Depreciação'!$A$156)/1000</f>
        <v>845.05329666666682</v>
      </c>
      <c r="W160" s="417">
        <f>SUMIFS('14 - Investimentos'!W:W,'14 - Investimentos'!$B:$B,'15 - Depreciação'!$A$156)/1000</f>
        <v>0.29299999999999998</v>
      </c>
      <c r="X160" s="417">
        <f>SUMIFS('14 - Investimentos'!X:X,'14 - Investimentos'!$B:$B,'15 - Depreciação'!$A$156)/1000</f>
        <v>655.78496333333339</v>
      </c>
      <c r="Y160" s="417">
        <f>SUMIFS('14 - Investimentos'!Y:Y,'14 - Investimentos'!$B:$B,'15 - Depreciação'!$A$156)/1000</f>
        <v>1358.1621866666667</v>
      </c>
      <c r="Z160" s="417">
        <f>SUMIFS('14 - Investimentos'!Z:Z,'14 - Investimentos'!$B:$B,'15 - Depreciação'!$A$156)/1000</f>
        <v>796.22441333333336</v>
      </c>
      <c r="AA160" s="417">
        <f>SUMIFS('14 - Investimentos'!AA:AA,'14 - Investimentos'!$B:$B,'15 - Depreciação'!$A$156)/1000</f>
        <v>845.34629666666683</v>
      </c>
      <c r="AB160" s="417">
        <f>SUMIFS('14 - Investimentos'!AB:AB,'14 - Investimentos'!$B:$B,'15 - Depreciação'!$A$156)/1000</f>
        <v>0.58599999999999997</v>
      </c>
      <c r="AC160" s="417">
        <f>SUMIFS('14 - Investimentos'!AC:AC,'14 - Investimentos'!$B:$B,'15 - Depreciação'!$A$156)/1000</f>
        <v>651.26296333333335</v>
      </c>
      <c r="AD160" s="417">
        <f>SUMIFS('14 - Investimentos'!AD:AD,'14 - Investimentos'!$B:$B,'15 - Depreciação'!$A$156)/1000</f>
        <v>1284.8981866666668</v>
      </c>
      <c r="AE160" s="417">
        <f>SUMIFS('14 - Investimentos'!AE:AE,'14 - Investimentos'!$B:$B,'15 - Depreciação'!$A$156)/1000</f>
        <v>222.27796333333333</v>
      </c>
      <c r="AF160" s="417">
        <f>SUMIFS('14 - Investimentos'!AF:AF,'14 - Investimentos'!$B:$B,'15 - Depreciação'!$A$156)/1000</f>
        <v>845.63929666666684</v>
      </c>
      <c r="AG160" s="417">
        <f>SUMIFS('14 - Investimentos'!AG:AG,'14 - Investimentos'!$B:$B,'15 - Depreciação'!$A$156)/1000</f>
        <v>606.01044999999999</v>
      </c>
      <c r="AH160" s="417">
        <f>SUMIFS('14 - Investimentos'!AH:AH,'14 - Investimentos'!$B:$B,'15 - Depreciação'!$A$156)/1000</f>
        <v>637.19896333333338</v>
      </c>
    </row>
    <row r="161" spans="1:34" s="75" customFormat="1" ht="13.15" customHeight="1" x14ac:dyDescent="0.2">
      <c r="A161" s="415" t="s">
        <v>1122</v>
      </c>
      <c r="B161" s="78"/>
      <c r="C161" s="78"/>
      <c r="D161" s="417">
        <f>SUM(E161:AH161)</f>
        <v>0</v>
      </c>
      <c r="E161" s="417">
        <v>0</v>
      </c>
      <c r="F161" s="417">
        <v>0</v>
      </c>
      <c r="G161" s="417">
        <v>0</v>
      </c>
      <c r="H161" s="417">
        <v>0</v>
      </c>
      <c r="I161" s="417">
        <v>0</v>
      </c>
      <c r="J161" s="417">
        <v>0</v>
      </c>
      <c r="K161" s="417">
        <v>0</v>
      </c>
      <c r="L161" s="417">
        <v>0</v>
      </c>
      <c r="M161" s="417">
        <v>0</v>
      </c>
      <c r="N161" s="417">
        <v>0</v>
      </c>
      <c r="O161" s="417">
        <v>0</v>
      </c>
      <c r="P161" s="417">
        <v>0</v>
      </c>
      <c r="Q161" s="417">
        <v>0</v>
      </c>
      <c r="R161" s="417">
        <v>0</v>
      </c>
      <c r="S161" s="417">
        <v>0</v>
      </c>
      <c r="T161" s="417">
        <v>0</v>
      </c>
      <c r="U161" s="417">
        <v>0</v>
      </c>
      <c r="V161" s="417">
        <v>0</v>
      </c>
      <c r="W161" s="417">
        <v>0</v>
      </c>
      <c r="X161" s="417">
        <v>0</v>
      </c>
      <c r="Y161" s="417">
        <v>0</v>
      </c>
      <c r="Z161" s="417">
        <v>0</v>
      </c>
      <c r="AA161" s="417">
        <v>0</v>
      </c>
      <c r="AB161" s="417">
        <v>0</v>
      </c>
      <c r="AC161" s="417">
        <v>0</v>
      </c>
      <c r="AD161" s="417">
        <v>0</v>
      </c>
      <c r="AE161" s="417">
        <v>0</v>
      </c>
      <c r="AF161" s="417">
        <v>0</v>
      </c>
      <c r="AG161" s="417">
        <v>0</v>
      </c>
      <c r="AH161" s="417">
        <v>0</v>
      </c>
    </row>
    <row r="162" spans="1:34" s="75" customFormat="1" ht="13.15" customHeight="1" x14ac:dyDescent="0.2">
      <c r="A162" s="415" t="s">
        <v>1123</v>
      </c>
      <c r="B162" s="78"/>
      <c r="C162" s="78"/>
      <c r="D162" s="417">
        <f>SUM(E162:AH162)</f>
        <v>-19596.915994000003</v>
      </c>
      <c r="E162" s="417">
        <f>-E71/1000</f>
        <v>-386.42172733333331</v>
      </c>
      <c r="F162" s="417">
        <f t="shared" ref="F162:AH162" si="9">-F71/1000</f>
        <v>-427.27731999999997</v>
      </c>
      <c r="G162" s="417">
        <f t="shared" si="9"/>
        <v>-596.28797933333328</v>
      </c>
      <c r="H162" s="417">
        <f t="shared" si="9"/>
        <v>-596.34657933333335</v>
      </c>
      <c r="I162" s="417">
        <f t="shared" si="9"/>
        <v>-726.59917200000007</v>
      </c>
      <c r="J162" s="417">
        <f t="shared" si="9"/>
        <v>-600.75708199999997</v>
      </c>
      <c r="K162" s="417">
        <f t="shared" si="9"/>
        <v>-600.81568200000015</v>
      </c>
      <c r="L162" s="417">
        <f t="shared" si="9"/>
        <v>-719.26357200000007</v>
      </c>
      <c r="M162" s="417">
        <f t="shared" si="9"/>
        <v>-722.01777200000015</v>
      </c>
      <c r="N162" s="417">
        <f t="shared" si="9"/>
        <v>-719.20497200000023</v>
      </c>
      <c r="O162" s="417">
        <f t="shared" si="9"/>
        <v>-727.50357199999996</v>
      </c>
      <c r="P162" s="417">
        <f t="shared" si="9"/>
        <v>-727.56217200000003</v>
      </c>
      <c r="Q162" s="417">
        <f t="shared" si="9"/>
        <v>-615.52708199999984</v>
      </c>
      <c r="R162" s="417">
        <f t="shared" si="9"/>
        <v>-612.71428200000014</v>
      </c>
      <c r="S162" s="417">
        <f t="shared" si="9"/>
        <v>-731.16217200000017</v>
      </c>
      <c r="T162" s="417">
        <f t="shared" si="9"/>
        <v>-719.38077200000009</v>
      </c>
      <c r="U162" s="417">
        <f t="shared" si="9"/>
        <v>-722.07637200000011</v>
      </c>
      <c r="V162" s="417">
        <f t="shared" si="9"/>
        <v>-715.66357199999993</v>
      </c>
      <c r="W162" s="417">
        <f t="shared" si="9"/>
        <v>-715.722172</v>
      </c>
      <c r="X162" s="417">
        <f t="shared" si="9"/>
        <v>-600.99148199999979</v>
      </c>
      <c r="Y162" s="417">
        <f t="shared" si="9"/>
        <v>-615.52708200000018</v>
      </c>
      <c r="Z162" s="417">
        <f t="shared" si="9"/>
        <v>-731.1035720000001</v>
      </c>
      <c r="AA162" s="417">
        <f t="shared" si="9"/>
        <v>-731.16217200000006</v>
      </c>
      <c r="AB162" s="417">
        <f t="shared" si="9"/>
        <v>-731.22077200000001</v>
      </c>
      <c r="AC162" s="417">
        <f t="shared" si="9"/>
        <v>-730.31637200000011</v>
      </c>
      <c r="AD162" s="417">
        <f t="shared" si="9"/>
        <v>-715.66357200000016</v>
      </c>
      <c r="AE162" s="417">
        <f t="shared" si="9"/>
        <v>-600.87428200000011</v>
      </c>
      <c r="AF162" s="417">
        <f t="shared" si="9"/>
        <v>-476.26061533333336</v>
      </c>
      <c r="AG162" s="417">
        <f t="shared" si="9"/>
        <v>-645.27127466666673</v>
      </c>
      <c r="AH162" s="417">
        <f t="shared" si="9"/>
        <v>-636.22077200000012</v>
      </c>
    </row>
    <row r="163" spans="1:34" s="75" customFormat="1" ht="13.15" customHeight="1" x14ac:dyDescent="0.2">
      <c r="A163" s="375" t="s">
        <v>1124</v>
      </c>
      <c r="B163" s="379"/>
      <c r="C163" s="379"/>
      <c r="D163" s="376">
        <f>SUM(D160:D162)</f>
        <v>1540.4797160000016</v>
      </c>
      <c r="E163" s="380">
        <f t="shared" ref="E163:AH163" si="10">SUM(E159:E162)</f>
        <v>1545.6869093333328</v>
      </c>
      <c r="F163" s="380">
        <f t="shared" si="10"/>
        <v>1322.6875526666661</v>
      </c>
      <c r="G163" s="380">
        <f t="shared" si="10"/>
        <v>1571.4528699999996</v>
      </c>
      <c r="H163" s="380">
        <f t="shared" si="10"/>
        <v>975.39929066666616</v>
      </c>
      <c r="I163" s="380">
        <f t="shared" si="10"/>
        <v>900.06308199999933</v>
      </c>
      <c r="J163" s="380">
        <f t="shared" si="10"/>
        <v>1602.2041866666659</v>
      </c>
      <c r="K163" s="380">
        <f t="shared" si="10"/>
        <v>1205.9594679999991</v>
      </c>
      <c r="L163" s="380">
        <f t="shared" si="10"/>
        <v>1923.988642666666</v>
      </c>
      <c r="M163" s="380">
        <f t="shared" si="10"/>
        <v>1216.0348706666659</v>
      </c>
      <c r="N163" s="380">
        <f t="shared" si="10"/>
        <v>1134.028861999999</v>
      </c>
      <c r="O163" s="380">
        <f t="shared" si="10"/>
        <v>1750.9164766666659</v>
      </c>
      <c r="P163" s="380">
        <f t="shared" si="10"/>
        <v>1228.2182679999992</v>
      </c>
      <c r="Q163" s="380">
        <f t="shared" si="10"/>
        <v>1489.8084826666661</v>
      </c>
      <c r="R163" s="380">
        <f t="shared" si="10"/>
        <v>877.09420066666598</v>
      </c>
      <c r="S163" s="380">
        <f t="shared" si="10"/>
        <v>1375.370441999999</v>
      </c>
      <c r="T163" s="380">
        <f t="shared" si="10"/>
        <v>1941.4738566666661</v>
      </c>
      <c r="U163" s="380">
        <f t="shared" si="10"/>
        <v>1437.7394479999994</v>
      </c>
      <c r="V163" s="380">
        <f t="shared" si="10"/>
        <v>1567.1291726666664</v>
      </c>
      <c r="W163" s="380">
        <f t="shared" si="10"/>
        <v>851.70000066666626</v>
      </c>
      <c r="X163" s="380">
        <f t="shared" si="10"/>
        <v>906.49348199999997</v>
      </c>
      <c r="Y163" s="380">
        <f t="shared" si="10"/>
        <v>1649.1285866666667</v>
      </c>
      <c r="Z163" s="380">
        <f t="shared" si="10"/>
        <v>1714.2494280000001</v>
      </c>
      <c r="AA163" s="380">
        <f t="shared" si="10"/>
        <v>1828.4335526666666</v>
      </c>
      <c r="AB163" s="380">
        <f t="shared" si="10"/>
        <v>1097.7987806666665</v>
      </c>
      <c r="AC163" s="380">
        <f t="shared" si="10"/>
        <v>1018.7453719999997</v>
      </c>
      <c r="AD163" s="380">
        <f t="shared" si="10"/>
        <v>1587.9799866666665</v>
      </c>
      <c r="AE163" s="380">
        <f t="shared" si="10"/>
        <v>1209.3836679999995</v>
      </c>
      <c r="AF163" s="380">
        <f t="shared" si="10"/>
        <v>1578.7623493333328</v>
      </c>
      <c r="AG163" s="380">
        <f t="shared" si="10"/>
        <v>1539.5015246666662</v>
      </c>
      <c r="AH163" s="380">
        <f t="shared" si="10"/>
        <v>1540.4797159999994</v>
      </c>
    </row>
    <row r="164" spans="1:34" s="75" customFormat="1" ht="13.15" customHeight="1" x14ac:dyDescent="0.2">
      <c r="A164" s="415"/>
      <c r="B164" s="78"/>
      <c r="C164" s="78"/>
      <c r="D164" s="414"/>
      <c r="E164" s="414"/>
      <c r="F164" s="414"/>
      <c r="G164" s="414"/>
      <c r="H164" s="414"/>
      <c r="I164" s="414"/>
      <c r="J164" s="414"/>
      <c r="K164" s="414"/>
      <c r="L164" s="414"/>
      <c r="M164" s="414"/>
      <c r="N164" s="414"/>
      <c r="O164" s="414"/>
      <c r="P164" s="414"/>
      <c r="Q164" s="414"/>
      <c r="R164" s="414"/>
      <c r="S164" s="414"/>
      <c r="T164" s="414"/>
      <c r="U164" s="414"/>
      <c r="V164" s="414"/>
      <c r="W164" s="414"/>
      <c r="X164" s="414"/>
      <c r="Y164" s="414"/>
      <c r="Z164" s="414"/>
      <c r="AA164" s="414"/>
      <c r="AB164" s="414"/>
      <c r="AC164" s="414"/>
      <c r="AD164" s="414"/>
      <c r="AE164" s="414"/>
      <c r="AF164" s="414"/>
      <c r="AG164" s="414"/>
      <c r="AH164" s="415"/>
    </row>
    <row r="165" spans="1:34" s="75" customFormat="1" ht="13.15" customHeight="1" x14ac:dyDescent="0.2">
      <c r="A165" s="373" t="s">
        <v>1082</v>
      </c>
      <c r="B165" s="78"/>
      <c r="C165" s="78"/>
      <c r="D165" s="414"/>
      <c r="E165" s="414"/>
      <c r="F165" s="414"/>
      <c r="G165" s="414"/>
      <c r="H165" s="414"/>
      <c r="I165" s="414"/>
      <c r="J165" s="414"/>
      <c r="K165" s="414"/>
      <c r="L165" s="414"/>
      <c r="M165" s="414"/>
      <c r="N165" s="414"/>
      <c r="O165" s="414"/>
      <c r="P165" s="414"/>
      <c r="Q165" s="414"/>
      <c r="R165" s="414"/>
      <c r="S165" s="414"/>
      <c r="T165" s="414"/>
      <c r="U165" s="414"/>
      <c r="V165" s="414"/>
      <c r="W165" s="414"/>
      <c r="X165" s="414"/>
      <c r="Y165" s="414"/>
      <c r="Z165" s="414"/>
      <c r="AA165" s="414"/>
      <c r="AB165" s="414"/>
      <c r="AC165" s="414"/>
      <c r="AD165" s="414"/>
      <c r="AE165" s="414"/>
      <c r="AF165" s="414"/>
      <c r="AG165" s="414"/>
      <c r="AH165" s="415"/>
    </row>
    <row r="166" spans="1:34" s="75" customFormat="1" ht="13.15" customHeight="1" x14ac:dyDescent="0.2">
      <c r="A166" s="523" t="s">
        <v>1095</v>
      </c>
      <c r="B166" s="78"/>
      <c r="C166" s="78"/>
      <c r="D166" s="414"/>
      <c r="E166" s="414"/>
      <c r="F166" s="414"/>
      <c r="G166" s="414"/>
      <c r="H166" s="414"/>
      <c r="I166" s="414"/>
      <c r="J166" s="414"/>
      <c r="K166" s="414"/>
      <c r="L166" s="414"/>
      <c r="M166" s="414"/>
      <c r="N166" s="414"/>
      <c r="O166" s="414"/>
      <c r="P166" s="414"/>
      <c r="Q166" s="414"/>
      <c r="R166" s="414"/>
      <c r="S166" s="414"/>
      <c r="T166" s="414"/>
      <c r="U166" s="414"/>
      <c r="V166" s="414"/>
      <c r="W166" s="414"/>
      <c r="X166" s="414"/>
      <c r="Y166" s="414"/>
      <c r="Z166" s="414"/>
      <c r="AA166" s="414"/>
      <c r="AB166" s="414"/>
      <c r="AC166" s="414"/>
      <c r="AD166" s="414"/>
      <c r="AE166" s="414"/>
      <c r="AF166" s="414"/>
      <c r="AG166" s="414"/>
      <c r="AH166" s="415"/>
    </row>
    <row r="167" spans="1:34" s="75" customFormat="1" ht="13.15" customHeight="1" x14ac:dyDescent="0.2">
      <c r="A167" s="415"/>
      <c r="B167" s="78"/>
      <c r="C167" s="78"/>
      <c r="D167" s="414"/>
      <c r="E167" s="414"/>
      <c r="F167" s="414"/>
      <c r="G167" s="414"/>
      <c r="H167" s="414"/>
      <c r="I167" s="414"/>
      <c r="J167" s="414"/>
      <c r="K167" s="414"/>
      <c r="L167" s="414"/>
      <c r="M167" s="414"/>
      <c r="N167" s="414"/>
      <c r="O167" s="414"/>
      <c r="P167" s="414"/>
      <c r="Q167" s="414"/>
      <c r="R167" s="414"/>
      <c r="S167" s="414"/>
      <c r="T167" s="414"/>
      <c r="U167" s="414"/>
      <c r="V167" s="414"/>
      <c r="W167" s="414"/>
      <c r="X167" s="414"/>
      <c r="Y167" s="414"/>
      <c r="Z167" s="414"/>
      <c r="AA167" s="414"/>
      <c r="AB167" s="414"/>
      <c r="AC167" s="414"/>
      <c r="AD167" s="414"/>
      <c r="AE167" s="414"/>
      <c r="AF167" s="414"/>
      <c r="AG167" s="414"/>
      <c r="AH167" s="415"/>
    </row>
    <row r="168" spans="1:34" s="75" customFormat="1" ht="13.15" customHeight="1" x14ac:dyDescent="0.2">
      <c r="A168" s="381" t="s">
        <v>1054</v>
      </c>
      <c r="B168" s="382"/>
      <c r="C168" s="382"/>
      <c r="D168" s="534"/>
      <c r="E168" s="383">
        <v>1</v>
      </c>
      <c r="F168" s="383">
        <v>2</v>
      </c>
      <c r="G168" s="383">
        <v>3</v>
      </c>
      <c r="H168" s="383">
        <v>4</v>
      </c>
      <c r="I168" s="383">
        <v>5</v>
      </c>
      <c r="J168" s="383">
        <v>6</v>
      </c>
      <c r="K168" s="383">
        <v>7</v>
      </c>
      <c r="L168" s="383">
        <v>8</v>
      </c>
      <c r="M168" s="383">
        <v>9</v>
      </c>
      <c r="N168" s="383">
        <v>10</v>
      </c>
      <c r="O168" s="383">
        <v>11</v>
      </c>
      <c r="P168" s="383">
        <v>12</v>
      </c>
      <c r="Q168" s="383">
        <v>13</v>
      </c>
      <c r="R168" s="383">
        <v>14</v>
      </c>
      <c r="S168" s="383">
        <v>15</v>
      </c>
      <c r="T168" s="383">
        <v>16</v>
      </c>
      <c r="U168" s="383">
        <v>17</v>
      </c>
      <c r="V168" s="383">
        <v>18</v>
      </c>
      <c r="W168" s="383">
        <v>19</v>
      </c>
      <c r="X168" s="383">
        <v>20</v>
      </c>
      <c r="Y168" s="383">
        <v>21</v>
      </c>
      <c r="Z168" s="383">
        <v>22</v>
      </c>
      <c r="AA168" s="383">
        <v>23</v>
      </c>
      <c r="AB168" s="383">
        <v>24</v>
      </c>
      <c r="AC168" s="383">
        <v>25</v>
      </c>
      <c r="AD168" s="383">
        <v>26</v>
      </c>
      <c r="AE168" s="383">
        <v>27</v>
      </c>
      <c r="AF168" s="383">
        <v>28</v>
      </c>
      <c r="AG168" s="383">
        <v>29</v>
      </c>
      <c r="AH168" s="383">
        <v>30</v>
      </c>
    </row>
    <row r="169" spans="1:34" s="75" customFormat="1" ht="13.15" customHeight="1" x14ac:dyDescent="0.2">
      <c r="A169" s="415" t="s">
        <v>1120</v>
      </c>
      <c r="B169" s="78"/>
      <c r="C169" s="78"/>
      <c r="D169" s="414"/>
      <c r="E169" s="414">
        <v>0</v>
      </c>
      <c r="F169" s="417">
        <f>E173</f>
        <v>921.06325440000001</v>
      </c>
      <c r="G169" s="417">
        <f t="shared" ref="G169:AH169" si="11">F173</f>
        <v>882.68561880000004</v>
      </c>
      <c r="H169" s="417">
        <f t="shared" si="11"/>
        <v>844.30798320000008</v>
      </c>
      <c r="I169" s="417">
        <f t="shared" si="11"/>
        <v>805.93034760000012</v>
      </c>
      <c r="J169" s="417">
        <f t="shared" si="11"/>
        <v>767.55271200000016</v>
      </c>
      <c r="K169" s="417">
        <f t="shared" si="11"/>
        <v>729.17507640000019</v>
      </c>
      <c r="L169" s="417">
        <f t="shared" si="11"/>
        <v>690.79744080000023</v>
      </c>
      <c r="M169" s="417">
        <f t="shared" si="11"/>
        <v>652.41980520000027</v>
      </c>
      <c r="N169" s="417">
        <f t="shared" si="11"/>
        <v>614.04216960000031</v>
      </c>
      <c r="O169" s="417">
        <f t="shared" si="11"/>
        <v>575.66453400000034</v>
      </c>
      <c r="P169" s="417">
        <f t="shared" si="11"/>
        <v>1274.1375019200004</v>
      </c>
      <c r="Q169" s="417">
        <f t="shared" si="11"/>
        <v>1205.0577578400005</v>
      </c>
      <c r="R169" s="417">
        <f t="shared" si="11"/>
        <v>1135.9780137600005</v>
      </c>
      <c r="S169" s="417">
        <f t="shared" si="11"/>
        <v>1066.8982696800006</v>
      </c>
      <c r="T169" s="417">
        <f t="shared" si="11"/>
        <v>997.81852560000061</v>
      </c>
      <c r="U169" s="417">
        <f t="shared" si="11"/>
        <v>928.73878152000066</v>
      </c>
      <c r="V169" s="417">
        <f t="shared" si="11"/>
        <v>859.6590374400007</v>
      </c>
      <c r="W169" s="417">
        <f t="shared" si="11"/>
        <v>790.57929336000075</v>
      </c>
      <c r="X169" s="417">
        <f t="shared" si="11"/>
        <v>721.49954928000079</v>
      </c>
      <c r="Y169" s="417">
        <f t="shared" si="11"/>
        <v>652.41980520000084</v>
      </c>
      <c r="Z169" s="417">
        <f t="shared" si="11"/>
        <v>1320.1906646400007</v>
      </c>
      <c r="AA169" s="417">
        <f t="shared" si="11"/>
        <v>1220.4088120800006</v>
      </c>
      <c r="AB169" s="417">
        <f t="shared" si="11"/>
        <v>1120.6269595200006</v>
      </c>
      <c r="AC169" s="417">
        <f t="shared" si="11"/>
        <v>1020.8451069600005</v>
      </c>
      <c r="AD169" s="417">
        <f t="shared" si="11"/>
        <v>921.06325440000046</v>
      </c>
      <c r="AE169" s="417">
        <f t="shared" si="11"/>
        <v>859.65903744000082</v>
      </c>
      <c r="AF169" s="417">
        <f t="shared" si="11"/>
        <v>798.25482048000083</v>
      </c>
      <c r="AG169" s="417">
        <f t="shared" si="11"/>
        <v>736.85060352000085</v>
      </c>
      <c r="AH169" s="417">
        <f t="shared" si="11"/>
        <v>675.44638656000086</v>
      </c>
    </row>
    <row r="170" spans="1:34" s="75" customFormat="1" ht="13.15" customHeight="1" x14ac:dyDescent="0.2">
      <c r="A170" s="415" t="s">
        <v>1121</v>
      </c>
      <c r="B170" s="78"/>
      <c r="C170" s="78"/>
      <c r="D170" s="417">
        <f>SUM(E170:AH170)</f>
        <v>2494.5463140000002</v>
      </c>
      <c r="E170" s="417">
        <f>SUMIFS('14 - Investimentos'!E:E,'14 - Investimentos'!$B:$B,'15 - Depreciação'!$A$166)/1000</f>
        <v>959.44088999999997</v>
      </c>
      <c r="F170" s="417">
        <f>SUMIFS('14 - Investimentos'!F:F,'14 - Investimentos'!$B:$B,'15 - Depreciação'!$A$166)/1000</f>
        <v>0</v>
      </c>
      <c r="G170" s="417">
        <f>SUMIFS('14 - Investimentos'!G:G,'14 - Investimentos'!$B:$B,'15 - Depreciação'!$A$166)/1000</f>
        <v>0</v>
      </c>
      <c r="H170" s="417">
        <f>SUMIFS('14 - Investimentos'!H:H,'14 - Investimentos'!$B:$B,'15 - Depreciação'!$A$166)/1000</f>
        <v>0</v>
      </c>
      <c r="I170" s="417">
        <f>SUMIFS('14 - Investimentos'!I:I,'14 - Investimentos'!$B:$B,'15 - Depreciação'!$A$166)/1000</f>
        <v>0</v>
      </c>
      <c r="J170" s="417">
        <f>SUMIFS('14 - Investimentos'!J:J,'14 - Investimentos'!$B:$B,'15 - Depreciação'!$A$166)/1000</f>
        <v>0</v>
      </c>
      <c r="K170" s="417">
        <f>SUMIFS('14 - Investimentos'!K:K,'14 - Investimentos'!$B:$B,'15 - Depreciação'!$A$166)/1000</f>
        <v>0</v>
      </c>
      <c r="L170" s="417">
        <f>SUMIFS('14 - Investimentos'!L:L,'14 - Investimentos'!$B:$B,'15 - Depreciação'!$A$166)/1000</f>
        <v>0</v>
      </c>
      <c r="M170" s="417">
        <f>SUMIFS('14 - Investimentos'!M:M,'14 - Investimentos'!$B:$B,'15 - Depreciação'!$A$166)/1000</f>
        <v>0</v>
      </c>
      <c r="N170" s="417">
        <f>SUMIFS('14 - Investimentos'!N:N,'14 - Investimentos'!$B:$B,'15 - Depreciação'!$A$166)/1000</f>
        <v>0</v>
      </c>
      <c r="O170" s="417">
        <f>SUMIFS('14 - Investimentos'!O:O,'14 - Investimentos'!$B:$B,'15 - Depreciação'!$A$166)/1000</f>
        <v>767.55271200000004</v>
      </c>
      <c r="P170" s="417">
        <f>SUMIFS('14 - Investimentos'!P:P,'14 - Investimentos'!$B:$B,'15 - Depreciação'!$A$166)/1000</f>
        <v>0</v>
      </c>
      <c r="Q170" s="417">
        <f>SUMIFS('14 - Investimentos'!Q:Q,'14 - Investimentos'!$B:$B,'15 - Depreciação'!$A$166)/1000</f>
        <v>0</v>
      </c>
      <c r="R170" s="417">
        <f>SUMIFS('14 - Investimentos'!R:R,'14 - Investimentos'!$B:$B,'15 - Depreciação'!$A$166)/1000</f>
        <v>0</v>
      </c>
      <c r="S170" s="417">
        <f>SUMIFS('14 - Investimentos'!S:S,'14 - Investimentos'!$B:$B,'15 - Depreciação'!$A$166)/1000</f>
        <v>0</v>
      </c>
      <c r="T170" s="417">
        <f>SUMIFS('14 - Investimentos'!T:T,'14 - Investimentos'!$B:$B,'15 - Depreciação'!$A$166)/1000</f>
        <v>0</v>
      </c>
      <c r="U170" s="417">
        <f>SUMIFS('14 - Investimentos'!U:U,'14 - Investimentos'!$B:$B,'15 - Depreciação'!$A$166)/1000</f>
        <v>0</v>
      </c>
      <c r="V170" s="417">
        <f>SUMIFS('14 - Investimentos'!V:V,'14 - Investimentos'!$B:$B,'15 - Depreciação'!$A$166)/1000</f>
        <v>0</v>
      </c>
      <c r="W170" s="417">
        <f>SUMIFS('14 - Investimentos'!W:W,'14 - Investimentos'!$B:$B,'15 - Depreciação'!$A$166)/1000</f>
        <v>0</v>
      </c>
      <c r="X170" s="417">
        <f>SUMIFS('14 - Investimentos'!X:X,'14 - Investimentos'!$B:$B,'15 - Depreciação'!$A$166)/1000</f>
        <v>0</v>
      </c>
      <c r="Y170" s="417">
        <f>SUMIFS('14 - Investimentos'!Y:Y,'14 - Investimentos'!$B:$B,'15 - Depreciação'!$A$166)/1000</f>
        <v>767.55271200000004</v>
      </c>
      <c r="Z170" s="417">
        <f>SUMIFS('14 - Investimentos'!Z:Z,'14 - Investimentos'!$B:$B,'15 - Depreciação'!$A$166)/1000</f>
        <v>0</v>
      </c>
      <c r="AA170" s="417">
        <f>SUMIFS('14 - Investimentos'!AA:AA,'14 - Investimentos'!$B:$B,'15 - Depreciação'!$A$166)/1000</f>
        <v>0</v>
      </c>
      <c r="AB170" s="417">
        <f>SUMIFS('14 - Investimentos'!AB:AB,'14 - Investimentos'!$B:$B,'15 - Depreciação'!$A$166)/1000</f>
        <v>0</v>
      </c>
      <c r="AC170" s="417">
        <f>SUMIFS('14 - Investimentos'!AC:AC,'14 - Investimentos'!$B:$B,'15 - Depreciação'!$A$166)/1000</f>
        <v>0</v>
      </c>
      <c r="AD170" s="417">
        <f>SUMIFS('14 - Investimentos'!AD:AD,'14 - Investimentos'!$B:$B,'15 - Depreciação'!$A$166)/1000</f>
        <v>0</v>
      </c>
      <c r="AE170" s="417">
        <f>SUMIFS('14 - Investimentos'!AE:AE,'14 - Investimentos'!$B:$B,'15 - Depreciação'!$A$166)/1000</f>
        <v>0</v>
      </c>
      <c r="AF170" s="417">
        <f>SUMIFS('14 - Investimentos'!AF:AF,'14 - Investimentos'!$B:$B,'15 - Depreciação'!$A$166)/1000</f>
        <v>0</v>
      </c>
      <c r="AG170" s="417">
        <f>SUMIFS('14 - Investimentos'!AG:AG,'14 - Investimentos'!$B:$B,'15 - Depreciação'!$A$166)/1000</f>
        <v>0</v>
      </c>
      <c r="AH170" s="417">
        <f>SUMIFS('14 - Investimentos'!AH:AH,'14 - Investimentos'!$B:$B,'15 - Depreciação'!$A$166)/1000</f>
        <v>0</v>
      </c>
    </row>
    <row r="171" spans="1:34" s="75" customFormat="1" ht="13.15" customHeight="1" x14ac:dyDescent="0.2">
      <c r="A171" s="415" t="s">
        <v>1122</v>
      </c>
      <c r="B171" s="78"/>
      <c r="C171" s="78"/>
      <c r="D171" s="417">
        <f>SUM(E171:AH171)</f>
        <v>0</v>
      </c>
      <c r="E171" s="417">
        <v>0</v>
      </c>
      <c r="F171" s="417">
        <v>0</v>
      </c>
      <c r="G171" s="417">
        <v>0</v>
      </c>
      <c r="H171" s="417">
        <v>0</v>
      </c>
      <c r="I171" s="417">
        <v>0</v>
      </c>
      <c r="J171" s="417">
        <v>0</v>
      </c>
      <c r="K171" s="417">
        <v>0</v>
      </c>
      <c r="L171" s="417">
        <v>0</v>
      </c>
      <c r="M171" s="417">
        <v>0</v>
      </c>
      <c r="N171" s="417">
        <v>0</v>
      </c>
      <c r="O171" s="417">
        <v>0</v>
      </c>
      <c r="P171" s="417">
        <v>0</v>
      </c>
      <c r="Q171" s="417">
        <v>0</v>
      </c>
      <c r="R171" s="417">
        <v>0</v>
      </c>
      <c r="S171" s="417">
        <v>0</v>
      </c>
      <c r="T171" s="417">
        <v>0</v>
      </c>
      <c r="U171" s="417">
        <v>0</v>
      </c>
      <c r="V171" s="417">
        <v>0</v>
      </c>
      <c r="W171" s="417">
        <v>0</v>
      </c>
      <c r="X171" s="417">
        <v>0</v>
      </c>
      <c r="Y171" s="417">
        <v>0</v>
      </c>
      <c r="Z171" s="417">
        <v>0</v>
      </c>
      <c r="AA171" s="417">
        <v>0</v>
      </c>
      <c r="AB171" s="417">
        <v>0</v>
      </c>
      <c r="AC171" s="417">
        <v>0</v>
      </c>
      <c r="AD171" s="417">
        <v>0</v>
      </c>
      <c r="AE171" s="417">
        <v>0</v>
      </c>
      <c r="AF171" s="417">
        <v>0</v>
      </c>
      <c r="AG171" s="417">
        <v>0</v>
      </c>
      <c r="AH171" s="417">
        <v>0</v>
      </c>
    </row>
    <row r="172" spans="1:34" s="75" customFormat="1" ht="13.15" customHeight="1" x14ac:dyDescent="0.2">
      <c r="A172" s="415" t="s">
        <v>1123</v>
      </c>
      <c r="B172" s="78"/>
      <c r="C172" s="78"/>
      <c r="D172" s="417">
        <f>SUM(E172:AH172)</f>
        <v>-1880.5041443999999</v>
      </c>
      <c r="E172" s="417">
        <f>-E107/1000</f>
        <v>-38.377635600000005</v>
      </c>
      <c r="F172" s="417">
        <f t="shared" ref="F172:AH172" si="12">-F107/1000</f>
        <v>-38.377635600000005</v>
      </c>
      <c r="G172" s="417">
        <f t="shared" si="12"/>
        <v>-38.377635600000005</v>
      </c>
      <c r="H172" s="417">
        <f t="shared" si="12"/>
        <v>-38.377635600000005</v>
      </c>
      <c r="I172" s="417">
        <f t="shared" si="12"/>
        <v>-38.377635600000005</v>
      </c>
      <c r="J172" s="417">
        <f t="shared" si="12"/>
        <v>-38.377635600000005</v>
      </c>
      <c r="K172" s="417">
        <f t="shared" si="12"/>
        <v>-38.377635600000005</v>
      </c>
      <c r="L172" s="417">
        <f t="shared" si="12"/>
        <v>-38.377635600000005</v>
      </c>
      <c r="M172" s="417">
        <f t="shared" si="12"/>
        <v>-38.377635600000005</v>
      </c>
      <c r="N172" s="417">
        <f t="shared" si="12"/>
        <v>-38.377635600000005</v>
      </c>
      <c r="O172" s="417">
        <f t="shared" si="12"/>
        <v>-69.079744079999998</v>
      </c>
      <c r="P172" s="417">
        <f t="shared" si="12"/>
        <v>-69.079744079999998</v>
      </c>
      <c r="Q172" s="417">
        <f t="shared" si="12"/>
        <v>-69.079744079999998</v>
      </c>
      <c r="R172" s="417">
        <f t="shared" si="12"/>
        <v>-69.079744079999998</v>
      </c>
      <c r="S172" s="417">
        <f t="shared" si="12"/>
        <v>-69.079744079999998</v>
      </c>
      <c r="T172" s="417">
        <f t="shared" si="12"/>
        <v>-69.079744079999998</v>
      </c>
      <c r="U172" s="417">
        <f t="shared" si="12"/>
        <v>-69.079744079999998</v>
      </c>
      <c r="V172" s="417">
        <f t="shared" si="12"/>
        <v>-69.079744079999998</v>
      </c>
      <c r="W172" s="417">
        <f t="shared" si="12"/>
        <v>-69.079744079999998</v>
      </c>
      <c r="X172" s="417">
        <f t="shared" si="12"/>
        <v>-69.079744079999998</v>
      </c>
      <c r="Y172" s="417">
        <f t="shared" si="12"/>
        <v>-99.781852560000004</v>
      </c>
      <c r="Z172" s="417">
        <f t="shared" si="12"/>
        <v>-99.781852560000004</v>
      </c>
      <c r="AA172" s="417">
        <f t="shared" si="12"/>
        <v>-99.781852560000004</v>
      </c>
      <c r="AB172" s="417">
        <f t="shared" si="12"/>
        <v>-99.781852560000004</v>
      </c>
      <c r="AC172" s="417">
        <f t="shared" si="12"/>
        <v>-99.781852560000004</v>
      </c>
      <c r="AD172" s="417">
        <f t="shared" si="12"/>
        <v>-61.404216959999658</v>
      </c>
      <c r="AE172" s="417">
        <f t="shared" si="12"/>
        <v>-61.404216960000007</v>
      </c>
      <c r="AF172" s="417">
        <f t="shared" si="12"/>
        <v>-61.404216960000007</v>
      </c>
      <c r="AG172" s="417">
        <f t="shared" si="12"/>
        <v>-61.404216960000007</v>
      </c>
      <c r="AH172" s="417">
        <f t="shared" si="12"/>
        <v>-61.404216960000007</v>
      </c>
    </row>
    <row r="173" spans="1:34" s="75" customFormat="1" ht="13.15" customHeight="1" x14ac:dyDescent="0.2">
      <c r="A173" s="375" t="s">
        <v>1124</v>
      </c>
      <c r="B173" s="379"/>
      <c r="C173" s="379"/>
      <c r="D173" s="376">
        <f>SUM(D170:D172)</f>
        <v>614.04216960000031</v>
      </c>
      <c r="E173" s="380">
        <f t="shared" ref="E173:AH173" si="13">SUM(E169:E172)</f>
        <v>921.06325440000001</v>
      </c>
      <c r="F173" s="380">
        <f t="shared" si="13"/>
        <v>882.68561880000004</v>
      </c>
      <c r="G173" s="380">
        <f t="shared" si="13"/>
        <v>844.30798320000008</v>
      </c>
      <c r="H173" s="380">
        <f t="shared" si="13"/>
        <v>805.93034760000012</v>
      </c>
      <c r="I173" s="380">
        <f t="shared" si="13"/>
        <v>767.55271200000016</v>
      </c>
      <c r="J173" s="380">
        <f t="shared" si="13"/>
        <v>729.17507640000019</v>
      </c>
      <c r="K173" s="380">
        <f t="shared" si="13"/>
        <v>690.79744080000023</v>
      </c>
      <c r="L173" s="380">
        <f t="shared" si="13"/>
        <v>652.41980520000027</v>
      </c>
      <c r="M173" s="380">
        <f t="shared" si="13"/>
        <v>614.04216960000031</v>
      </c>
      <c r="N173" s="380">
        <f t="shared" si="13"/>
        <v>575.66453400000034</v>
      </c>
      <c r="O173" s="380">
        <f t="shared" si="13"/>
        <v>1274.1375019200004</v>
      </c>
      <c r="P173" s="380">
        <f t="shared" si="13"/>
        <v>1205.0577578400005</v>
      </c>
      <c r="Q173" s="380">
        <f t="shared" si="13"/>
        <v>1135.9780137600005</v>
      </c>
      <c r="R173" s="380">
        <f t="shared" si="13"/>
        <v>1066.8982696800006</v>
      </c>
      <c r="S173" s="380">
        <f t="shared" si="13"/>
        <v>997.81852560000061</v>
      </c>
      <c r="T173" s="380">
        <f t="shared" si="13"/>
        <v>928.73878152000066</v>
      </c>
      <c r="U173" s="380">
        <f t="shared" si="13"/>
        <v>859.6590374400007</v>
      </c>
      <c r="V173" s="380">
        <f t="shared" si="13"/>
        <v>790.57929336000075</v>
      </c>
      <c r="W173" s="380">
        <f t="shared" si="13"/>
        <v>721.49954928000079</v>
      </c>
      <c r="X173" s="380">
        <f t="shared" si="13"/>
        <v>652.41980520000084</v>
      </c>
      <c r="Y173" s="380">
        <f t="shared" si="13"/>
        <v>1320.1906646400007</v>
      </c>
      <c r="Z173" s="380">
        <f t="shared" si="13"/>
        <v>1220.4088120800006</v>
      </c>
      <c r="AA173" s="380">
        <f t="shared" si="13"/>
        <v>1120.6269595200006</v>
      </c>
      <c r="AB173" s="380">
        <f t="shared" si="13"/>
        <v>1020.8451069600005</v>
      </c>
      <c r="AC173" s="380">
        <f t="shared" si="13"/>
        <v>921.06325440000046</v>
      </c>
      <c r="AD173" s="380">
        <f t="shared" si="13"/>
        <v>859.65903744000082</v>
      </c>
      <c r="AE173" s="380">
        <f t="shared" si="13"/>
        <v>798.25482048000083</v>
      </c>
      <c r="AF173" s="380">
        <f t="shared" si="13"/>
        <v>736.85060352000085</v>
      </c>
      <c r="AG173" s="380">
        <f t="shared" si="13"/>
        <v>675.44638656000086</v>
      </c>
      <c r="AH173" s="380">
        <f t="shared" si="13"/>
        <v>614.04216960000088</v>
      </c>
    </row>
    <row r="174" spans="1:34" s="75" customFormat="1" ht="13.15" customHeight="1" x14ac:dyDescent="0.2">
      <c r="A174" s="415"/>
      <c r="B174" s="78"/>
      <c r="C174" s="78"/>
      <c r="D174" s="414"/>
      <c r="E174" s="414"/>
      <c r="F174" s="414"/>
      <c r="G174" s="414"/>
      <c r="H174" s="414"/>
      <c r="I174" s="414"/>
      <c r="J174" s="414"/>
      <c r="K174" s="414"/>
      <c r="L174" s="414"/>
      <c r="M174" s="414"/>
      <c r="N174" s="414"/>
      <c r="O174" s="414"/>
      <c r="P174" s="414"/>
      <c r="Q174" s="414"/>
      <c r="R174" s="414"/>
      <c r="S174" s="414"/>
      <c r="T174" s="414"/>
      <c r="U174" s="414"/>
      <c r="V174" s="414"/>
      <c r="W174" s="414"/>
      <c r="X174" s="414"/>
      <c r="Y174" s="414"/>
      <c r="Z174" s="414"/>
      <c r="AA174" s="414"/>
      <c r="AB174" s="414"/>
      <c r="AC174" s="414"/>
      <c r="AD174" s="414"/>
      <c r="AE174" s="414"/>
      <c r="AF174" s="414"/>
      <c r="AG174" s="414"/>
      <c r="AH174" s="415"/>
    </row>
    <row r="175" spans="1:34" s="75" customFormat="1" ht="13.15" customHeight="1" x14ac:dyDescent="0.2">
      <c r="A175" s="373" t="s">
        <v>1082</v>
      </c>
      <c r="B175" s="78"/>
      <c r="C175" s="78"/>
      <c r="D175" s="414"/>
      <c r="E175" s="414"/>
      <c r="F175" s="414"/>
      <c r="G175" s="414"/>
      <c r="H175" s="414"/>
      <c r="I175" s="414"/>
      <c r="J175" s="414"/>
      <c r="K175" s="414"/>
      <c r="L175" s="414"/>
      <c r="M175" s="414"/>
      <c r="N175" s="414"/>
      <c r="O175" s="414"/>
      <c r="P175" s="414"/>
      <c r="Q175" s="414"/>
      <c r="R175" s="414"/>
      <c r="S175" s="414"/>
      <c r="T175" s="414"/>
      <c r="U175" s="414"/>
      <c r="V175" s="414"/>
      <c r="W175" s="414"/>
      <c r="X175" s="414"/>
      <c r="Y175" s="414"/>
      <c r="Z175" s="414"/>
      <c r="AA175" s="414"/>
      <c r="AB175" s="414"/>
      <c r="AC175" s="414"/>
      <c r="AD175" s="414"/>
      <c r="AE175" s="414"/>
      <c r="AF175" s="414"/>
      <c r="AG175" s="414"/>
      <c r="AH175" s="415"/>
    </row>
    <row r="176" spans="1:34" s="75" customFormat="1" ht="13.15" customHeight="1" x14ac:dyDescent="0.2">
      <c r="A176" s="523" t="s">
        <v>1101</v>
      </c>
      <c r="B176" s="78"/>
      <c r="C176" s="78"/>
      <c r="D176" s="414"/>
      <c r="E176" s="414"/>
      <c r="F176" s="414"/>
      <c r="G176" s="414"/>
      <c r="H176" s="414"/>
      <c r="I176" s="414"/>
      <c r="J176" s="414"/>
      <c r="K176" s="414"/>
      <c r="L176" s="414"/>
      <c r="M176" s="414"/>
      <c r="N176" s="414"/>
      <c r="O176" s="414"/>
      <c r="P176" s="414"/>
      <c r="Q176" s="414"/>
      <c r="R176" s="414"/>
      <c r="S176" s="414"/>
      <c r="T176" s="414"/>
      <c r="U176" s="414"/>
      <c r="V176" s="414"/>
      <c r="W176" s="414"/>
      <c r="X176" s="414"/>
      <c r="Y176" s="414"/>
      <c r="Z176" s="414"/>
      <c r="AA176" s="414"/>
      <c r="AB176" s="414"/>
      <c r="AC176" s="414"/>
      <c r="AD176" s="414"/>
      <c r="AE176" s="414"/>
      <c r="AF176" s="414"/>
      <c r="AG176" s="414"/>
      <c r="AH176" s="415"/>
    </row>
    <row r="178" spans="1:34" s="75" customFormat="1" ht="13.15" customHeight="1" x14ac:dyDescent="0.2">
      <c r="A178" s="381" t="s">
        <v>1054</v>
      </c>
      <c r="B178" s="382"/>
      <c r="C178" s="382"/>
      <c r="D178" s="534"/>
      <c r="E178" s="383">
        <v>1</v>
      </c>
      <c r="F178" s="383">
        <v>2</v>
      </c>
      <c r="G178" s="383">
        <v>3</v>
      </c>
      <c r="H178" s="383">
        <v>4</v>
      </c>
      <c r="I178" s="383">
        <v>5</v>
      </c>
      <c r="J178" s="383">
        <v>6</v>
      </c>
      <c r="K178" s="383">
        <v>7</v>
      </c>
      <c r="L178" s="383">
        <v>8</v>
      </c>
      <c r="M178" s="383">
        <v>9</v>
      </c>
      <c r="N178" s="383">
        <v>10</v>
      </c>
      <c r="O178" s="383">
        <v>11</v>
      </c>
      <c r="P178" s="383">
        <v>12</v>
      </c>
      <c r="Q178" s="383">
        <v>13</v>
      </c>
      <c r="R178" s="383">
        <v>14</v>
      </c>
      <c r="S178" s="383">
        <v>15</v>
      </c>
      <c r="T178" s="383">
        <v>16</v>
      </c>
      <c r="U178" s="383">
        <v>17</v>
      </c>
      <c r="V178" s="383">
        <v>18</v>
      </c>
      <c r="W178" s="383">
        <v>19</v>
      </c>
      <c r="X178" s="383">
        <v>20</v>
      </c>
      <c r="Y178" s="383">
        <v>21</v>
      </c>
      <c r="Z178" s="383">
        <v>22</v>
      </c>
      <c r="AA178" s="383">
        <v>23</v>
      </c>
      <c r="AB178" s="383">
        <v>24</v>
      </c>
      <c r="AC178" s="383">
        <v>25</v>
      </c>
      <c r="AD178" s="383">
        <v>26</v>
      </c>
      <c r="AE178" s="383">
        <v>27</v>
      </c>
      <c r="AF178" s="383">
        <v>28</v>
      </c>
      <c r="AG178" s="383">
        <v>29</v>
      </c>
      <c r="AH178" s="383">
        <v>30</v>
      </c>
    </row>
    <row r="179" spans="1:34" s="75" customFormat="1" ht="13.15" customHeight="1" x14ac:dyDescent="0.2">
      <c r="A179" s="415" t="s">
        <v>1120</v>
      </c>
      <c r="B179" s="78"/>
      <c r="C179" s="78"/>
      <c r="D179" s="414"/>
      <c r="E179" s="414">
        <v>0</v>
      </c>
      <c r="F179" s="417">
        <f>E183</f>
        <v>553.5</v>
      </c>
      <c r="G179" s="417">
        <f t="shared" ref="G179:AH179" si="14">F183</f>
        <v>492</v>
      </c>
      <c r="H179" s="417">
        <f t="shared" si="14"/>
        <v>430.5</v>
      </c>
      <c r="I179" s="417">
        <f t="shared" si="14"/>
        <v>369</v>
      </c>
      <c r="J179" s="417">
        <f t="shared" si="14"/>
        <v>307.5</v>
      </c>
      <c r="K179" s="417">
        <f t="shared" si="14"/>
        <v>250.5</v>
      </c>
      <c r="L179" s="417">
        <f t="shared" si="14"/>
        <v>188.5</v>
      </c>
      <c r="M179" s="417">
        <f t="shared" si="14"/>
        <v>126.5</v>
      </c>
      <c r="N179" s="417">
        <f t="shared" si="14"/>
        <v>64.5</v>
      </c>
      <c r="O179" s="417">
        <f t="shared" si="14"/>
        <v>2.5</v>
      </c>
      <c r="P179" s="417">
        <f t="shared" si="14"/>
        <v>6.5</v>
      </c>
      <c r="Q179" s="417">
        <f t="shared" si="14"/>
        <v>5.5</v>
      </c>
      <c r="R179" s="417">
        <f t="shared" si="14"/>
        <v>4.5</v>
      </c>
      <c r="S179" s="417">
        <f t="shared" si="14"/>
        <v>3.5</v>
      </c>
      <c r="T179" s="417">
        <f t="shared" si="14"/>
        <v>2.5</v>
      </c>
      <c r="U179" s="417">
        <f t="shared" si="14"/>
        <v>6.5</v>
      </c>
      <c r="V179" s="417">
        <f t="shared" si="14"/>
        <v>5.5</v>
      </c>
      <c r="W179" s="417">
        <f t="shared" si="14"/>
        <v>4.5</v>
      </c>
      <c r="X179" s="417">
        <f t="shared" si="14"/>
        <v>3.5</v>
      </c>
      <c r="Y179" s="417">
        <f t="shared" si="14"/>
        <v>2.5</v>
      </c>
      <c r="Z179" s="417">
        <f t="shared" si="14"/>
        <v>6.5</v>
      </c>
      <c r="AA179" s="417">
        <f t="shared" si="14"/>
        <v>5.5</v>
      </c>
      <c r="AB179" s="417">
        <f t="shared" si="14"/>
        <v>4.5</v>
      </c>
      <c r="AC179" s="417">
        <f t="shared" si="14"/>
        <v>3.5</v>
      </c>
      <c r="AD179" s="417">
        <f t="shared" si="14"/>
        <v>2.5</v>
      </c>
      <c r="AE179" s="417">
        <f t="shared" si="14"/>
        <v>6.5</v>
      </c>
      <c r="AF179" s="417">
        <f t="shared" si="14"/>
        <v>5.5</v>
      </c>
      <c r="AG179" s="417">
        <f t="shared" si="14"/>
        <v>4.5</v>
      </c>
      <c r="AH179" s="417">
        <f t="shared" si="14"/>
        <v>3.5</v>
      </c>
    </row>
    <row r="180" spans="1:34" s="75" customFormat="1" ht="13.15" customHeight="1" x14ac:dyDescent="0.2">
      <c r="A180" s="415" t="s">
        <v>1121</v>
      </c>
      <c r="B180" s="78"/>
      <c r="C180" s="78"/>
      <c r="D180" s="417">
        <f>SUM(E180:AH180)</f>
        <v>640</v>
      </c>
      <c r="E180" s="417">
        <f>SUMIFS('14 - Investimentos'!E:E,'14 - Investimentos'!$B:$B,'15 - Depreciação'!$A$176)/1000</f>
        <v>615</v>
      </c>
      <c r="F180" s="417">
        <f>SUMIFS('14 - Investimentos'!F:F,'14 - Investimentos'!$B:$B,'15 - Depreciação'!$A$176)/1000</f>
        <v>0</v>
      </c>
      <c r="G180" s="417">
        <f>SUMIFS('14 - Investimentos'!G:G,'14 - Investimentos'!$B:$B,'15 - Depreciação'!$A$176)/1000</f>
        <v>0</v>
      </c>
      <c r="H180" s="417">
        <f>SUMIFS('14 - Investimentos'!H:H,'14 - Investimentos'!$B:$B,'15 - Depreciação'!$A$176)/1000</f>
        <v>0</v>
      </c>
      <c r="I180" s="417">
        <f>SUMIFS('14 - Investimentos'!I:I,'14 - Investimentos'!$B:$B,'15 - Depreciação'!$A$176)/1000</f>
        <v>0</v>
      </c>
      <c r="J180" s="417">
        <f>SUMIFS('14 - Investimentos'!J:J,'14 - Investimentos'!$B:$B,'15 - Depreciação'!$A$176)/1000</f>
        <v>5</v>
      </c>
      <c r="K180" s="417">
        <f>SUMIFS('14 - Investimentos'!K:K,'14 - Investimentos'!$B:$B,'15 - Depreciação'!$A$176)/1000</f>
        <v>0</v>
      </c>
      <c r="L180" s="417">
        <f>SUMIFS('14 - Investimentos'!L:L,'14 - Investimentos'!$B:$B,'15 - Depreciação'!$A$176)/1000</f>
        <v>0</v>
      </c>
      <c r="M180" s="417">
        <f>SUMIFS('14 - Investimentos'!M:M,'14 - Investimentos'!$B:$B,'15 - Depreciação'!$A$176)/1000</f>
        <v>0</v>
      </c>
      <c r="N180" s="417">
        <f>SUMIFS('14 - Investimentos'!N:N,'14 - Investimentos'!$B:$B,'15 - Depreciação'!$A$176)/1000</f>
        <v>0</v>
      </c>
      <c r="O180" s="417">
        <f>SUMIFS('14 - Investimentos'!O:O,'14 - Investimentos'!$B:$B,'15 - Depreciação'!$A$176)/1000</f>
        <v>5</v>
      </c>
      <c r="P180" s="417">
        <f>SUMIFS('14 - Investimentos'!P:P,'14 - Investimentos'!$B:$B,'15 - Depreciação'!$A$176)/1000</f>
        <v>0</v>
      </c>
      <c r="Q180" s="417">
        <f>SUMIFS('14 - Investimentos'!Q:Q,'14 - Investimentos'!$B:$B,'15 - Depreciação'!$A$176)/1000</f>
        <v>0</v>
      </c>
      <c r="R180" s="417">
        <f>SUMIFS('14 - Investimentos'!R:R,'14 - Investimentos'!$B:$B,'15 - Depreciação'!$A$176)/1000</f>
        <v>0</v>
      </c>
      <c r="S180" s="417">
        <f>SUMIFS('14 - Investimentos'!S:S,'14 - Investimentos'!$B:$B,'15 - Depreciação'!$A$176)/1000</f>
        <v>0</v>
      </c>
      <c r="T180" s="417">
        <f>SUMIFS('14 - Investimentos'!T:T,'14 - Investimentos'!$B:$B,'15 - Depreciação'!$A$176)/1000</f>
        <v>5</v>
      </c>
      <c r="U180" s="417">
        <f>SUMIFS('14 - Investimentos'!U:U,'14 - Investimentos'!$B:$B,'15 - Depreciação'!$A$176)/1000</f>
        <v>0</v>
      </c>
      <c r="V180" s="417">
        <f>SUMIFS('14 - Investimentos'!V:V,'14 - Investimentos'!$B:$B,'15 - Depreciação'!$A$176)/1000</f>
        <v>0</v>
      </c>
      <c r="W180" s="417">
        <f>SUMIFS('14 - Investimentos'!W:W,'14 - Investimentos'!$B:$B,'15 - Depreciação'!$A$176)/1000</f>
        <v>0</v>
      </c>
      <c r="X180" s="417">
        <f>SUMIFS('14 - Investimentos'!X:X,'14 - Investimentos'!$B:$B,'15 - Depreciação'!$A$176)/1000</f>
        <v>0</v>
      </c>
      <c r="Y180" s="417">
        <f>SUMIFS('14 - Investimentos'!Y:Y,'14 - Investimentos'!$B:$B,'15 - Depreciação'!$A$176)/1000</f>
        <v>5</v>
      </c>
      <c r="Z180" s="417">
        <f>SUMIFS('14 - Investimentos'!Z:Z,'14 - Investimentos'!$B:$B,'15 - Depreciação'!$A$176)/1000</f>
        <v>0</v>
      </c>
      <c r="AA180" s="417">
        <f>SUMIFS('14 - Investimentos'!AA:AA,'14 - Investimentos'!$B:$B,'15 - Depreciação'!$A$176)/1000</f>
        <v>0</v>
      </c>
      <c r="AB180" s="417">
        <f>SUMIFS('14 - Investimentos'!AB:AB,'14 - Investimentos'!$B:$B,'15 - Depreciação'!$A$176)/1000</f>
        <v>0</v>
      </c>
      <c r="AC180" s="417">
        <f>SUMIFS('14 - Investimentos'!AC:AC,'14 - Investimentos'!$B:$B,'15 - Depreciação'!$A$176)/1000</f>
        <v>0</v>
      </c>
      <c r="AD180" s="417">
        <f>SUMIFS('14 - Investimentos'!AD:AD,'14 - Investimentos'!$B:$B,'15 - Depreciação'!$A$176)/1000</f>
        <v>5</v>
      </c>
      <c r="AE180" s="417">
        <f>SUMIFS('14 - Investimentos'!AE:AE,'14 - Investimentos'!$B:$B,'15 - Depreciação'!$A$176)/1000</f>
        <v>0</v>
      </c>
      <c r="AF180" s="417">
        <f>SUMIFS('14 - Investimentos'!AF:AF,'14 - Investimentos'!$B:$B,'15 - Depreciação'!$A$176)/1000</f>
        <v>0</v>
      </c>
      <c r="AG180" s="417">
        <f>SUMIFS('14 - Investimentos'!AG:AG,'14 - Investimentos'!$B:$B,'15 - Depreciação'!$A$176)/1000</f>
        <v>0</v>
      </c>
      <c r="AH180" s="417">
        <f>SUMIFS('14 - Investimentos'!AH:AH,'14 - Investimentos'!$B:$B,'15 - Depreciação'!$A$176)/1000</f>
        <v>0</v>
      </c>
    </row>
    <row r="181" spans="1:34" s="75" customFormat="1" ht="13.15" customHeight="1" x14ac:dyDescent="0.2">
      <c r="A181" s="415" t="s">
        <v>1122</v>
      </c>
      <c r="B181" s="78"/>
      <c r="C181" s="78"/>
      <c r="D181" s="417">
        <f>SUM(E181:AH181)</f>
        <v>0</v>
      </c>
      <c r="E181" s="417">
        <v>0</v>
      </c>
      <c r="F181" s="417">
        <v>0</v>
      </c>
      <c r="G181" s="417">
        <v>0</v>
      </c>
      <c r="H181" s="417">
        <v>0</v>
      </c>
      <c r="I181" s="417">
        <v>0</v>
      </c>
      <c r="J181" s="417">
        <v>0</v>
      </c>
      <c r="K181" s="417">
        <v>0</v>
      </c>
      <c r="L181" s="417">
        <v>0</v>
      </c>
      <c r="M181" s="417">
        <v>0</v>
      </c>
      <c r="N181" s="417">
        <v>0</v>
      </c>
      <c r="O181" s="417">
        <v>0</v>
      </c>
      <c r="P181" s="417">
        <v>0</v>
      </c>
      <c r="Q181" s="417">
        <v>0</v>
      </c>
      <c r="R181" s="417">
        <v>0</v>
      </c>
      <c r="S181" s="417">
        <v>0</v>
      </c>
      <c r="T181" s="417">
        <v>0</v>
      </c>
      <c r="U181" s="417">
        <v>0</v>
      </c>
      <c r="V181" s="417">
        <v>0</v>
      </c>
      <c r="W181" s="417">
        <v>0</v>
      </c>
      <c r="X181" s="417">
        <v>0</v>
      </c>
      <c r="Y181" s="417">
        <v>0</v>
      </c>
      <c r="Z181" s="417">
        <v>0</v>
      </c>
      <c r="AA181" s="417">
        <v>0</v>
      </c>
      <c r="AB181" s="417">
        <v>0</v>
      </c>
      <c r="AC181" s="417">
        <v>0</v>
      </c>
      <c r="AD181" s="417">
        <v>0</v>
      </c>
      <c r="AE181" s="417">
        <v>0</v>
      </c>
      <c r="AF181" s="417">
        <v>0</v>
      </c>
      <c r="AG181" s="417">
        <v>0</v>
      </c>
      <c r="AH181" s="417">
        <v>0</v>
      </c>
    </row>
    <row r="182" spans="1:34" s="75" customFormat="1" ht="13.15" customHeight="1" x14ac:dyDescent="0.2">
      <c r="A182" s="415" t="s">
        <v>1123</v>
      </c>
      <c r="B182" s="78"/>
      <c r="C182" s="78"/>
      <c r="D182" s="417">
        <f>SUM(E182:AH182)</f>
        <v>-637.5</v>
      </c>
      <c r="E182" s="417">
        <f>-E143/1000</f>
        <v>-61.5</v>
      </c>
      <c r="F182" s="417">
        <f t="shared" ref="F182:AH182" si="15">-F143/1000</f>
        <v>-61.5</v>
      </c>
      <c r="G182" s="417">
        <f t="shared" si="15"/>
        <v>-61.5</v>
      </c>
      <c r="H182" s="417">
        <f t="shared" si="15"/>
        <v>-61.5</v>
      </c>
      <c r="I182" s="417">
        <f t="shared" si="15"/>
        <v>-61.5</v>
      </c>
      <c r="J182" s="417">
        <f t="shared" si="15"/>
        <v>-62</v>
      </c>
      <c r="K182" s="417">
        <f t="shared" si="15"/>
        <v>-62</v>
      </c>
      <c r="L182" s="417">
        <f t="shared" si="15"/>
        <v>-62</v>
      </c>
      <c r="M182" s="417">
        <f t="shared" si="15"/>
        <v>-62</v>
      </c>
      <c r="N182" s="417">
        <f t="shared" si="15"/>
        <v>-62</v>
      </c>
      <c r="O182" s="417">
        <f t="shared" si="15"/>
        <v>-1</v>
      </c>
      <c r="P182" s="417">
        <f t="shared" si="15"/>
        <v>-1</v>
      </c>
      <c r="Q182" s="417">
        <f t="shared" si="15"/>
        <v>-1</v>
      </c>
      <c r="R182" s="417">
        <f t="shared" si="15"/>
        <v>-1</v>
      </c>
      <c r="S182" s="417">
        <f t="shared" si="15"/>
        <v>-1</v>
      </c>
      <c r="T182" s="417">
        <f t="shared" si="15"/>
        <v>-1</v>
      </c>
      <c r="U182" s="417">
        <f t="shared" si="15"/>
        <v>-1</v>
      </c>
      <c r="V182" s="417">
        <f t="shared" si="15"/>
        <v>-1</v>
      </c>
      <c r="W182" s="417">
        <f t="shared" si="15"/>
        <v>-1</v>
      </c>
      <c r="X182" s="417">
        <f t="shared" si="15"/>
        <v>-1</v>
      </c>
      <c r="Y182" s="417">
        <f t="shared" si="15"/>
        <v>-1</v>
      </c>
      <c r="Z182" s="417">
        <f t="shared" si="15"/>
        <v>-1</v>
      </c>
      <c r="AA182" s="417">
        <f t="shared" si="15"/>
        <v>-1</v>
      </c>
      <c r="AB182" s="417">
        <f t="shared" si="15"/>
        <v>-1</v>
      </c>
      <c r="AC182" s="417">
        <f t="shared" si="15"/>
        <v>-1</v>
      </c>
      <c r="AD182" s="417">
        <f t="shared" si="15"/>
        <v>-1</v>
      </c>
      <c r="AE182" s="417">
        <f t="shared" si="15"/>
        <v>-1</v>
      </c>
      <c r="AF182" s="417">
        <f t="shared" si="15"/>
        <v>-1</v>
      </c>
      <c r="AG182" s="417">
        <f t="shared" si="15"/>
        <v>-1</v>
      </c>
      <c r="AH182" s="417">
        <f t="shared" si="15"/>
        <v>-1</v>
      </c>
    </row>
    <row r="183" spans="1:34" s="75" customFormat="1" ht="13.15" customHeight="1" x14ac:dyDescent="0.2">
      <c r="A183" s="375" t="s">
        <v>1124</v>
      </c>
      <c r="B183" s="379"/>
      <c r="C183" s="379"/>
      <c r="D183" s="376">
        <f>SUM(D180:D182)</f>
        <v>2.5</v>
      </c>
      <c r="E183" s="380">
        <f t="shared" ref="E183:AH183" si="16">SUM(E179:E182)</f>
        <v>553.5</v>
      </c>
      <c r="F183" s="380">
        <f t="shared" si="16"/>
        <v>492</v>
      </c>
      <c r="G183" s="380">
        <f t="shared" si="16"/>
        <v>430.5</v>
      </c>
      <c r="H183" s="380">
        <f t="shared" si="16"/>
        <v>369</v>
      </c>
      <c r="I183" s="380">
        <f t="shared" si="16"/>
        <v>307.5</v>
      </c>
      <c r="J183" s="380">
        <f t="shared" si="16"/>
        <v>250.5</v>
      </c>
      <c r="K183" s="380">
        <f t="shared" si="16"/>
        <v>188.5</v>
      </c>
      <c r="L183" s="380">
        <f t="shared" si="16"/>
        <v>126.5</v>
      </c>
      <c r="M183" s="380">
        <f t="shared" si="16"/>
        <v>64.5</v>
      </c>
      <c r="N183" s="380">
        <f t="shared" si="16"/>
        <v>2.5</v>
      </c>
      <c r="O183" s="380">
        <f t="shared" si="16"/>
        <v>6.5</v>
      </c>
      <c r="P183" s="380">
        <f t="shared" si="16"/>
        <v>5.5</v>
      </c>
      <c r="Q183" s="380">
        <f t="shared" si="16"/>
        <v>4.5</v>
      </c>
      <c r="R183" s="380">
        <f t="shared" si="16"/>
        <v>3.5</v>
      </c>
      <c r="S183" s="380">
        <f t="shared" si="16"/>
        <v>2.5</v>
      </c>
      <c r="T183" s="380">
        <f t="shared" si="16"/>
        <v>6.5</v>
      </c>
      <c r="U183" s="380">
        <f t="shared" si="16"/>
        <v>5.5</v>
      </c>
      <c r="V183" s="380">
        <f t="shared" si="16"/>
        <v>4.5</v>
      </c>
      <c r="W183" s="380">
        <f t="shared" si="16"/>
        <v>3.5</v>
      </c>
      <c r="X183" s="380">
        <f t="shared" si="16"/>
        <v>2.5</v>
      </c>
      <c r="Y183" s="380">
        <f t="shared" si="16"/>
        <v>6.5</v>
      </c>
      <c r="Z183" s="380">
        <f t="shared" si="16"/>
        <v>5.5</v>
      </c>
      <c r="AA183" s="380">
        <f t="shared" si="16"/>
        <v>4.5</v>
      </c>
      <c r="AB183" s="380">
        <f t="shared" si="16"/>
        <v>3.5</v>
      </c>
      <c r="AC183" s="380">
        <f t="shared" si="16"/>
        <v>2.5</v>
      </c>
      <c r="AD183" s="380">
        <f t="shared" si="16"/>
        <v>6.5</v>
      </c>
      <c r="AE183" s="380">
        <f t="shared" si="16"/>
        <v>5.5</v>
      </c>
      <c r="AF183" s="380">
        <f t="shared" si="16"/>
        <v>4.5</v>
      </c>
      <c r="AG183" s="380">
        <f t="shared" si="16"/>
        <v>3.5</v>
      </c>
      <c r="AH183" s="380">
        <f t="shared" si="16"/>
        <v>2.5</v>
      </c>
    </row>
    <row r="184" spans="1:34" s="75" customFormat="1" ht="13.15" customHeight="1" x14ac:dyDescent="0.2">
      <c r="A184" s="415"/>
      <c r="B184" s="78"/>
      <c r="C184" s="78"/>
      <c r="D184" s="414"/>
      <c r="E184" s="414"/>
      <c r="F184" s="414"/>
      <c r="G184" s="414"/>
      <c r="H184" s="414"/>
      <c r="I184" s="414"/>
      <c r="J184" s="414"/>
      <c r="K184" s="414"/>
      <c r="L184" s="414"/>
      <c r="M184" s="414"/>
      <c r="N184" s="414"/>
      <c r="O184" s="414"/>
      <c r="P184" s="414"/>
      <c r="Q184" s="414"/>
      <c r="R184" s="414"/>
      <c r="S184" s="414"/>
      <c r="T184" s="414"/>
      <c r="U184" s="414"/>
      <c r="V184" s="414"/>
      <c r="W184" s="414"/>
      <c r="X184" s="414"/>
      <c r="Y184" s="414"/>
      <c r="Z184" s="414"/>
      <c r="AA184" s="414"/>
      <c r="AB184" s="414"/>
      <c r="AC184" s="414"/>
      <c r="AD184" s="414"/>
      <c r="AE184" s="414"/>
      <c r="AF184" s="414"/>
      <c r="AG184" s="414"/>
      <c r="AH184" s="415"/>
    </row>
    <row r="185" spans="1:34" s="75" customFormat="1" ht="13.15" customHeight="1" x14ac:dyDescent="0.2">
      <c r="A185" s="415"/>
      <c r="B185" s="78"/>
      <c r="C185" s="78"/>
      <c r="D185" s="414"/>
      <c r="E185" s="414"/>
      <c r="F185" s="414"/>
      <c r="G185" s="414"/>
      <c r="H185" s="414"/>
      <c r="I185" s="414"/>
      <c r="J185" s="414"/>
      <c r="K185" s="414"/>
      <c r="L185" s="414"/>
      <c r="M185" s="414"/>
      <c r="N185" s="414"/>
      <c r="O185" s="414"/>
      <c r="P185" s="414"/>
      <c r="Q185" s="414"/>
      <c r="R185" s="414"/>
      <c r="S185" s="414"/>
      <c r="T185" s="414"/>
      <c r="U185" s="414"/>
      <c r="V185" s="414"/>
      <c r="W185" s="414"/>
      <c r="X185" s="414"/>
      <c r="Y185" s="414"/>
      <c r="Z185" s="414"/>
      <c r="AA185" s="414"/>
      <c r="AB185" s="414"/>
      <c r="AC185" s="414"/>
      <c r="AD185" s="414"/>
      <c r="AE185" s="414"/>
      <c r="AF185" s="414"/>
      <c r="AG185" s="414"/>
      <c r="AH185" s="415"/>
    </row>
    <row r="186" spans="1:34" s="75" customFormat="1" ht="13.15" customHeight="1" x14ac:dyDescent="0.2">
      <c r="A186" s="384" t="s">
        <v>1125</v>
      </c>
      <c r="B186" s="382"/>
      <c r="C186" s="382"/>
      <c r="D186" s="534"/>
      <c r="E186" s="383">
        <v>1</v>
      </c>
      <c r="F186" s="383">
        <v>2</v>
      </c>
      <c r="G186" s="383">
        <v>3</v>
      </c>
      <c r="H186" s="383">
        <v>4</v>
      </c>
      <c r="I186" s="383">
        <v>5</v>
      </c>
      <c r="J186" s="383">
        <v>6</v>
      </c>
      <c r="K186" s="383">
        <v>7</v>
      </c>
      <c r="L186" s="383">
        <v>8</v>
      </c>
      <c r="M186" s="383">
        <v>9</v>
      </c>
      <c r="N186" s="383">
        <v>10</v>
      </c>
      <c r="O186" s="383">
        <v>11</v>
      </c>
      <c r="P186" s="383">
        <v>12</v>
      </c>
      <c r="Q186" s="383">
        <v>13</v>
      </c>
      <c r="R186" s="383">
        <v>14</v>
      </c>
      <c r="S186" s="383">
        <v>15</v>
      </c>
      <c r="T186" s="383">
        <v>16</v>
      </c>
      <c r="U186" s="383">
        <v>17</v>
      </c>
      <c r="V186" s="383">
        <v>18</v>
      </c>
      <c r="W186" s="383">
        <v>19</v>
      </c>
      <c r="X186" s="383">
        <v>20</v>
      </c>
      <c r="Y186" s="383">
        <v>21</v>
      </c>
      <c r="Z186" s="383">
        <v>22</v>
      </c>
      <c r="AA186" s="383">
        <v>23</v>
      </c>
      <c r="AB186" s="383">
        <v>24</v>
      </c>
      <c r="AC186" s="383">
        <v>25</v>
      </c>
      <c r="AD186" s="383">
        <v>26</v>
      </c>
      <c r="AE186" s="383">
        <v>27</v>
      </c>
      <c r="AF186" s="383">
        <v>28</v>
      </c>
      <c r="AG186" s="383">
        <v>29</v>
      </c>
      <c r="AH186" s="383">
        <v>30</v>
      </c>
    </row>
    <row r="187" spans="1:34" s="75" customFormat="1" ht="13.15" customHeight="1" x14ac:dyDescent="0.2">
      <c r="A187" s="415" t="s">
        <v>1126</v>
      </c>
      <c r="B187" s="78"/>
      <c r="C187" s="78"/>
      <c r="D187" s="414"/>
      <c r="E187" s="417">
        <f>-E151</f>
        <v>0</v>
      </c>
      <c r="F187" s="417">
        <f t="shared" ref="F187:AH187" si="17">-F151</f>
        <v>0</v>
      </c>
      <c r="G187" s="417">
        <f t="shared" si="17"/>
        <v>0</v>
      </c>
      <c r="H187" s="417">
        <f t="shared" si="17"/>
        <v>0</v>
      </c>
      <c r="I187" s="417">
        <f t="shared" si="17"/>
        <v>0</v>
      </c>
      <c r="J187" s="417">
        <f t="shared" si="17"/>
        <v>0</v>
      </c>
      <c r="K187" s="417">
        <f t="shared" si="17"/>
        <v>6360.7944659999994</v>
      </c>
      <c r="L187" s="417">
        <f t="shared" si="17"/>
        <v>0</v>
      </c>
      <c r="M187" s="417">
        <f t="shared" si="17"/>
        <v>0</v>
      </c>
      <c r="N187" s="417">
        <f t="shared" si="17"/>
        <v>0</v>
      </c>
      <c r="O187" s="417">
        <f t="shared" si="17"/>
        <v>217.00379999999998</v>
      </c>
      <c r="P187" s="417">
        <f t="shared" si="17"/>
        <v>248.88569999999999</v>
      </c>
      <c r="Q187" s="417">
        <f t="shared" si="17"/>
        <v>0</v>
      </c>
      <c r="R187" s="417">
        <f t="shared" si="17"/>
        <v>6387.540665999999</v>
      </c>
      <c r="S187" s="417">
        <f t="shared" si="17"/>
        <v>217.00379999999998</v>
      </c>
      <c r="T187" s="417">
        <f t="shared" si="17"/>
        <v>5.1356999999999999</v>
      </c>
      <c r="U187" s="417">
        <f t="shared" si="17"/>
        <v>0</v>
      </c>
      <c r="V187" s="417">
        <f t="shared" si="17"/>
        <v>0</v>
      </c>
      <c r="W187" s="417">
        <f t="shared" si="17"/>
        <v>460.75379999999996</v>
      </c>
      <c r="X187" s="417">
        <f t="shared" si="17"/>
        <v>5.1356999999999999</v>
      </c>
      <c r="Y187" s="417">
        <f t="shared" si="17"/>
        <v>6278.2284659999996</v>
      </c>
      <c r="Z187" s="417">
        <f t="shared" si="17"/>
        <v>0</v>
      </c>
      <c r="AA187" s="417">
        <f t="shared" si="17"/>
        <v>217.00379999999998</v>
      </c>
      <c r="AB187" s="417">
        <f t="shared" si="17"/>
        <v>5.1356999999999999</v>
      </c>
      <c r="AC187" s="417">
        <f t="shared" si="17"/>
        <v>0</v>
      </c>
      <c r="AD187" s="417">
        <f t="shared" si="17"/>
        <v>243.75</v>
      </c>
      <c r="AE187" s="417">
        <f t="shared" si="17"/>
        <v>217.00379999999998</v>
      </c>
      <c r="AF187" s="417">
        <f t="shared" si="17"/>
        <v>6283.3641660000003</v>
      </c>
      <c r="AG187" s="417">
        <f t="shared" si="17"/>
        <v>0</v>
      </c>
      <c r="AH187" s="417">
        <f t="shared" si="17"/>
        <v>0</v>
      </c>
    </row>
    <row r="188" spans="1:34" s="75" customFormat="1" ht="13.15" customHeight="1" x14ac:dyDescent="0.2">
      <c r="A188" s="415" t="s">
        <v>1127</v>
      </c>
      <c r="B188" s="78"/>
      <c r="C188" s="78"/>
      <c r="D188" s="162">
        <v>0.2</v>
      </c>
      <c r="E188" s="417">
        <f>-E151*$D$188</f>
        <v>0</v>
      </c>
      <c r="F188" s="417">
        <f t="shared" ref="F188:AH188" si="18">-F151*$D$188</f>
        <v>0</v>
      </c>
      <c r="G188" s="417">
        <f t="shared" si="18"/>
        <v>0</v>
      </c>
      <c r="H188" s="417">
        <f t="shared" si="18"/>
        <v>0</v>
      </c>
      <c r="I188" s="417">
        <f t="shared" si="18"/>
        <v>0</v>
      </c>
      <c r="J188" s="417">
        <f t="shared" si="18"/>
        <v>0</v>
      </c>
      <c r="K188" s="417">
        <f t="shared" si="18"/>
        <v>1272.1588932</v>
      </c>
      <c r="L188" s="417">
        <f t="shared" si="18"/>
        <v>0</v>
      </c>
      <c r="M188" s="417">
        <f t="shared" si="18"/>
        <v>0</v>
      </c>
      <c r="N188" s="417">
        <f t="shared" si="18"/>
        <v>0</v>
      </c>
      <c r="O188" s="417">
        <f t="shared" si="18"/>
        <v>43.400759999999998</v>
      </c>
      <c r="P188" s="417">
        <f t="shared" si="18"/>
        <v>49.777140000000003</v>
      </c>
      <c r="Q188" s="417">
        <f t="shared" si="18"/>
        <v>0</v>
      </c>
      <c r="R188" s="417">
        <f t="shared" si="18"/>
        <v>1277.5081332</v>
      </c>
      <c r="S188" s="417">
        <f t="shared" si="18"/>
        <v>43.400759999999998</v>
      </c>
      <c r="T188" s="417">
        <f t="shared" si="18"/>
        <v>1.0271399999999999</v>
      </c>
      <c r="U188" s="417">
        <f t="shared" si="18"/>
        <v>0</v>
      </c>
      <c r="V188" s="417">
        <f t="shared" si="18"/>
        <v>0</v>
      </c>
      <c r="W188" s="417">
        <f t="shared" si="18"/>
        <v>92.150759999999991</v>
      </c>
      <c r="X188" s="417">
        <f t="shared" si="18"/>
        <v>1.0271399999999999</v>
      </c>
      <c r="Y188" s="417">
        <f t="shared" si="18"/>
        <v>1255.6456932000001</v>
      </c>
      <c r="Z188" s="417">
        <f t="shared" si="18"/>
        <v>0</v>
      </c>
      <c r="AA188" s="417">
        <f t="shared" si="18"/>
        <v>43.400759999999998</v>
      </c>
      <c r="AB188" s="417">
        <f t="shared" si="18"/>
        <v>1.0271399999999999</v>
      </c>
      <c r="AC188" s="417">
        <f t="shared" si="18"/>
        <v>0</v>
      </c>
      <c r="AD188" s="417">
        <f t="shared" si="18"/>
        <v>48.75</v>
      </c>
      <c r="AE188" s="417">
        <f t="shared" si="18"/>
        <v>43.400759999999998</v>
      </c>
      <c r="AF188" s="417">
        <f t="shared" si="18"/>
        <v>1256.6728332000002</v>
      </c>
      <c r="AG188" s="417">
        <f t="shared" si="18"/>
        <v>0</v>
      </c>
      <c r="AH188" s="417">
        <f t="shared" si="18"/>
        <v>0</v>
      </c>
    </row>
    <row r="189" spans="1:34" s="75" customFormat="1" ht="13.15" customHeight="1" x14ac:dyDescent="0.2">
      <c r="A189" s="375" t="s">
        <v>1128</v>
      </c>
      <c r="B189" s="379"/>
      <c r="C189" s="379"/>
      <c r="D189" s="376"/>
      <c r="E189" s="380">
        <f>SUM(E187:E188)</f>
        <v>0</v>
      </c>
      <c r="F189" s="380">
        <f t="shared" ref="F189:AH189" si="19">SUM(F187:F188)</f>
        <v>0</v>
      </c>
      <c r="G189" s="380">
        <f t="shared" si="19"/>
        <v>0</v>
      </c>
      <c r="H189" s="380">
        <f t="shared" si="19"/>
        <v>0</v>
      </c>
      <c r="I189" s="380">
        <f t="shared" si="19"/>
        <v>0</v>
      </c>
      <c r="J189" s="380">
        <f t="shared" si="19"/>
        <v>0</v>
      </c>
      <c r="K189" s="380">
        <f t="shared" si="19"/>
        <v>7632.9533591999989</v>
      </c>
      <c r="L189" s="380">
        <f t="shared" si="19"/>
        <v>0</v>
      </c>
      <c r="M189" s="380">
        <f t="shared" si="19"/>
        <v>0</v>
      </c>
      <c r="N189" s="380">
        <f t="shared" si="19"/>
        <v>0</v>
      </c>
      <c r="O189" s="380">
        <f t="shared" si="19"/>
        <v>260.40456</v>
      </c>
      <c r="P189" s="380">
        <f t="shared" si="19"/>
        <v>298.66283999999996</v>
      </c>
      <c r="Q189" s="380">
        <f t="shared" si="19"/>
        <v>0</v>
      </c>
      <c r="R189" s="380">
        <f t="shared" si="19"/>
        <v>7665.0487991999989</v>
      </c>
      <c r="S189" s="380">
        <f t="shared" si="19"/>
        <v>260.40456</v>
      </c>
      <c r="T189" s="380">
        <f t="shared" si="19"/>
        <v>6.1628400000000001</v>
      </c>
      <c r="U189" s="380">
        <f t="shared" si="19"/>
        <v>0</v>
      </c>
      <c r="V189" s="380">
        <f t="shared" si="19"/>
        <v>0</v>
      </c>
      <c r="W189" s="380">
        <f t="shared" si="19"/>
        <v>552.90455999999995</v>
      </c>
      <c r="X189" s="380">
        <f t="shared" si="19"/>
        <v>6.1628400000000001</v>
      </c>
      <c r="Y189" s="380">
        <f t="shared" si="19"/>
        <v>7533.8741591999997</v>
      </c>
      <c r="Z189" s="380">
        <f t="shared" si="19"/>
        <v>0</v>
      </c>
      <c r="AA189" s="380">
        <f t="shared" si="19"/>
        <v>260.40456</v>
      </c>
      <c r="AB189" s="380">
        <f t="shared" si="19"/>
        <v>6.1628400000000001</v>
      </c>
      <c r="AC189" s="380">
        <f t="shared" si="19"/>
        <v>0</v>
      </c>
      <c r="AD189" s="380">
        <f t="shared" si="19"/>
        <v>292.5</v>
      </c>
      <c r="AE189" s="380">
        <f t="shared" si="19"/>
        <v>260.40456</v>
      </c>
      <c r="AF189" s="380">
        <f t="shared" si="19"/>
        <v>7540.0369992000005</v>
      </c>
      <c r="AG189" s="380">
        <f t="shared" si="19"/>
        <v>0</v>
      </c>
      <c r="AH189" s="380">
        <f t="shared" si="19"/>
        <v>0</v>
      </c>
    </row>
  </sheetData>
  <pageMargins left="0.511811024" right="0.511811024" top="0.78740157499999996" bottom="0.78740157499999996" header="0.31496062000000002" footer="0.31496062000000002"/>
  <pageSetup paperSize="9" scale="3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20"/>
  <dimension ref="A2:M68"/>
  <sheetViews>
    <sheetView showGridLines="0" zoomScale="85" zoomScaleNormal="85" workbookViewId="0">
      <selection activeCell="A4" sqref="A4:F4"/>
    </sheetView>
  </sheetViews>
  <sheetFormatPr defaultRowHeight="12.75" x14ac:dyDescent="0.2"/>
  <cols>
    <col min="1" max="1" width="4.7109375" style="20" bestFit="1" customWidth="1"/>
    <col min="2" max="2" width="62.28515625" style="20" customWidth="1"/>
    <col min="3" max="3" width="13.28515625" style="20" customWidth="1"/>
    <col min="4" max="4" width="13.42578125" style="20" bestFit="1" customWidth="1"/>
    <col min="5" max="5" width="17.7109375" style="20" bestFit="1" customWidth="1"/>
    <col min="6" max="6" width="15.42578125" style="20" customWidth="1"/>
    <col min="7" max="7" width="5.42578125" customWidth="1"/>
    <col min="8" max="8" width="4.7109375" style="20" bestFit="1" customWidth="1"/>
    <col min="9" max="9" width="62.28515625" style="20" bestFit="1" customWidth="1"/>
    <col min="10" max="10" width="13.28515625" style="20" customWidth="1"/>
    <col min="11" max="11" width="13.42578125" style="20" bestFit="1" customWidth="1"/>
    <col min="12" max="12" width="17.7109375" style="20" bestFit="1" customWidth="1"/>
    <col min="13" max="13" width="15.42578125" style="20" customWidth="1"/>
  </cols>
  <sheetData>
    <row r="2" spans="1:13" ht="21.4" customHeight="1" thickBot="1" x14ac:dyDescent="0.25">
      <c r="A2" s="669" t="s">
        <v>1129</v>
      </c>
      <c r="B2" s="670"/>
      <c r="C2" s="670"/>
      <c r="D2" s="670"/>
      <c r="E2" s="670"/>
      <c r="F2" s="671"/>
      <c r="H2" s="669" t="s">
        <v>1130</v>
      </c>
      <c r="I2" s="670"/>
      <c r="J2" s="670"/>
      <c r="K2" s="670"/>
      <c r="L2" s="670"/>
      <c r="M2" s="671"/>
    </row>
    <row r="3" spans="1:13" ht="13.15" customHeight="1" thickBot="1" x14ac:dyDescent="0.25">
      <c r="A3" s="348" t="s">
        <v>1131</v>
      </c>
      <c r="B3" s="348" t="s">
        <v>1132</v>
      </c>
      <c r="C3" s="349" t="s">
        <v>1133</v>
      </c>
      <c r="D3" s="349" t="s">
        <v>1134</v>
      </c>
      <c r="E3" s="349" t="s">
        <v>1135</v>
      </c>
      <c r="F3" s="350" t="s">
        <v>1136</v>
      </c>
      <c r="H3" s="348" t="s">
        <v>1131</v>
      </c>
      <c r="I3" s="348" t="s">
        <v>1132</v>
      </c>
      <c r="J3" s="349" t="s">
        <v>1133</v>
      </c>
      <c r="K3" s="349" t="s">
        <v>1134</v>
      </c>
      <c r="L3" s="349" t="s">
        <v>1135</v>
      </c>
      <c r="M3" s="350" t="s">
        <v>1136</v>
      </c>
    </row>
    <row r="4" spans="1:13" ht="13.15" customHeight="1" x14ac:dyDescent="0.2">
      <c r="A4" s="672" t="s">
        <v>1137</v>
      </c>
      <c r="B4" s="673"/>
      <c r="C4" s="673"/>
      <c r="D4" s="673"/>
      <c r="E4" s="673"/>
      <c r="F4" s="674"/>
      <c r="H4" s="672" t="s">
        <v>1138</v>
      </c>
      <c r="I4" s="673"/>
      <c r="J4" s="673"/>
      <c r="K4" s="673"/>
      <c r="L4" s="673"/>
      <c r="M4" s="674"/>
    </row>
    <row r="5" spans="1:13" ht="13.15" customHeight="1" x14ac:dyDescent="0.2">
      <c r="A5" s="351" t="s">
        <v>1139</v>
      </c>
      <c r="B5" s="675" t="s">
        <v>1140</v>
      </c>
      <c r="C5" s="676"/>
      <c r="D5" s="676"/>
      <c r="E5" s="676"/>
      <c r="F5" s="677"/>
      <c r="H5" s="352" t="s">
        <v>7</v>
      </c>
      <c r="I5" s="353" t="s">
        <v>1141</v>
      </c>
      <c r="J5" s="354" t="s">
        <v>1142</v>
      </c>
      <c r="K5" s="355">
        <v>5.0000000000000001E-3</v>
      </c>
      <c r="L5" s="356">
        <v>1.2</v>
      </c>
      <c r="M5" s="357">
        <f>K5*L5</f>
        <v>6.0000000000000001E-3</v>
      </c>
    </row>
    <row r="6" spans="1:13" ht="13.15" customHeight="1" x14ac:dyDescent="0.2">
      <c r="A6" s="352" t="s">
        <v>7</v>
      </c>
      <c r="B6" s="353" t="s">
        <v>1143</v>
      </c>
      <c r="C6" s="354" t="s">
        <v>1144</v>
      </c>
      <c r="D6" s="358">
        <v>1</v>
      </c>
      <c r="E6" s="356">
        <v>8099.08</v>
      </c>
      <c r="F6" s="357">
        <f>D6*E6</f>
        <v>8099.08</v>
      </c>
      <c r="H6" s="352" t="s">
        <v>11</v>
      </c>
      <c r="I6" s="353" t="s">
        <v>1145</v>
      </c>
      <c r="J6" s="354" t="s">
        <v>1142</v>
      </c>
      <c r="K6" s="355">
        <v>0.39600000000000002</v>
      </c>
      <c r="L6" s="356">
        <v>1.1399999999999999</v>
      </c>
      <c r="M6" s="357">
        <f t="shared" ref="M6:M15" si="0">K6*L6</f>
        <v>0.45144000000000001</v>
      </c>
    </row>
    <row r="7" spans="1:13" ht="13.15" customHeight="1" x14ac:dyDescent="0.2">
      <c r="A7" s="352" t="s">
        <v>11</v>
      </c>
      <c r="B7" s="353" t="s">
        <v>1146</v>
      </c>
      <c r="C7" s="354" t="s">
        <v>1144</v>
      </c>
      <c r="D7" s="358">
        <v>1</v>
      </c>
      <c r="E7" s="356">
        <v>1900.64</v>
      </c>
      <c r="F7" s="357">
        <f>D7*E7</f>
        <v>1900.64</v>
      </c>
      <c r="H7" s="352" t="s">
        <v>15</v>
      </c>
      <c r="I7" s="353" t="s">
        <v>1147</v>
      </c>
      <c r="J7" s="354" t="s">
        <v>1142</v>
      </c>
      <c r="K7" s="355">
        <v>1E-3</v>
      </c>
      <c r="L7" s="356">
        <v>0.66</v>
      </c>
      <c r="M7" s="357">
        <f t="shared" si="0"/>
        <v>6.6E-4</v>
      </c>
    </row>
    <row r="8" spans="1:13" ht="13.15" customHeight="1" x14ac:dyDescent="0.2">
      <c r="A8" s="352" t="s">
        <v>15</v>
      </c>
      <c r="B8" s="353" t="s">
        <v>1148</v>
      </c>
      <c r="C8" s="354" t="s">
        <v>1144</v>
      </c>
      <c r="D8" s="358">
        <v>1</v>
      </c>
      <c r="E8" s="356">
        <v>1900.64</v>
      </c>
      <c r="F8" s="357">
        <f>D8*E8</f>
        <v>1900.64</v>
      </c>
      <c r="H8" s="352" t="s">
        <v>18</v>
      </c>
      <c r="I8" s="353" t="s">
        <v>1149</v>
      </c>
      <c r="J8" s="354" t="s">
        <v>1142</v>
      </c>
      <c r="K8" s="355">
        <v>0.315</v>
      </c>
      <c r="L8" s="356">
        <v>0.1</v>
      </c>
      <c r="M8" s="357">
        <f t="shared" si="0"/>
        <v>3.15E-2</v>
      </c>
    </row>
    <row r="9" spans="1:13" ht="13.15" customHeight="1" x14ac:dyDescent="0.2">
      <c r="A9" s="352" t="s">
        <v>18</v>
      </c>
      <c r="B9" s="353" t="s">
        <v>1150</v>
      </c>
      <c r="C9" s="354" t="s">
        <v>1144</v>
      </c>
      <c r="D9" s="358">
        <v>4</v>
      </c>
      <c r="E9" s="356">
        <v>1900.64</v>
      </c>
      <c r="F9" s="357">
        <f>D9*E9</f>
        <v>7602.56</v>
      </c>
      <c r="H9" s="352" t="s">
        <v>20</v>
      </c>
      <c r="I9" s="353" t="s">
        <v>1151</v>
      </c>
      <c r="J9" s="354" t="s">
        <v>1142</v>
      </c>
      <c r="K9" s="355">
        <v>2E-3</v>
      </c>
      <c r="L9" s="356">
        <v>2.93</v>
      </c>
      <c r="M9" s="357">
        <f t="shared" si="0"/>
        <v>5.8600000000000006E-3</v>
      </c>
    </row>
    <row r="10" spans="1:13" s="68" customFormat="1" ht="13.15" customHeight="1" x14ac:dyDescent="0.2">
      <c r="A10" s="678" t="s">
        <v>1152</v>
      </c>
      <c r="B10" s="679"/>
      <c r="C10" s="679"/>
      <c r="D10" s="679"/>
      <c r="E10" s="679"/>
      <c r="F10" s="359">
        <f>SUM(F6:F9)</f>
        <v>19502.919999999998</v>
      </c>
      <c r="H10" s="352" t="s">
        <v>22</v>
      </c>
      <c r="I10" s="353" t="s">
        <v>1153</v>
      </c>
      <c r="J10" s="354" t="s">
        <v>1142</v>
      </c>
      <c r="K10" s="355">
        <v>2.3E-2</v>
      </c>
      <c r="L10" s="356">
        <v>4.51</v>
      </c>
      <c r="M10" s="357">
        <f t="shared" si="0"/>
        <v>0.10372999999999999</v>
      </c>
    </row>
    <row r="11" spans="1:13" s="68" customFormat="1" ht="13.15" customHeight="1" x14ac:dyDescent="0.2">
      <c r="A11" s="680" t="s">
        <v>1154</v>
      </c>
      <c r="B11" s="681"/>
      <c r="C11" s="681"/>
      <c r="D11" s="681"/>
      <c r="E11" s="681"/>
      <c r="F11" s="682"/>
      <c r="H11" s="352" t="s">
        <v>24</v>
      </c>
      <c r="I11" s="353" t="s">
        <v>1155</v>
      </c>
      <c r="J11" s="354" t="s">
        <v>1142</v>
      </c>
      <c r="K11" s="355">
        <v>0.05</v>
      </c>
      <c r="L11" s="356">
        <v>0.68</v>
      </c>
      <c r="M11" s="357">
        <f t="shared" si="0"/>
        <v>3.4000000000000002E-2</v>
      </c>
    </row>
    <row r="12" spans="1:13" s="68" customFormat="1" ht="13.15" customHeight="1" x14ac:dyDescent="0.2">
      <c r="A12" s="360" t="s">
        <v>55</v>
      </c>
      <c r="B12" s="683" t="s">
        <v>1156</v>
      </c>
      <c r="C12" s="684"/>
      <c r="D12" s="685"/>
      <c r="E12" s="361">
        <f>'01 - Dados de Entrada'!C40</f>
        <v>0.66039999999999999</v>
      </c>
      <c r="F12" s="357">
        <f>ROUND(F10*E12,2)</f>
        <v>12879.73</v>
      </c>
      <c r="H12" s="352" t="s">
        <v>26</v>
      </c>
      <c r="I12" s="353" t="s">
        <v>1157</v>
      </c>
      <c r="J12" s="354" t="s">
        <v>1142</v>
      </c>
      <c r="K12" s="355">
        <v>0.05</v>
      </c>
      <c r="L12" s="356">
        <v>2.4500000000000002</v>
      </c>
      <c r="M12" s="357">
        <f t="shared" si="0"/>
        <v>0.12250000000000001</v>
      </c>
    </row>
    <row r="13" spans="1:13" s="68" customFormat="1" ht="13.15" customHeight="1" x14ac:dyDescent="0.2">
      <c r="A13" s="678" t="s">
        <v>1158</v>
      </c>
      <c r="B13" s="679"/>
      <c r="C13" s="679"/>
      <c r="D13" s="679"/>
      <c r="E13" s="679"/>
      <c r="F13" s="359">
        <f>F12</f>
        <v>12879.73</v>
      </c>
      <c r="H13" s="352" t="s">
        <v>30</v>
      </c>
      <c r="I13" s="353" t="s">
        <v>1159</v>
      </c>
      <c r="J13" s="354" t="s">
        <v>1142</v>
      </c>
      <c r="K13" s="355">
        <v>6.9000000000000006E-2</v>
      </c>
      <c r="L13" s="356">
        <v>0.09</v>
      </c>
      <c r="M13" s="357">
        <f t="shared" si="0"/>
        <v>6.2100000000000002E-3</v>
      </c>
    </row>
    <row r="14" spans="1:13" s="68" customFormat="1" ht="13.15" customHeight="1" x14ac:dyDescent="0.2">
      <c r="A14" s="680" t="s">
        <v>1160</v>
      </c>
      <c r="B14" s="681"/>
      <c r="C14" s="681"/>
      <c r="D14" s="681"/>
      <c r="E14" s="681"/>
      <c r="F14" s="682"/>
      <c r="H14" s="352" t="s">
        <v>32</v>
      </c>
      <c r="I14" s="353" t="s">
        <v>1161</v>
      </c>
      <c r="J14" s="354" t="s">
        <v>1142</v>
      </c>
      <c r="K14" s="355">
        <v>7.0000000000000001E-3</v>
      </c>
      <c r="L14" s="356">
        <v>1.34</v>
      </c>
      <c r="M14" s="357">
        <f t="shared" si="0"/>
        <v>9.3800000000000012E-3</v>
      </c>
    </row>
    <row r="15" spans="1:13" s="68" customFormat="1" ht="13.15" customHeight="1" x14ac:dyDescent="0.2">
      <c r="A15" s="360" t="s">
        <v>73</v>
      </c>
      <c r="B15" s="353" t="s">
        <v>1143</v>
      </c>
      <c r="C15" s="354" t="s">
        <v>1144</v>
      </c>
      <c r="D15" s="358">
        <f>D6</f>
        <v>1</v>
      </c>
      <c r="E15" s="356">
        <f>1090+IF((3.94*52)-0.06*E6&gt;0,(3.94*52)-0.06*E6,0)</f>
        <v>1090</v>
      </c>
      <c r="F15" s="357">
        <f>ROUND(D15*E15,2)</f>
        <v>1090</v>
      </c>
      <c r="H15" s="352" t="s">
        <v>34</v>
      </c>
      <c r="I15" s="353" t="s">
        <v>1162</v>
      </c>
      <c r="J15" s="354" t="s">
        <v>1142</v>
      </c>
      <c r="K15" s="355">
        <v>4.0000000000000001E-3</v>
      </c>
      <c r="L15" s="356">
        <v>2.4500000000000002</v>
      </c>
      <c r="M15" s="357">
        <f t="shared" si="0"/>
        <v>9.8000000000000014E-3</v>
      </c>
    </row>
    <row r="16" spans="1:13" s="68" customFormat="1" ht="13.15" customHeight="1" x14ac:dyDescent="0.2">
      <c r="A16" s="360" t="s">
        <v>77</v>
      </c>
      <c r="B16" s="353" t="s">
        <v>1146</v>
      </c>
      <c r="C16" s="354" t="s">
        <v>1144</v>
      </c>
      <c r="D16" s="358">
        <f>D7</f>
        <v>1</v>
      </c>
      <c r="E16" s="356">
        <f>436+IF((3.94*52)-0.06*E7&gt;0,(3.94*52)-0.06*E7,0)</f>
        <v>526.84159999999997</v>
      </c>
      <c r="F16" s="357">
        <f>ROUND(D16*E16,2)</f>
        <v>526.84</v>
      </c>
      <c r="H16" s="678" t="s">
        <v>1152</v>
      </c>
      <c r="I16" s="679"/>
      <c r="J16" s="679"/>
      <c r="K16" s="679"/>
      <c r="L16" s="679"/>
      <c r="M16" s="359">
        <f>SUM(M5:M15)</f>
        <v>0.78108000000000022</v>
      </c>
    </row>
    <row r="17" spans="1:13" s="68" customFormat="1" ht="13.15" customHeight="1" x14ac:dyDescent="0.2">
      <c r="A17" s="360" t="s">
        <v>80</v>
      </c>
      <c r="B17" s="353" t="s">
        <v>1148</v>
      </c>
      <c r="C17" s="354" t="s">
        <v>1144</v>
      </c>
      <c r="D17" s="358">
        <f>D8</f>
        <v>1</v>
      </c>
      <c r="E17" s="356">
        <f>436+IF((3.94*52)-0.06*E8&gt;0,(3.94*52)-0.06*E8,0)</f>
        <v>526.84159999999997</v>
      </c>
      <c r="F17" s="357">
        <f>ROUND(D17*E17,2)</f>
        <v>526.84</v>
      </c>
      <c r="H17" s="680" t="s">
        <v>1163</v>
      </c>
      <c r="I17" s="681"/>
      <c r="J17" s="681"/>
      <c r="K17" s="681"/>
      <c r="L17" s="681"/>
      <c r="M17" s="682"/>
    </row>
    <row r="18" spans="1:13" s="68" customFormat="1" ht="13.15" customHeight="1" x14ac:dyDescent="0.2">
      <c r="A18" s="360" t="s">
        <v>82</v>
      </c>
      <c r="B18" s="353" t="s">
        <v>1150</v>
      </c>
      <c r="C18" s="354" t="s">
        <v>1144</v>
      </c>
      <c r="D18" s="358">
        <f>D9</f>
        <v>4</v>
      </c>
      <c r="E18" s="356">
        <f>436+IF((3.94*52)-0.06*E9&gt;0,(3.94*52)-0.06*E9,0)</f>
        <v>526.84159999999997</v>
      </c>
      <c r="F18" s="357">
        <f>ROUND(D18*E18,2)</f>
        <v>2107.37</v>
      </c>
      <c r="H18" s="360" t="s">
        <v>55</v>
      </c>
      <c r="I18" s="686" t="s">
        <v>1164</v>
      </c>
      <c r="J18" s="687"/>
      <c r="K18" s="688"/>
      <c r="L18" s="356">
        <v>0.3</v>
      </c>
      <c r="M18" s="357">
        <f>ROUND(L18,2)</f>
        <v>0.3</v>
      </c>
    </row>
    <row r="19" spans="1:13" s="68" customFormat="1" ht="13.15" customHeight="1" x14ac:dyDescent="0.2">
      <c r="A19" s="678" t="s">
        <v>1165</v>
      </c>
      <c r="B19" s="679"/>
      <c r="C19" s="679"/>
      <c r="D19" s="679"/>
      <c r="E19" s="679"/>
      <c r="F19" s="359">
        <f>SUM(F15:F18)</f>
        <v>4251.05</v>
      </c>
      <c r="H19" s="678" t="s">
        <v>1158</v>
      </c>
      <c r="I19" s="679"/>
      <c r="J19" s="679"/>
      <c r="K19" s="679"/>
      <c r="L19" s="679"/>
      <c r="M19" s="359">
        <f>M18</f>
        <v>0.3</v>
      </c>
    </row>
    <row r="20" spans="1:13" s="68" customFormat="1" ht="13.15" customHeight="1" x14ac:dyDescent="0.2">
      <c r="A20" s="680" t="s">
        <v>1166</v>
      </c>
      <c r="B20" s="681"/>
      <c r="C20" s="681"/>
      <c r="D20" s="681"/>
      <c r="E20" s="681"/>
      <c r="F20" s="682"/>
      <c r="H20" s="678" t="s">
        <v>1167</v>
      </c>
      <c r="I20" s="679"/>
      <c r="J20" s="679"/>
      <c r="K20" s="679"/>
      <c r="L20" s="679"/>
      <c r="M20" s="359">
        <f>ROUND(M16+M19,0)</f>
        <v>1</v>
      </c>
    </row>
    <row r="21" spans="1:13" s="68" customFormat="1" ht="13.15" customHeight="1" x14ac:dyDescent="0.2">
      <c r="A21" s="360" t="s">
        <v>91</v>
      </c>
      <c r="B21" s="353" t="s">
        <v>1143</v>
      </c>
      <c r="C21" s="354" t="s">
        <v>1144</v>
      </c>
      <c r="D21" s="358">
        <f>D6</f>
        <v>1</v>
      </c>
      <c r="E21" s="356">
        <v>803</v>
      </c>
      <c r="F21" s="357">
        <f>D21*E21</f>
        <v>803</v>
      </c>
      <c r="H21" s="493"/>
      <c r="I21" s="493"/>
      <c r="J21" s="493"/>
      <c r="K21" s="535"/>
      <c r="L21" s="493"/>
      <c r="M21" s="493"/>
    </row>
    <row r="22" spans="1:13" s="68" customFormat="1" ht="13.15" customHeight="1" x14ac:dyDescent="0.25">
      <c r="A22" s="360" t="s">
        <v>94</v>
      </c>
      <c r="B22" s="353" t="s">
        <v>1146</v>
      </c>
      <c r="C22" s="354" t="s">
        <v>1144</v>
      </c>
      <c r="D22" s="358">
        <f>D7</f>
        <v>1</v>
      </c>
      <c r="E22" s="356">
        <v>803</v>
      </c>
      <c r="F22" s="357">
        <f>D22*E22</f>
        <v>803</v>
      </c>
      <c r="H22" s="493"/>
      <c r="I22" s="362"/>
      <c r="J22" s="493"/>
      <c r="K22" s="363"/>
      <c r="L22" s="364" t="s">
        <v>1168</v>
      </c>
      <c r="M22" s="365">
        <f>M20</f>
        <v>1</v>
      </c>
    </row>
    <row r="23" spans="1:13" s="68" customFormat="1" ht="13.15" customHeight="1" x14ac:dyDescent="0.25">
      <c r="A23" s="360" t="s">
        <v>96</v>
      </c>
      <c r="B23" s="353" t="s">
        <v>1148</v>
      </c>
      <c r="C23" s="354" t="s">
        <v>1144</v>
      </c>
      <c r="D23" s="358">
        <f>D8</f>
        <v>1</v>
      </c>
      <c r="E23" s="356">
        <v>803</v>
      </c>
      <c r="F23" s="357">
        <f>D23*E23</f>
        <v>803</v>
      </c>
      <c r="H23" s="493"/>
      <c r="I23" s="493"/>
      <c r="J23" s="493"/>
      <c r="K23" s="366"/>
      <c r="L23" s="367"/>
      <c r="M23" s="365"/>
    </row>
    <row r="24" spans="1:13" s="68" customFormat="1" ht="13.15" customHeight="1" x14ac:dyDescent="0.25">
      <c r="A24" s="360" t="s">
        <v>1169</v>
      </c>
      <c r="B24" s="353" t="s">
        <v>1150</v>
      </c>
      <c r="C24" s="354" t="s">
        <v>1144</v>
      </c>
      <c r="D24" s="358">
        <f>D9</f>
        <v>4</v>
      </c>
      <c r="E24" s="356">
        <v>803</v>
      </c>
      <c r="F24" s="357">
        <f>D24*E24</f>
        <v>3212</v>
      </c>
      <c r="H24" s="493"/>
      <c r="I24" s="493"/>
      <c r="J24" s="493"/>
      <c r="K24" s="493"/>
      <c r="L24" s="368" t="s">
        <v>1170</v>
      </c>
      <c r="M24" s="365">
        <f>M22*12</f>
        <v>12</v>
      </c>
    </row>
    <row r="25" spans="1:13" s="68" customFormat="1" ht="13.15" customHeight="1" x14ac:dyDescent="0.2">
      <c r="A25" s="678" t="s">
        <v>1171</v>
      </c>
      <c r="B25" s="679"/>
      <c r="C25" s="679"/>
      <c r="D25" s="679"/>
      <c r="E25" s="679"/>
      <c r="F25" s="359">
        <f>SUM(F21:F24)</f>
        <v>5621</v>
      </c>
      <c r="H25" s="493"/>
      <c r="I25" s="493"/>
      <c r="J25" s="493"/>
      <c r="K25" s="493"/>
      <c r="L25" s="493"/>
      <c r="M25" s="493"/>
    </row>
    <row r="26" spans="1:13" s="68" customFormat="1" ht="13.15" customHeight="1" x14ac:dyDescent="0.2">
      <c r="A26" s="689" t="s">
        <v>1172</v>
      </c>
      <c r="B26" s="690"/>
      <c r="C26" s="690"/>
      <c r="D26" s="690"/>
      <c r="E26" s="690"/>
      <c r="F26" s="691"/>
      <c r="H26" s="493"/>
      <c r="I26" s="536"/>
      <c r="J26" s="536"/>
      <c r="K26" s="493"/>
      <c r="L26" s="493"/>
      <c r="M26" s="493"/>
    </row>
    <row r="27" spans="1:13" s="68" customFormat="1" ht="13.15" customHeight="1" x14ac:dyDescent="0.2">
      <c r="A27" s="352" t="s">
        <v>174</v>
      </c>
      <c r="B27" s="369" t="s">
        <v>1173</v>
      </c>
      <c r="C27" s="354" t="s">
        <v>1174</v>
      </c>
      <c r="D27" s="358">
        <v>1</v>
      </c>
      <c r="E27" s="356">
        <v>170</v>
      </c>
      <c r="F27" s="357">
        <f t="shared" ref="F27:F32" si="1">D27*E27</f>
        <v>170</v>
      </c>
      <c r="H27" s="493"/>
      <c r="I27" s="370"/>
      <c r="J27" s="493"/>
      <c r="K27" s="493"/>
      <c r="L27" s="493"/>
      <c r="M27" s="493"/>
    </row>
    <row r="28" spans="1:13" s="68" customFormat="1" ht="13.15" customHeight="1" x14ac:dyDescent="0.2">
      <c r="A28" s="352" t="s">
        <v>176</v>
      </c>
      <c r="B28" s="369" t="s">
        <v>1175</v>
      </c>
      <c r="C28" s="354" t="s">
        <v>1174</v>
      </c>
      <c r="D28" s="358">
        <f>D9</f>
        <v>4</v>
      </c>
      <c r="E28" s="356">
        <v>120</v>
      </c>
      <c r="F28" s="357">
        <f t="shared" si="1"/>
        <v>480</v>
      </c>
      <c r="H28" s="493"/>
      <c r="I28" s="370"/>
      <c r="J28" s="493"/>
      <c r="K28" s="493"/>
      <c r="L28" s="493"/>
      <c r="M28" s="493"/>
    </row>
    <row r="29" spans="1:13" s="68" customFormat="1" ht="13.15" customHeight="1" x14ac:dyDescent="0.2">
      <c r="A29" s="352" t="s">
        <v>178</v>
      </c>
      <c r="B29" s="369" t="s">
        <v>1176</v>
      </c>
      <c r="C29" s="354" t="s">
        <v>1174</v>
      </c>
      <c r="D29" s="358">
        <v>1</v>
      </c>
      <c r="E29" s="356">
        <v>1580.3</v>
      </c>
      <c r="F29" s="357">
        <f t="shared" si="1"/>
        <v>1580.3</v>
      </c>
      <c r="H29" s="493"/>
      <c r="I29" s="370"/>
      <c r="J29" s="493"/>
      <c r="K29" s="493"/>
      <c r="L29" s="493"/>
      <c r="M29" s="493"/>
    </row>
    <row r="30" spans="1:13" s="68" customFormat="1" ht="13.15" customHeight="1" x14ac:dyDescent="0.2">
      <c r="A30" s="352" t="s">
        <v>180</v>
      </c>
      <c r="B30" s="369" t="s">
        <v>1177</v>
      </c>
      <c r="C30" s="354" t="s">
        <v>1174</v>
      </c>
      <c r="D30" s="358">
        <v>1</v>
      </c>
      <c r="E30" s="356">
        <v>25000</v>
      </c>
      <c r="F30" s="357">
        <f t="shared" si="1"/>
        <v>25000</v>
      </c>
      <c r="H30" s="493"/>
      <c r="K30" s="493"/>
      <c r="L30" s="493"/>
      <c r="M30" s="493"/>
    </row>
    <row r="31" spans="1:13" s="68" customFormat="1" ht="13.15" customHeight="1" x14ac:dyDescent="0.2">
      <c r="A31" s="352" t="s">
        <v>182</v>
      </c>
      <c r="B31" s="369" t="s">
        <v>1178</v>
      </c>
      <c r="C31" s="354" t="s">
        <v>1174</v>
      </c>
      <c r="D31" s="358">
        <v>1</v>
      </c>
      <c r="E31" s="356">
        <v>2300</v>
      </c>
      <c r="F31" s="357">
        <f t="shared" si="1"/>
        <v>2300</v>
      </c>
      <c r="H31" s="493"/>
      <c r="K31" s="493"/>
      <c r="L31" s="493"/>
      <c r="M31" s="493"/>
    </row>
    <row r="32" spans="1:13" s="68" customFormat="1" ht="13.15" customHeight="1" x14ac:dyDescent="0.2">
      <c r="A32" s="352" t="s">
        <v>184</v>
      </c>
      <c r="B32" s="369" t="s">
        <v>1179</v>
      </c>
      <c r="C32" s="354" t="s">
        <v>1174</v>
      </c>
      <c r="D32" s="358">
        <v>1</v>
      </c>
      <c r="E32" s="356">
        <v>1980</v>
      </c>
      <c r="F32" s="357">
        <f t="shared" si="1"/>
        <v>1980</v>
      </c>
      <c r="H32" s="493"/>
      <c r="I32" s="370"/>
      <c r="J32" s="493"/>
      <c r="K32" s="493"/>
      <c r="L32" s="493"/>
      <c r="M32" s="493"/>
    </row>
    <row r="33" spans="1:10" s="68" customFormat="1" ht="13.15" customHeight="1" x14ac:dyDescent="0.2">
      <c r="A33" s="692" t="s">
        <v>1180</v>
      </c>
      <c r="B33" s="693"/>
      <c r="C33" s="693"/>
      <c r="D33" s="693"/>
      <c r="E33" s="694"/>
      <c r="F33" s="359">
        <f>SUM(F27:F32)</f>
        <v>31510.3</v>
      </c>
      <c r="H33" s="493"/>
      <c r="I33" s="493"/>
      <c r="J33" s="493"/>
    </row>
    <row r="34" spans="1:10" s="68" customFormat="1" ht="13.15" customHeight="1" x14ac:dyDescent="0.2">
      <c r="A34" s="680" t="s">
        <v>1181</v>
      </c>
      <c r="B34" s="681"/>
      <c r="C34" s="681"/>
      <c r="D34" s="681"/>
      <c r="E34" s="681"/>
      <c r="F34" s="682"/>
      <c r="H34" s="493"/>
      <c r="I34" s="536" t="s">
        <v>1182</v>
      </c>
      <c r="J34" s="536" t="s">
        <v>1183</v>
      </c>
    </row>
    <row r="35" spans="1:10" s="68" customFormat="1" ht="13.15" customHeight="1" x14ac:dyDescent="0.2">
      <c r="A35" s="360" t="s">
        <v>205</v>
      </c>
      <c r="B35" s="369" t="s">
        <v>1184</v>
      </c>
      <c r="C35" s="354" t="s">
        <v>1185</v>
      </c>
      <c r="D35" s="358">
        <v>1</v>
      </c>
      <c r="E35" s="356">
        <f t="shared" ref="E35:E40" si="2">I35/J35</f>
        <v>83.333333333333329</v>
      </c>
      <c r="F35" s="357">
        <f t="shared" ref="F35:F40" si="3">D35*E35</f>
        <v>83.333333333333329</v>
      </c>
      <c r="H35" s="493"/>
      <c r="I35" s="370">
        <v>5000</v>
      </c>
      <c r="J35" s="493">
        <f>5*12</f>
        <v>60</v>
      </c>
    </row>
    <row r="36" spans="1:10" s="68" customFormat="1" ht="13.15" customHeight="1" x14ac:dyDescent="0.2">
      <c r="A36" s="360" t="s">
        <v>208</v>
      </c>
      <c r="B36" s="369" t="s">
        <v>1186</v>
      </c>
      <c r="C36" s="354" t="s">
        <v>1185</v>
      </c>
      <c r="D36" s="358">
        <f>SUM(D6:D9)</f>
        <v>7</v>
      </c>
      <c r="E36" s="356">
        <f t="shared" si="2"/>
        <v>54.399333333333331</v>
      </c>
      <c r="F36" s="357">
        <f t="shared" si="3"/>
        <v>380.7953333333333</v>
      </c>
      <c r="H36" s="493"/>
      <c r="I36" s="370">
        <v>3263.96</v>
      </c>
      <c r="J36" s="493">
        <f>5*12</f>
        <v>60</v>
      </c>
    </row>
    <row r="37" spans="1:10" s="68" customFormat="1" ht="13.15" customHeight="1" x14ac:dyDescent="0.2">
      <c r="A37" s="360" t="s">
        <v>210</v>
      </c>
      <c r="B37" s="369" t="s">
        <v>1187</v>
      </c>
      <c r="C37" s="354" t="s">
        <v>1185</v>
      </c>
      <c r="D37" s="358">
        <v>1</v>
      </c>
      <c r="E37" s="356">
        <f t="shared" si="2"/>
        <v>250</v>
      </c>
      <c r="F37" s="357">
        <f t="shared" si="3"/>
        <v>250</v>
      </c>
      <c r="H37" s="493"/>
      <c r="I37" s="370">
        <v>30000</v>
      </c>
      <c r="J37" s="493">
        <f>10*12</f>
        <v>120</v>
      </c>
    </row>
    <row r="38" spans="1:10" s="68" customFormat="1" ht="13.15" customHeight="1" x14ac:dyDescent="0.2">
      <c r="A38" s="360" t="s">
        <v>212</v>
      </c>
      <c r="B38" s="369" t="s">
        <v>1188</v>
      </c>
      <c r="C38" s="354" t="s">
        <v>1185</v>
      </c>
      <c r="D38" s="358">
        <v>1</v>
      </c>
      <c r="E38" s="356">
        <f t="shared" si="2"/>
        <v>166.66666666666666</v>
      </c>
      <c r="F38" s="357">
        <f t="shared" si="3"/>
        <v>166.66666666666666</v>
      </c>
      <c r="H38" s="493"/>
      <c r="I38" s="370">
        <v>10000</v>
      </c>
      <c r="J38" s="493">
        <f>5*12</f>
        <v>60</v>
      </c>
    </row>
    <row r="39" spans="1:10" s="68" customFormat="1" ht="13.15" customHeight="1" x14ac:dyDescent="0.2">
      <c r="A39" s="360" t="s">
        <v>214</v>
      </c>
      <c r="B39" s="369" t="s">
        <v>1177</v>
      </c>
      <c r="C39" s="354" t="s">
        <v>1185</v>
      </c>
      <c r="D39" s="358">
        <v>1</v>
      </c>
      <c r="E39" s="356">
        <f t="shared" si="2"/>
        <v>357.14285714285717</v>
      </c>
      <c r="F39" s="357">
        <f t="shared" si="3"/>
        <v>357.14285714285717</v>
      </c>
      <c r="H39" s="493"/>
      <c r="I39" s="370">
        <v>150000</v>
      </c>
      <c r="J39" s="493">
        <f>35*12</f>
        <v>420</v>
      </c>
    </row>
    <row r="40" spans="1:10" s="68" customFormat="1" ht="13.15" customHeight="1" x14ac:dyDescent="0.2">
      <c r="A40" s="360" t="s">
        <v>216</v>
      </c>
      <c r="B40" s="369" t="s">
        <v>1178</v>
      </c>
      <c r="C40" s="354" t="s">
        <v>1185</v>
      </c>
      <c r="D40" s="358">
        <v>1</v>
      </c>
      <c r="E40" s="356">
        <f t="shared" si="2"/>
        <v>53.688095238095237</v>
      </c>
      <c r="F40" s="357">
        <f t="shared" si="3"/>
        <v>53.688095238095237</v>
      </c>
      <c r="H40" s="493"/>
      <c r="I40" s="370">
        <v>22549</v>
      </c>
      <c r="J40" s="493">
        <f>35*12</f>
        <v>420</v>
      </c>
    </row>
    <row r="41" spans="1:10" s="68" customFormat="1" ht="13.15" customHeight="1" x14ac:dyDescent="0.2">
      <c r="A41" s="692" t="s">
        <v>1189</v>
      </c>
      <c r="B41" s="693"/>
      <c r="C41" s="693"/>
      <c r="D41" s="693"/>
      <c r="E41" s="694"/>
      <c r="F41" s="359">
        <f>SUM(F35:F40)</f>
        <v>1291.6262857142856</v>
      </c>
      <c r="H41" s="493"/>
      <c r="I41" s="371">
        <f>SUM(I35:I38)</f>
        <v>48263.96</v>
      </c>
      <c r="J41" s="493"/>
    </row>
    <row r="42" spans="1:10" s="68" customFormat="1" ht="13.15" customHeight="1" x14ac:dyDescent="0.2">
      <c r="A42" s="680" t="s">
        <v>1190</v>
      </c>
      <c r="B42" s="681"/>
      <c r="C42" s="681"/>
      <c r="D42" s="681"/>
      <c r="E42" s="681"/>
      <c r="F42" s="682"/>
      <c r="H42" s="493"/>
      <c r="I42" s="493"/>
      <c r="J42" s="493"/>
    </row>
    <row r="43" spans="1:10" s="68" customFormat="1" ht="13.15" customHeight="1" x14ac:dyDescent="0.2">
      <c r="A43" s="360" t="s">
        <v>229</v>
      </c>
      <c r="B43" s="686" t="s">
        <v>1191</v>
      </c>
      <c r="C43" s="687"/>
      <c r="D43" s="688"/>
      <c r="E43" s="356">
        <f>0.1/12*I41</f>
        <v>402.19966666666664</v>
      </c>
      <c r="F43" s="357">
        <f>E43</f>
        <v>402.19966666666664</v>
      </c>
      <c r="H43" s="493"/>
      <c r="I43" s="493"/>
      <c r="J43" s="493"/>
    </row>
    <row r="44" spans="1:10" s="68" customFormat="1" ht="13.15" customHeight="1" x14ac:dyDescent="0.2">
      <c r="A44" s="678" t="s">
        <v>1192</v>
      </c>
      <c r="B44" s="679"/>
      <c r="C44" s="679"/>
      <c r="D44" s="679"/>
      <c r="E44" s="679"/>
      <c r="F44" s="359">
        <f>SUM(F43:F43)</f>
        <v>402.19966666666664</v>
      </c>
      <c r="H44" s="493"/>
      <c r="I44" s="493"/>
      <c r="J44" s="493"/>
    </row>
    <row r="45" spans="1:10" s="68" customFormat="1" ht="13.15" customHeight="1" x14ac:dyDescent="0.2">
      <c r="A45" s="680" t="s">
        <v>1193</v>
      </c>
      <c r="B45" s="681"/>
      <c r="C45" s="681"/>
      <c r="D45" s="681"/>
      <c r="E45" s="681"/>
      <c r="F45" s="682"/>
      <c r="H45" s="493"/>
      <c r="I45" s="493"/>
      <c r="J45" s="493"/>
    </row>
    <row r="46" spans="1:10" s="68" customFormat="1" ht="13.15" customHeight="1" x14ac:dyDescent="0.2">
      <c r="A46" s="360" t="s">
        <v>309</v>
      </c>
      <c r="B46" s="686" t="s">
        <v>1194</v>
      </c>
      <c r="C46" s="687"/>
      <c r="D46" s="688"/>
      <c r="E46" s="356">
        <f>(0.97/100)*I41</f>
        <v>468.16041200000001</v>
      </c>
      <c r="F46" s="357">
        <f>E46</f>
        <v>468.16041200000001</v>
      </c>
      <c r="H46" s="493"/>
      <c r="I46" s="493"/>
      <c r="J46" s="493"/>
    </row>
    <row r="47" spans="1:10" s="68" customFormat="1" ht="13.15" customHeight="1" x14ac:dyDescent="0.2">
      <c r="A47" s="678" t="s">
        <v>1195</v>
      </c>
      <c r="B47" s="679"/>
      <c r="C47" s="679"/>
      <c r="D47" s="679"/>
      <c r="E47" s="679"/>
      <c r="F47" s="359">
        <f>SUM(F46:F46)</f>
        <v>468.16041200000001</v>
      </c>
      <c r="H47" s="493"/>
      <c r="I47" s="493"/>
      <c r="J47" s="493"/>
    </row>
    <row r="48" spans="1:10" s="68" customFormat="1" ht="13.15" customHeight="1" x14ac:dyDescent="0.2">
      <c r="A48" s="678" t="s">
        <v>1196</v>
      </c>
      <c r="B48" s="679"/>
      <c r="C48" s="679"/>
      <c r="D48" s="679"/>
      <c r="E48" s="679"/>
      <c r="F48" s="359">
        <f>ROUND(F10++F13+F19+F25+F33+F41+F44+F47,0)</f>
        <v>75927</v>
      </c>
      <c r="H48" s="493"/>
      <c r="I48" s="493"/>
      <c r="J48" s="493"/>
    </row>
    <row r="49" spans="5:6" ht="13.15" customHeight="1" x14ac:dyDescent="0.2">
      <c r="E49" s="493"/>
      <c r="F49" s="493"/>
    </row>
    <row r="50" spans="5:6" s="68" customFormat="1" ht="13.15" customHeight="1" x14ac:dyDescent="0.25">
      <c r="E50" s="367" t="s">
        <v>1197</v>
      </c>
      <c r="F50" s="365">
        <f>F48</f>
        <v>75927</v>
      </c>
    </row>
    <row r="51" spans="5:6" s="68" customFormat="1" ht="13.15" customHeight="1" x14ac:dyDescent="0.25">
      <c r="E51" s="367"/>
      <c r="F51" s="365"/>
    </row>
    <row r="52" spans="5:6" s="68" customFormat="1" ht="13.15" customHeight="1" x14ac:dyDescent="0.25">
      <c r="E52" s="362" t="s">
        <v>1198</v>
      </c>
      <c r="F52" s="365">
        <f>F50*12</f>
        <v>911124</v>
      </c>
    </row>
    <row r="53" spans="5:6" ht="13.15" customHeight="1" x14ac:dyDescent="0.2">
      <c r="E53" s="493"/>
      <c r="F53" s="493"/>
    </row>
    <row r="54" spans="5:6" ht="13.15" customHeight="1" x14ac:dyDescent="0.2">
      <c r="E54" s="493"/>
      <c r="F54" s="493"/>
    </row>
    <row r="55" spans="5:6" ht="13.15" customHeight="1" x14ac:dyDescent="0.2">
      <c r="E55" s="493"/>
      <c r="F55" s="493"/>
    </row>
    <row r="56" spans="5:6" ht="13.15" customHeight="1" x14ac:dyDescent="0.2">
      <c r="E56" s="493"/>
      <c r="F56" s="493"/>
    </row>
    <row r="57" spans="5:6" ht="13.15" customHeight="1" x14ac:dyDescent="0.2">
      <c r="E57" s="493"/>
      <c r="F57" s="493"/>
    </row>
    <row r="58" spans="5:6" ht="15" customHeight="1" x14ac:dyDescent="0.2">
      <c r="E58" s="493"/>
      <c r="F58" s="493"/>
    </row>
    <row r="59" spans="5:6" ht="15" customHeight="1" x14ac:dyDescent="0.2">
      <c r="E59" s="493"/>
      <c r="F59" s="493"/>
    </row>
    <row r="60" spans="5:6" ht="15" customHeight="1" x14ac:dyDescent="0.2">
      <c r="E60" s="493"/>
      <c r="F60" s="493"/>
    </row>
    <row r="61" spans="5:6" ht="15" customHeight="1" x14ac:dyDescent="0.2">
      <c r="E61" s="493"/>
      <c r="F61" s="493"/>
    </row>
    <row r="62" spans="5:6" ht="15" customHeight="1" x14ac:dyDescent="0.2">
      <c r="E62" s="493"/>
      <c r="F62" s="493"/>
    </row>
    <row r="63" spans="5:6" ht="15" customHeight="1" x14ac:dyDescent="0.2">
      <c r="E63" s="493"/>
      <c r="F63" s="493"/>
    </row>
    <row r="64" spans="5:6" ht="15" customHeight="1" x14ac:dyDescent="0.2">
      <c r="E64" s="493"/>
      <c r="F64" s="493"/>
    </row>
    <row r="65" ht="15" customHeight="1" x14ac:dyDescent="0.2"/>
    <row r="66" ht="15" customHeight="1" x14ac:dyDescent="0.2"/>
    <row r="67" ht="15" customHeight="1" x14ac:dyDescent="0.2"/>
    <row r="68" ht="15" customHeight="1" x14ac:dyDescent="0.2"/>
  </sheetData>
  <mergeCells count="29">
    <mergeCell ref="A44:E44"/>
    <mergeCell ref="A45:F45"/>
    <mergeCell ref="B46:D46"/>
    <mergeCell ref="A47:E47"/>
    <mergeCell ref="A48:E48"/>
    <mergeCell ref="H16:L16"/>
    <mergeCell ref="H17:M17"/>
    <mergeCell ref="B43:D43"/>
    <mergeCell ref="I18:K18"/>
    <mergeCell ref="A19:E19"/>
    <mergeCell ref="H19:L19"/>
    <mergeCell ref="A20:F20"/>
    <mergeCell ref="H20:L20"/>
    <mergeCell ref="A25:E25"/>
    <mergeCell ref="A26:F26"/>
    <mergeCell ref="A33:E33"/>
    <mergeCell ref="A34:F34"/>
    <mergeCell ref="A41:E41"/>
    <mergeCell ref="A42:F42"/>
    <mergeCell ref="A10:E10"/>
    <mergeCell ref="A11:F11"/>
    <mergeCell ref="B12:D12"/>
    <mergeCell ref="A13:E13"/>
    <mergeCell ref="A14:F14"/>
    <mergeCell ref="A2:F2"/>
    <mergeCell ref="H2:M2"/>
    <mergeCell ref="A4:F4"/>
    <mergeCell ref="H4:M4"/>
    <mergeCell ref="B5:F5"/>
  </mergeCells>
  <pageMargins left="0.7" right="0.7" top="0.75" bottom="0.75" header="0.3" footer="0.3"/>
  <pageSetup paperSize="9" scale="5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16"/>
  <dimension ref="A1:AN26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9.28515625" style="20"/>
    <col min="2" max="2" width="56.42578125" style="20" bestFit="1" customWidth="1"/>
    <col min="3" max="3" width="14.28515625" style="20" bestFit="1" customWidth="1"/>
    <col min="4" max="4" width="8.28515625" style="113" bestFit="1" customWidth="1"/>
    <col min="5" max="5" width="11.7109375" style="20" bestFit="1" customWidth="1"/>
    <col min="6" max="6" width="13.28515625" style="20" bestFit="1" customWidth="1"/>
    <col min="7" max="7" width="14.28515625" style="20" bestFit="1" customWidth="1"/>
    <col min="8" max="9" width="13.28515625" style="20" bestFit="1" customWidth="1"/>
    <col min="10" max="33" width="12.7109375" style="20" bestFit="1" customWidth="1"/>
    <col min="34" max="40" width="11.57031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21"/>
      <c r="C1" s="21"/>
      <c r="D1" s="71"/>
      <c r="E1" s="21"/>
      <c r="F1" s="492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</row>
    <row r="2" spans="1:40" ht="13.15" customHeight="1" x14ac:dyDescent="0.2">
      <c r="A2" s="21" t="s">
        <v>1</v>
      </c>
      <c r="B2" s="21"/>
      <c r="C2" s="21"/>
      <c r="D2" s="71"/>
      <c r="E2" s="21"/>
      <c r="F2" s="492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</row>
    <row r="3" spans="1:40" ht="13.15" customHeight="1" x14ac:dyDescent="0.2">
      <c r="A3" s="21" t="s">
        <v>1199</v>
      </c>
      <c r="B3" s="21"/>
      <c r="C3" s="21"/>
      <c r="D3" s="71"/>
      <c r="E3" s="21"/>
      <c r="F3" s="492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  <c r="AK3" s="493"/>
      <c r="AL3" s="493"/>
      <c r="AM3" s="493"/>
      <c r="AN3" s="493"/>
    </row>
    <row r="6" spans="1:40" ht="13.15" customHeight="1" x14ac:dyDescent="0.2">
      <c r="A6" s="695" t="s">
        <v>1131</v>
      </c>
      <c r="B6" s="695" t="s">
        <v>1200</v>
      </c>
      <c r="C6" s="697" t="s">
        <v>1201</v>
      </c>
      <c r="D6" s="698"/>
      <c r="E6" s="70" t="s">
        <v>701</v>
      </c>
      <c r="F6" s="70" t="s">
        <v>775</v>
      </c>
      <c r="G6" s="70" t="s">
        <v>776</v>
      </c>
      <c r="H6" s="70" t="s">
        <v>777</v>
      </c>
      <c r="I6" s="70" t="s">
        <v>778</v>
      </c>
      <c r="J6" s="70" t="s">
        <v>779</v>
      </c>
      <c r="K6" s="70" t="s">
        <v>780</v>
      </c>
      <c r="L6" s="70" t="s">
        <v>781</v>
      </c>
      <c r="M6" s="70" t="s">
        <v>782</v>
      </c>
      <c r="N6" s="70" t="s">
        <v>783</v>
      </c>
      <c r="O6" s="70" t="s">
        <v>717</v>
      </c>
      <c r="P6" s="70" t="s">
        <v>718</v>
      </c>
      <c r="Q6" s="70" t="s">
        <v>719</v>
      </c>
      <c r="R6" s="70" t="s">
        <v>720</v>
      </c>
      <c r="S6" s="70" t="s">
        <v>721</v>
      </c>
      <c r="T6" s="70" t="s">
        <v>722</v>
      </c>
      <c r="U6" s="70" t="s">
        <v>723</v>
      </c>
      <c r="V6" s="70" t="s">
        <v>724</v>
      </c>
      <c r="W6" s="70" t="s">
        <v>725</v>
      </c>
      <c r="X6" s="70" t="s">
        <v>726</v>
      </c>
      <c r="Y6" s="70" t="s">
        <v>727</v>
      </c>
      <c r="Z6" s="70" t="s">
        <v>728</v>
      </c>
      <c r="AA6" s="70" t="s">
        <v>729</v>
      </c>
      <c r="AB6" s="70" t="s">
        <v>730</v>
      </c>
      <c r="AC6" s="70" t="s">
        <v>731</v>
      </c>
      <c r="AD6" s="70" t="s">
        <v>732</v>
      </c>
      <c r="AE6" s="70" t="s">
        <v>733</v>
      </c>
      <c r="AF6" s="70" t="s">
        <v>734</v>
      </c>
      <c r="AG6" s="70" t="s">
        <v>735</v>
      </c>
      <c r="AH6" s="70" t="s">
        <v>736</v>
      </c>
      <c r="AI6" s="70" t="s">
        <v>737</v>
      </c>
      <c r="AJ6" s="70" t="s">
        <v>738</v>
      </c>
      <c r="AK6" s="70" t="s">
        <v>739</v>
      </c>
      <c r="AL6" s="70" t="s">
        <v>740</v>
      </c>
      <c r="AM6" s="70" t="s">
        <v>741</v>
      </c>
      <c r="AN6" s="70" t="s">
        <v>742</v>
      </c>
    </row>
    <row r="7" spans="1:40" ht="13.15" customHeight="1" x14ac:dyDescent="0.2">
      <c r="A7" s="696"/>
      <c r="B7" s="696"/>
      <c r="C7" s="100" t="s">
        <v>75</v>
      </c>
      <c r="D7" s="100" t="s">
        <v>28</v>
      </c>
      <c r="E7" s="100" t="s">
        <v>1202</v>
      </c>
      <c r="F7" s="91">
        <f t="shared" ref="F7:AN7" si="0">SUM(F8:F23)/1000</f>
        <v>39045.500256062063</v>
      </c>
      <c r="G7" s="91">
        <f t="shared" si="0"/>
        <v>39216.749725271802</v>
      </c>
      <c r="H7" s="91">
        <f t="shared" si="0"/>
        <v>39328.381826783436</v>
      </c>
      <c r="I7" s="91">
        <f t="shared" si="0"/>
        <v>39172.795900937846</v>
      </c>
      <c r="J7" s="91">
        <f t="shared" si="0"/>
        <v>39308.800376431776</v>
      </c>
      <c r="K7" s="91">
        <f t="shared" si="0"/>
        <v>40317.965965320516</v>
      </c>
      <c r="L7" s="91">
        <f t="shared" si="0"/>
        <v>40421.98079446108</v>
      </c>
      <c r="M7" s="91">
        <f t="shared" si="0"/>
        <v>40942.93036579348</v>
      </c>
      <c r="N7" s="91">
        <f t="shared" si="0"/>
        <v>40993.141786238055</v>
      </c>
      <c r="O7" s="91">
        <f t="shared" si="0"/>
        <v>40956.349735999502</v>
      </c>
      <c r="P7" s="91">
        <f t="shared" si="0"/>
        <v>40918.548002003146</v>
      </c>
      <c r="Q7" s="91">
        <f t="shared" si="0"/>
        <v>40903.824385375679</v>
      </c>
      <c r="R7" s="91">
        <f t="shared" si="0"/>
        <v>40952.087058626188</v>
      </c>
      <c r="S7" s="91">
        <f t="shared" si="0"/>
        <v>41000.349731876697</v>
      </c>
      <c r="T7" s="91">
        <f t="shared" si="0"/>
        <v>41048.612405127198</v>
      </c>
      <c r="U7" s="91">
        <f t="shared" si="0"/>
        <v>41096.875078377707</v>
      </c>
      <c r="V7" s="91">
        <f t="shared" si="0"/>
        <v>41114.107554438902</v>
      </c>
      <c r="W7" s="91">
        <f t="shared" si="0"/>
        <v>41131.386197185326</v>
      </c>
      <c r="X7" s="91">
        <f t="shared" si="0"/>
        <v>41148.66301800323</v>
      </c>
      <c r="Y7" s="91">
        <f t="shared" si="0"/>
        <v>41165.895494064418</v>
      </c>
      <c r="Z7" s="91">
        <f t="shared" si="0"/>
        <v>41183.174136810841</v>
      </c>
      <c r="AA7" s="91">
        <f t="shared" si="0"/>
        <v>41173.388069983295</v>
      </c>
      <c r="AB7" s="91">
        <f t="shared" si="0"/>
        <v>41163.602003155764</v>
      </c>
      <c r="AC7" s="91">
        <f t="shared" si="0"/>
        <v>41153.815936328218</v>
      </c>
      <c r="AD7" s="91">
        <f t="shared" si="0"/>
        <v>41143.983702815472</v>
      </c>
      <c r="AE7" s="91">
        <f t="shared" si="0"/>
        <v>41134.15329123121</v>
      </c>
      <c r="AF7" s="91">
        <f t="shared" si="0"/>
        <v>41044.956958027651</v>
      </c>
      <c r="AG7" s="91">
        <f t="shared" si="0"/>
        <v>41009.011296045435</v>
      </c>
      <c r="AH7" s="91">
        <f t="shared" si="0"/>
        <v>40973.065634063212</v>
      </c>
      <c r="AI7" s="91">
        <f t="shared" si="0"/>
        <v>40937.121794009487</v>
      </c>
      <c r="AJ7" s="91">
        <f t="shared" si="0"/>
        <v>40899.862764931422</v>
      </c>
      <c r="AK7" s="91">
        <f t="shared" si="0"/>
        <v>40832.721444785653</v>
      </c>
      <c r="AL7" s="91">
        <f t="shared" si="0"/>
        <v>40712.339987308122</v>
      </c>
      <c r="AM7" s="91">
        <f t="shared" si="0"/>
        <v>40645.118769609981</v>
      </c>
      <c r="AN7" s="91">
        <f t="shared" si="0"/>
        <v>40578.034070038972</v>
      </c>
    </row>
    <row r="8" spans="1:40" ht="13.15" customHeight="1" x14ac:dyDescent="0.2">
      <c r="A8" s="435">
        <v>1</v>
      </c>
      <c r="B8" s="463" t="s">
        <v>1203</v>
      </c>
      <c r="C8" s="537">
        <f>SUM(F8:AN8)</f>
        <v>587284299.49329555</v>
      </c>
      <c r="D8" s="503">
        <f t="shared" ref="D8:D17" si="1">C8/$C$24</f>
        <v>0.41219606664809211</v>
      </c>
      <c r="E8" s="538" t="s">
        <v>461</v>
      </c>
      <c r="F8" s="539">
        <f>'07 - Custos com pessoal'!C16</f>
        <v>15872234.865072001</v>
      </c>
      <c r="G8" s="539">
        <f>'07 - Custos com pessoal'!D16</f>
        <v>15970225.300848</v>
      </c>
      <c r="H8" s="539">
        <f>'07 - Custos com pessoal'!E16</f>
        <v>16019220.518735999</v>
      </c>
      <c r="I8" s="539">
        <f>'07 - Custos com pessoal'!F16</f>
        <v>16068215.736624001</v>
      </c>
      <c r="J8" s="539">
        <f>'07 - Custos com pessoal'!G16</f>
        <v>16117210.954512002</v>
      </c>
      <c r="K8" s="539">
        <f>'07 - Custos com pessoal'!H16</f>
        <v>16649396.413872002</v>
      </c>
      <c r="L8" s="539">
        <f>'07 - Custos com pessoal'!I16</f>
        <v>16698391.631760001</v>
      </c>
      <c r="M8" s="539">
        <f>'07 - Custos com pessoal'!J16</f>
        <v>16903623.623471998</v>
      </c>
      <c r="N8" s="539">
        <f>'07 - Custos com pessoal'!K16</f>
        <v>16903623.623471998</v>
      </c>
      <c r="O8" s="539">
        <f>'07 - Custos com pessoal'!L16</f>
        <v>16903623.623471998</v>
      </c>
      <c r="P8" s="539">
        <f>'07 - Custos com pessoal'!M16</f>
        <v>16903623.623471998</v>
      </c>
      <c r="Q8" s="539">
        <f>'07 - Custos com pessoal'!N16</f>
        <v>16952618.841359999</v>
      </c>
      <c r="R8" s="539">
        <f>'07 - Custos com pessoal'!O16</f>
        <v>16952618.841359999</v>
      </c>
      <c r="S8" s="539">
        <f>'07 - Custos com pessoal'!P16</f>
        <v>16952618.841359999</v>
      </c>
      <c r="T8" s="539">
        <f>'07 - Custos com pessoal'!Q16</f>
        <v>16952618.841359999</v>
      </c>
      <c r="U8" s="539">
        <f>'07 - Custos com pessoal'!R16</f>
        <v>16952618.841359999</v>
      </c>
      <c r="V8" s="539">
        <f>'07 - Custos com pessoal'!S16</f>
        <v>16952618.841359999</v>
      </c>
      <c r="W8" s="539">
        <f>'07 - Custos com pessoal'!T16</f>
        <v>16952618.841359999</v>
      </c>
      <c r="X8" s="539">
        <f>'07 - Custos com pessoal'!U16</f>
        <v>16952618.841359999</v>
      </c>
      <c r="Y8" s="539">
        <f>'07 - Custos com pessoal'!V16</f>
        <v>16952618.841359999</v>
      </c>
      <c r="Z8" s="539">
        <f>'07 - Custos com pessoal'!W16</f>
        <v>16952618.841359999</v>
      </c>
      <c r="AA8" s="539">
        <f>'07 - Custos com pessoal'!X16</f>
        <v>16952618.841359999</v>
      </c>
      <c r="AB8" s="539">
        <f>'07 - Custos com pessoal'!Y16</f>
        <v>16952618.841359999</v>
      </c>
      <c r="AC8" s="539">
        <f>'07 - Custos com pessoal'!Z16</f>
        <v>16952618.841359999</v>
      </c>
      <c r="AD8" s="539">
        <f>'07 - Custos com pessoal'!AA16</f>
        <v>16952618.841359999</v>
      </c>
      <c r="AE8" s="539">
        <f>'07 - Custos com pessoal'!AB16</f>
        <v>16952618.841359999</v>
      </c>
      <c r="AF8" s="539">
        <f>'07 - Custos com pessoal'!AC16</f>
        <v>16903623.623471998</v>
      </c>
      <c r="AG8" s="539">
        <f>'07 - Custos com pessoal'!AD16</f>
        <v>16903623.623471998</v>
      </c>
      <c r="AH8" s="539">
        <f>'07 - Custos com pessoal'!AE16</f>
        <v>16903623.623471998</v>
      </c>
      <c r="AI8" s="539">
        <f>'07 - Custos com pessoal'!AF16</f>
        <v>16903623.623471998</v>
      </c>
      <c r="AJ8" s="539">
        <f>'07 - Custos com pessoal'!AG16</f>
        <v>16903623.623471998</v>
      </c>
      <c r="AK8" s="539">
        <f>'07 - Custos com pessoal'!AH16</f>
        <v>16903623.623471998</v>
      </c>
      <c r="AL8" s="539">
        <f>'07 - Custos com pessoal'!AI16</f>
        <v>16854628.405583996</v>
      </c>
      <c r="AM8" s="539">
        <f>'07 - Custos com pessoal'!AJ16</f>
        <v>16854628.405583996</v>
      </c>
      <c r="AN8" s="539">
        <f>'07 - Custos com pessoal'!AK16</f>
        <v>16854628.405583996</v>
      </c>
    </row>
    <row r="9" spans="1:40" ht="13.15" customHeight="1" x14ac:dyDescent="0.2">
      <c r="A9" s="435">
        <v>2</v>
      </c>
      <c r="B9" s="463" t="s">
        <v>1204</v>
      </c>
      <c r="C9" s="537">
        <f t="shared" ref="C9:C23" si="2">SUM(F9:AN9)</f>
        <v>137801840.38405889</v>
      </c>
      <c r="D9" s="503">
        <f t="shared" si="1"/>
        <v>9.6718704436990877E-2</v>
      </c>
      <c r="E9" s="538" t="s">
        <v>461</v>
      </c>
      <c r="F9" s="539">
        <f>'09 -Combustíveis, óleos, graxa '!C133</f>
        <v>3635362.264792237</v>
      </c>
      <c r="G9" s="539">
        <f>'09 -Combustíveis, óleos, graxa '!D133</f>
        <v>3635362.264792237</v>
      </c>
      <c r="H9" s="539">
        <f>'09 -Combustíveis, óleos, graxa '!E133</f>
        <v>3635362.264792237</v>
      </c>
      <c r="I9" s="539">
        <f>'09 -Combustíveis, óleos, graxa '!F133</f>
        <v>3635362.264792237</v>
      </c>
      <c r="J9" s="539">
        <f>'09 -Combustíveis, óleos, graxa '!G133</f>
        <v>3635362.264792237</v>
      </c>
      <c r="K9" s="539">
        <f>'09 -Combustíveis, óleos, graxa '!H133</f>
        <v>3855048.5945112007</v>
      </c>
      <c r="L9" s="539">
        <f>'09 -Combustíveis, óleos, graxa '!I133</f>
        <v>3855048.5945112007</v>
      </c>
      <c r="M9" s="539">
        <f>'09 -Combustíveis, óleos, graxa '!J133</f>
        <v>3996961.8525384003</v>
      </c>
      <c r="N9" s="539">
        <f>'09 -Combustíveis, óleos, graxa '!K133</f>
        <v>3996961.8525384003</v>
      </c>
      <c r="O9" s="539">
        <f>'09 -Combustíveis, óleos, graxa '!L133</f>
        <v>3996961.8525384003</v>
      </c>
      <c r="P9" s="539">
        <f>'09 -Combustíveis, óleos, graxa '!M133</f>
        <v>3996961.8525384003</v>
      </c>
      <c r="Q9" s="539">
        <f>'09 -Combustíveis, óleos, graxa '!N133</f>
        <v>3996961.8525384003</v>
      </c>
      <c r="R9" s="539">
        <f>'09 -Combustíveis, óleos, graxa '!O133</f>
        <v>3996961.8525384003</v>
      </c>
      <c r="S9" s="539">
        <f>'09 -Combustíveis, óleos, graxa '!P133</f>
        <v>3996961.8525384003</v>
      </c>
      <c r="T9" s="539">
        <f>'09 -Combustíveis, óleos, graxa '!Q133</f>
        <v>3996961.8525384003</v>
      </c>
      <c r="U9" s="539">
        <f>'09 -Combustíveis, óleos, graxa '!R133</f>
        <v>3996961.8525384003</v>
      </c>
      <c r="V9" s="539">
        <f>'09 -Combustíveis, óleos, graxa '!S133</f>
        <v>3996961.8525384003</v>
      </c>
      <c r="W9" s="539">
        <f>'09 -Combustíveis, óleos, graxa '!T133</f>
        <v>3996961.8525384003</v>
      </c>
      <c r="X9" s="539">
        <f>'09 -Combustíveis, óleos, graxa '!U133</f>
        <v>3996961.8525384003</v>
      </c>
      <c r="Y9" s="539">
        <f>'09 -Combustíveis, óleos, graxa '!V133</f>
        <v>3996961.8525384003</v>
      </c>
      <c r="Z9" s="539">
        <f>'09 -Combustíveis, óleos, graxa '!W133</f>
        <v>3996961.8525384003</v>
      </c>
      <c r="AA9" s="539">
        <f>'09 -Combustíveis, óleos, graxa '!X133</f>
        <v>3996961.8525384003</v>
      </c>
      <c r="AB9" s="539">
        <f>'09 -Combustíveis, óleos, graxa '!Y133</f>
        <v>3996961.8525384003</v>
      </c>
      <c r="AC9" s="539">
        <f>'09 -Combustíveis, óleos, graxa '!Z133</f>
        <v>3996961.8525384003</v>
      </c>
      <c r="AD9" s="539">
        <f>'09 -Combustíveis, óleos, graxa '!AA133</f>
        <v>3996961.8525384003</v>
      </c>
      <c r="AE9" s="539">
        <f>'09 -Combustíveis, óleos, graxa '!AB133</f>
        <v>3996961.8525384003</v>
      </c>
      <c r="AF9" s="539">
        <f>'09 -Combustíveis, óleos, graxa '!AC133</f>
        <v>3996961.8525384003</v>
      </c>
      <c r="AG9" s="539">
        <f>'09 -Combustíveis, óleos, graxa '!AD133</f>
        <v>3996961.8525384003</v>
      </c>
      <c r="AH9" s="539">
        <f>'09 -Combustíveis, óleos, graxa '!AE133</f>
        <v>3996961.8525384003</v>
      </c>
      <c r="AI9" s="539">
        <f>'09 -Combustíveis, óleos, graxa '!AF133</f>
        <v>3996961.8525384003</v>
      </c>
      <c r="AJ9" s="539">
        <f>'09 -Combustíveis, óleos, graxa '!AG133</f>
        <v>3996961.8525384003</v>
      </c>
      <c r="AK9" s="539">
        <f>'09 -Combustíveis, óleos, graxa '!AH133</f>
        <v>3996961.8525384003</v>
      </c>
      <c r="AL9" s="539">
        <f>'09 -Combustíveis, óleos, graxa '!AI133</f>
        <v>3996961.8525384003</v>
      </c>
      <c r="AM9" s="539">
        <f>'09 -Combustíveis, óleos, graxa '!AJ133</f>
        <v>3996961.8525384003</v>
      </c>
      <c r="AN9" s="539">
        <f>'09 -Combustíveis, óleos, graxa '!AK133</f>
        <v>3996961.8525384003</v>
      </c>
    </row>
    <row r="10" spans="1:40" ht="13.15" customHeight="1" x14ac:dyDescent="0.2">
      <c r="A10" s="435">
        <v>3</v>
      </c>
      <c r="B10" s="463" t="s">
        <v>1205</v>
      </c>
      <c r="C10" s="537">
        <f t="shared" si="2"/>
        <v>21295721.4854546</v>
      </c>
      <c r="D10" s="503">
        <f t="shared" si="1"/>
        <v>1.4946785807676544E-2</v>
      </c>
      <c r="E10" s="538" t="s">
        <v>461</v>
      </c>
      <c r="F10" s="539">
        <f>'10 - Rodagem'!C6</f>
        <v>558222.69726318272</v>
      </c>
      <c r="G10" s="539">
        <f>'10 - Rodagem'!D6</f>
        <v>558222.69726318272</v>
      </c>
      <c r="H10" s="539">
        <f>'10 - Rodagem'!E6</f>
        <v>558222.69726318272</v>
      </c>
      <c r="I10" s="539">
        <f>'10 - Rodagem'!F6</f>
        <v>558222.69726318272</v>
      </c>
      <c r="J10" s="539">
        <f>'10 - Rodagem'!G6</f>
        <v>558222.69726318272</v>
      </c>
      <c r="K10" s="539">
        <f>'10 - Rodagem'!H6</f>
        <v>593458.55566540873</v>
      </c>
      <c r="L10" s="539">
        <f>'10 - Rodagem'!I6</f>
        <v>593458.55566540873</v>
      </c>
      <c r="M10" s="539">
        <f>'10 - Rodagem'!J6</f>
        <v>618488.96027885238</v>
      </c>
      <c r="N10" s="539">
        <f>'10 - Rodagem'!K6</f>
        <v>618488.96027885238</v>
      </c>
      <c r="O10" s="539">
        <f>'10 - Rodagem'!L6</f>
        <v>618488.96027885238</v>
      </c>
      <c r="P10" s="539">
        <f>'10 - Rodagem'!M6</f>
        <v>618488.96027885238</v>
      </c>
      <c r="Q10" s="539">
        <f>'10 - Rodagem'!N6</f>
        <v>618488.96027885238</v>
      </c>
      <c r="R10" s="539">
        <f>'10 - Rodagem'!O6</f>
        <v>618488.96027885238</v>
      </c>
      <c r="S10" s="539">
        <f>'10 - Rodagem'!P6</f>
        <v>618488.96027885238</v>
      </c>
      <c r="T10" s="539">
        <f>'10 - Rodagem'!Q6</f>
        <v>618488.96027885238</v>
      </c>
      <c r="U10" s="539">
        <f>'10 - Rodagem'!R6</f>
        <v>618488.96027885238</v>
      </c>
      <c r="V10" s="539">
        <f>'10 - Rodagem'!S6</f>
        <v>618488.96027885238</v>
      </c>
      <c r="W10" s="539">
        <f>'10 - Rodagem'!T6</f>
        <v>618488.96027885238</v>
      </c>
      <c r="X10" s="539">
        <f>'10 - Rodagem'!U6</f>
        <v>618488.96027885238</v>
      </c>
      <c r="Y10" s="539">
        <f>'10 - Rodagem'!V6</f>
        <v>618488.96027885238</v>
      </c>
      <c r="Z10" s="539">
        <f>'10 - Rodagem'!W6</f>
        <v>618488.96027885238</v>
      </c>
      <c r="AA10" s="539">
        <f>'10 - Rodagem'!X6</f>
        <v>618488.96027885238</v>
      </c>
      <c r="AB10" s="539">
        <f>'10 - Rodagem'!Y6</f>
        <v>618488.96027885238</v>
      </c>
      <c r="AC10" s="539">
        <f>'10 - Rodagem'!Z6</f>
        <v>618488.96027885238</v>
      </c>
      <c r="AD10" s="539">
        <f>'10 - Rodagem'!AA6</f>
        <v>618488.96027885238</v>
      </c>
      <c r="AE10" s="539">
        <f>'10 - Rodagem'!AB6</f>
        <v>618488.96027885238</v>
      </c>
      <c r="AF10" s="539">
        <f>'10 - Rodagem'!AC6</f>
        <v>618488.96027885238</v>
      </c>
      <c r="AG10" s="539">
        <f>'10 - Rodagem'!AD6</f>
        <v>618488.96027885238</v>
      </c>
      <c r="AH10" s="539">
        <f>'10 - Rodagem'!AE6</f>
        <v>618488.96027885238</v>
      </c>
      <c r="AI10" s="539">
        <f>'10 - Rodagem'!AF6</f>
        <v>618488.96027885238</v>
      </c>
      <c r="AJ10" s="539">
        <f>'10 - Rodagem'!AG6</f>
        <v>618488.96027885238</v>
      </c>
      <c r="AK10" s="539">
        <f>'10 - Rodagem'!AH6</f>
        <v>618488.96027885238</v>
      </c>
      <c r="AL10" s="539">
        <f>'10 - Rodagem'!AI6</f>
        <v>618488.96027885238</v>
      </c>
      <c r="AM10" s="539">
        <f>'10 - Rodagem'!AJ6</f>
        <v>618488.96027885238</v>
      </c>
      <c r="AN10" s="539">
        <f>'10 - Rodagem'!AK6</f>
        <v>618488.96027885238</v>
      </c>
    </row>
    <row r="11" spans="1:40" ht="13.15" customHeight="1" x14ac:dyDescent="0.2">
      <c r="A11" s="435">
        <v>4</v>
      </c>
      <c r="B11" s="463" t="s">
        <v>874</v>
      </c>
      <c r="C11" s="537">
        <f t="shared" si="2"/>
        <v>111054004.39899996</v>
      </c>
      <c r="D11" s="503">
        <f t="shared" si="1"/>
        <v>7.79452538375075E-2</v>
      </c>
      <c r="E11" s="538" t="s">
        <v>461</v>
      </c>
      <c r="F11" s="539">
        <f>'11 - Manutenção'!C6</f>
        <v>2863622.021666666</v>
      </c>
      <c r="G11" s="539">
        <f>'11 - Manutenção'!D6</f>
        <v>2884049.8179999995</v>
      </c>
      <c r="H11" s="539">
        <f>'11 - Manutenção'!E6</f>
        <v>2968555.1476666657</v>
      </c>
      <c r="I11" s="539">
        <f>'11 - Manutenção'!F6</f>
        <v>2968584.447666666</v>
      </c>
      <c r="J11" s="539">
        <f>'11 - Manutenção'!G6</f>
        <v>3032304.3439999991</v>
      </c>
      <c r="K11" s="539">
        <f>'11 - Manutenção'!H6</f>
        <v>3133676.243999999</v>
      </c>
      <c r="L11" s="539">
        <f>'11 - Manutenção'!I6</f>
        <v>3133705.5439999988</v>
      </c>
      <c r="M11" s="539">
        <f>'11 - Manutenção'!J6</f>
        <v>3216755.5439999993</v>
      </c>
      <c r="N11" s="539">
        <f>'11 - Manutenção'!K6</f>
        <v>3216755.5439999993</v>
      </c>
      <c r="O11" s="539">
        <f>'11 - Manutenção'!L6</f>
        <v>3216755.5439999993</v>
      </c>
      <c r="P11" s="539">
        <f>'11 - Manutenção'!M6</f>
        <v>3216755.5439999993</v>
      </c>
      <c r="Q11" s="539">
        <f>'11 - Manutenção'!N6</f>
        <v>3216784.8439999991</v>
      </c>
      <c r="R11" s="539">
        <f>'11 - Manutenção'!O6</f>
        <v>3216784.8439999991</v>
      </c>
      <c r="S11" s="539">
        <f>'11 - Manutenção'!P6</f>
        <v>3216784.8439999991</v>
      </c>
      <c r="T11" s="539">
        <f>'11 - Manutenção'!Q6</f>
        <v>3216784.8439999991</v>
      </c>
      <c r="U11" s="539">
        <f>'11 - Manutenção'!R6</f>
        <v>3216784.8439999991</v>
      </c>
      <c r="V11" s="539">
        <f>'11 - Manutenção'!S6</f>
        <v>3216784.8439999991</v>
      </c>
      <c r="W11" s="539">
        <f>'11 - Manutenção'!T6</f>
        <v>3216784.8439999991</v>
      </c>
      <c r="X11" s="539">
        <f>'11 - Manutenção'!U6</f>
        <v>3216784.8439999991</v>
      </c>
      <c r="Y11" s="539">
        <f>'11 - Manutenção'!V6</f>
        <v>3216784.8439999991</v>
      </c>
      <c r="Z11" s="539">
        <f>'11 - Manutenção'!W6</f>
        <v>3216784.8439999991</v>
      </c>
      <c r="AA11" s="539">
        <f>'11 - Manutenção'!X6</f>
        <v>3216784.8439999991</v>
      </c>
      <c r="AB11" s="539">
        <f>'11 - Manutenção'!Y6</f>
        <v>3216784.8439999991</v>
      </c>
      <c r="AC11" s="539">
        <f>'11 - Manutenção'!Z6</f>
        <v>3216784.8439999991</v>
      </c>
      <c r="AD11" s="539">
        <f>'11 - Manutenção'!AA6</f>
        <v>3216784.8439999991</v>
      </c>
      <c r="AE11" s="539">
        <f>'11 - Manutenção'!AB6</f>
        <v>3216784.8439999991</v>
      </c>
      <c r="AF11" s="539">
        <f>'11 - Manutenção'!AC6</f>
        <v>3216755.5439999993</v>
      </c>
      <c r="AG11" s="539">
        <f>'11 - Manutenção'!AD6</f>
        <v>3216755.5439999993</v>
      </c>
      <c r="AH11" s="539">
        <f>'11 - Manutenção'!AE6</f>
        <v>3216755.5439999993</v>
      </c>
      <c r="AI11" s="539">
        <f>'11 - Manutenção'!AF6</f>
        <v>3216755.5439999993</v>
      </c>
      <c r="AJ11" s="539">
        <f>'11 - Manutenção'!AG6</f>
        <v>3216755.5439999993</v>
      </c>
      <c r="AK11" s="539">
        <f>'11 - Manutenção'!AH6</f>
        <v>3216755.5439999993</v>
      </c>
      <c r="AL11" s="539">
        <f>'11 - Manutenção'!AI6</f>
        <v>3216726.2439999995</v>
      </c>
      <c r="AM11" s="539">
        <f>'11 - Manutenção'!AJ6</f>
        <v>3216726.2439999995</v>
      </c>
      <c r="AN11" s="539">
        <f>'11 - Manutenção'!AK6</f>
        <v>3216726.2439999995</v>
      </c>
    </row>
    <row r="12" spans="1:40" ht="13.15" customHeight="1" x14ac:dyDescent="0.2">
      <c r="A12" s="435">
        <v>5</v>
      </c>
      <c r="B12" s="602" t="s">
        <v>1116</v>
      </c>
      <c r="C12" s="537">
        <f>SUM(F12:AN12)</f>
        <v>328305235.38045418</v>
      </c>
      <c r="D12" s="503">
        <f t="shared" si="1"/>
        <v>0.23042694449784817</v>
      </c>
      <c r="E12" s="538" t="s">
        <v>461</v>
      </c>
      <c r="F12" s="539">
        <f>F26*'01 - Dados de Entrada'!$C$353</f>
        <v>9818614.0041607339</v>
      </c>
      <c r="G12" s="539">
        <f>G26*'01 - Dados de Entrada'!$C$353</f>
        <v>9732754.5584929381</v>
      </c>
      <c r="H12" s="539">
        <f>H26*'01 - Dados de Entrada'!$C$353</f>
        <v>9645922.1596816797</v>
      </c>
      <c r="I12" s="539">
        <f>I26*'01 - Dados de Entrada'!$C$353</f>
        <v>9507392.6846032627</v>
      </c>
      <c r="J12" s="539">
        <f>J26*'01 - Dados de Entrada'!$C$353</f>
        <v>9478618.0931076333</v>
      </c>
      <c r="K12" s="539">
        <f>K26*'01 - Dados de Entrada'!$C$353</f>
        <v>9520019.2717469614</v>
      </c>
      <c r="L12" s="539">
        <f>L26*'01 - Dados de Entrada'!$C$353</f>
        <v>9533729.822562797</v>
      </c>
      <c r="M12" s="539">
        <f>M26*'01 - Dados de Entrada'!$C$353</f>
        <v>9547187.9524391741</v>
      </c>
      <c r="N12" s="539">
        <f>N26*'01 - Dados de Entrada'!$C$353</f>
        <v>9560345.8457803596</v>
      </c>
      <c r="O12" s="539">
        <f>O26*'01 - Dados de Entrada'!$C$353</f>
        <v>9486500.1884384099</v>
      </c>
      <c r="P12" s="539">
        <f>P26*'01 - Dados de Entrada'!$C$353</f>
        <v>9411644.8473386616</v>
      </c>
      <c r="Q12" s="539">
        <f>Q26*'01 - Dados de Entrada'!$C$353</f>
        <v>9317114.7149720769</v>
      </c>
      <c r="R12" s="539">
        <f>R26*'01 - Dados de Entrada'!$C$353</f>
        <v>9338821.5437048078</v>
      </c>
      <c r="S12" s="539">
        <f>S26*'01 - Dados de Entrada'!$C$353</f>
        <v>9360528.372437533</v>
      </c>
      <c r="T12" s="539">
        <f>T26*'01 - Dados de Entrada'!$C$353</f>
        <v>9382235.2011702601</v>
      </c>
      <c r="U12" s="539">
        <f>U26*'01 - Dados de Entrada'!$C$353</f>
        <v>9403942.029902989</v>
      </c>
      <c r="V12" s="539">
        <f>V26*'01 - Dados de Entrada'!$C$353</f>
        <v>9405739.410626078</v>
      </c>
      <c r="W12" s="539">
        <f>W26*'01 - Dados de Entrada'!$C$353</f>
        <v>9407582.8780343831</v>
      </c>
      <c r="X12" s="539">
        <f>X26*'01 - Dados de Entrada'!$C$353</f>
        <v>9409380.2587574739</v>
      </c>
      <c r="Y12" s="539">
        <f>Y26*'01 - Dados de Entrada'!$C$353</f>
        <v>9411177.6394805629</v>
      </c>
      <c r="Z12" s="539">
        <f>Z26*'01 - Dados de Entrada'!$C$353</f>
        <v>9413021.1068888661</v>
      </c>
      <c r="AA12" s="539">
        <f>AA26*'01 - Dados de Entrada'!$C$353</f>
        <v>9397674.2407147735</v>
      </c>
      <c r="AB12" s="539">
        <f>AB26*'01 - Dados de Entrada'!$C$353</f>
        <v>9382327.3745406773</v>
      </c>
      <c r="AC12" s="539">
        <f>AC26*'01 - Dados de Entrada'!$C$353</f>
        <v>9366980.5083665829</v>
      </c>
      <c r="AD12" s="539">
        <f>AD26*'01 - Dados de Entrada'!$C$353</f>
        <v>9351587.5555072781</v>
      </c>
      <c r="AE12" s="539">
        <f>AE26*'01 - Dados de Entrada'!$C$353</f>
        <v>9336240.6893331856</v>
      </c>
      <c r="AF12" s="539">
        <f>AF26*'01 - Dados de Entrada'!$C$353</f>
        <v>9304164.3564287741</v>
      </c>
      <c r="AG12" s="539">
        <f>AG26*'01 - Dados de Entrada'!$C$353</f>
        <v>9272088.0235243626</v>
      </c>
      <c r="AH12" s="539">
        <f>AH26*'01 - Dados de Entrada'!$C$353</f>
        <v>9240011.6906199493</v>
      </c>
      <c r="AI12" s="539">
        <f>AI26*'01 - Dados de Entrada'!$C$353</f>
        <v>9207981.4444007445</v>
      </c>
      <c r="AJ12" s="539">
        <f>AJ26*'01 - Dados de Entrada'!$C$353</f>
        <v>9175905.1114963312</v>
      </c>
      <c r="AK12" s="539">
        <f>AK26*'01 - Dados de Entrada'!$C$353</f>
        <v>9123320.2036745865</v>
      </c>
      <c r="AL12" s="539">
        <f>AL26*'01 - Dados de Entrada'!$C$353</f>
        <v>9070781.3825380486</v>
      </c>
      <c r="AM12" s="539">
        <f>AM26*'01 - Dados de Entrada'!$C$353</f>
        <v>9018196.474716302</v>
      </c>
      <c r="AN12" s="539">
        <f>AN26*'01 - Dados de Entrada'!$C$353</f>
        <v>8965703.7402649727</v>
      </c>
    </row>
    <row r="13" spans="1:40" ht="13.15" customHeight="1" x14ac:dyDescent="0.2">
      <c r="A13" s="435">
        <v>6</v>
      </c>
      <c r="B13" s="463" t="s">
        <v>1206</v>
      </c>
      <c r="C13" s="537">
        <f t="shared" si="2"/>
        <v>5772450.6000000024</v>
      </c>
      <c r="D13" s="503">
        <f t="shared" si="1"/>
        <v>4.0514984553364228E-3</v>
      </c>
      <c r="E13" s="538" t="s">
        <v>461</v>
      </c>
      <c r="F13" s="539">
        <f>'12 - IPVA + Licenciamento'!D6</f>
        <v>155076.52000000002</v>
      </c>
      <c r="G13" s="539">
        <f>'12 - IPVA + Licenciamento'!E6</f>
        <v>155076.52000000002</v>
      </c>
      <c r="H13" s="539">
        <f>'12 - IPVA + Licenciamento'!F6</f>
        <v>155076.52000000002</v>
      </c>
      <c r="I13" s="539">
        <f>'12 - IPVA + Licenciamento'!G6</f>
        <v>155076.52000000002</v>
      </c>
      <c r="J13" s="539">
        <f>'12 - IPVA + Licenciamento'!H6</f>
        <v>155076.52000000002</v>
      </c>
      <c r="K13" s="539">
        <f>'12 - IPVA + Licenciamento'!I6</f>
        <v>161172.40000000002</v>
      </c>
      <c r="L13" s="539">
        <f>'12 - IPVA + Licenciamento'!J6</f>
        <v>161172.40000000002</v>
      </c>
      <c r="M13" s="539">
        <f>'12 - IPVA + Licenciamento'!K6</f>
        <v>166954.40000000002</v>
      </c>
      <c r="N13" s="539">
        <f>'12 - IPVA + Licenciamento'!L6</f>
        <v>166954.40000000002</v>
      </c>
      <c r="O13" s="539">
        <f>'12 - IPVA + Licenciamento'!M6</f>
        <v>166954.40000000002</v>
      </c>
      <c r="P13" s="539">
        <f>'12 - IPVA + Licenciamento'!N6</f>
        <v>166954.40000000002</v>
      </c>
      <c r="Q13" s="539">
        <f>'12 - IPVA + Licenciamento'!O6</f>
        <v>166954.40000000002</v>
      </c>
      <c r="R13" s="539">
        <f>'12 - IPVA + Licenciamento'!P6</f>
        <v>166954.40000000002</v>
      </c>
      <c r="S13" s="539">
        <f>'12 - IPVA + Licenciamento'!Q6</f>
        <v>166954.40000000002</v>
      </c>
      <c r="T13" s="539">
        <f>'12 - IPVA + Licenciamento'!R6</f>
        <v>166954.40000000002</v>
      </c>
      <c r="U13" s="539">
        <f>'12 - IPVA + Licenciamento'!S6</f>
        <v>166954.40000000002</v>
      </c>
      <c r="V13" s="539">
        <f>'12 - IPVA + Licenciamento'!T6</f>
        <v>166954.40000000002</v>
      </c>
      <c r="W13" s="539">
        <f>'12 - IPVA + Licenciamento'!U6</f>
        <v>166954.40000000002</v>
      </c>
      <c r="X13" s="539">
        <f>'12 - IPVA + Licenciamento'!V6</f>
        <v>166954.40000000002</v>
      </c>
      <c r="Y13" s="539">
        <f>'12 - IPVA + Licenciamento'!W6</f>
        <v>166954.40000000002</v>
      </c>
      <c r="Z13" s="539">
        <f>'12 - IPVA + Licenciamento'!X6</f>
        <v>166954.40000000002</v>
      </c>
      <c r="AA13" s="539">
        <f>'12 - IPVA + Licenciamento'!Y6</f>
        <v>166954.40000000002</v>
      </c>
      <c r="AB13" s="539">
        <f>'12 - IPVA + Licenciamento'!Z6</f>
        <v>166954.40000000002</v>
      </c>
      <c r="AC13" s="539">
        <f>'12 - IPVA + Licenciamento'!AA6</f>
        <v>166954.40000000002</v>
      </c>
      <c r="AD13" s="539">
        <f>'12 - IPVA + Licenciamento'!AB6</f>
        <v>166954.40000000002</v>
      </c>
      <c r="AE13" s="539">
        <f>'12 - IPVA + Licenciamento'!AC6</f>
        <v>166954.40000000002</v>
      </c>
      <c r="AF13" s="539">
        <f>'12 - IPVA + Licenciamento'!AD6</f>
        <v>166954.40000000002</v>
      </c>
      <c r="AG13" s="539">
        <f>'12 - IPVA + Licenciamento'!AE6</f>
        <v>166954.40000000002</v>
      </c>
      <c r="AH13" s="539">
        <f>'12 - IPVA + Licenciamento'!AF6</f>
        <v>166954.40000000002</v>
      </c>
      <c r="AI13" s="539">
        <f>'12 - IPVA + Licenciamento'!AG6</f>
        <v>166954.40000000002</v>
      </c>
      <c r="AJ13" s="539">
        <f>'12 - IPVA + Licenciamento'!AH6</f>
        <v>166954.40000000002</v>
      </c>
      <c r="AK13" s="539">
        <f>'12 - IPVA + Licenciamento'!AI6</f>
        <v>166954.40000000002</v>
      </c>
      <c r="AL13" s="539">
        <f>'12 - IPVA + Licenciamento'!AJ6</f>
        <v>166954.40000000002</v>
      </c>
      <c r="AM13" s="539">
        <f>'12 - IPVA + Licenciamento'!AK6</f>
        <v>166954.40000000002</v>
      </c>
      <c r="AN13" s="539">
        <f>'12 - IPVA + Licenciamento'!AL6</f>
        <v>166954.40000000002</v>
      </c>
    </row>
    <row r="14" spans="1:40" ht="13.15" customHeight="1" x14ac:dyDescent="0.2">
      <c r="A14" s="435">
        <v>7</v>
      </c>
      <c r="B14" s="463" t="s">
        <v>1207</v>
      </c>
      <c r="C14" s="537">
        <f t="shared" si="2"/>
        <v>24145005.22000001</v>
      </c>
      <c r="D14" s="503">
        <f t="shared" si="1"/>
        <v>1.6946606932057569E-2</v>
      </c>
      <c r="E14" s="538" t="s">
        <v>461</v>
      </c>
      <c r="F14" s="539">
        <f>'08 - Custos com EPI e uniformes'!S5</f>
        <v>648585.96000000008</v>
      </c>
      <c r="G14" s="539">
        <f>'08 - Custos com EPI e uniformes'!T5</f>
        <v>653239.42000000016</v>
      </c>
      <c r="H14" s="539">
        <f>'08 - Custos com EPI e uniformes'!U5</f>
        <v>655566.15000000014</v>
      </c>
      <c r="I14" s="539">
        <f>'08 - Custos com EPI e uniformes'!V5</f>
        <v>657985.54000000015</v>
      </c>
      <c r="J14" s="539">
        <f>'08 - Custos com EPI e uniformes'!W5</f>
        <v>660312.27000000014</v>
      </c>
      <c r="K14" s="539">
        <f>'08 - Custos com EPI e uniformes'!X5</f>
        <v>683764.03000000014</v>
      </c>
      <c r="L14" s="539">
        <f>'08 - Custos com EPI e uniformes'!Y5</f>
        <v>686183.42000000016</v>
      </c>
      <c r="M14" s="539">
        <f>'08 - Custos com EPI e uniformes'!Z5</f>
        <v>695613.60000000021</v>
      </c>
      <c r="N14" s="539">
        <f>'08 - Custos com EPI e uniformes'!AA5</f>
        <v>695613.60000000021</v>
      </c>
      <c r="O14" s="539">
        <f>'08 - Custos com EPI e uniformes'!AB5</f>
        <v>695613.60000000021</v>
      </c>
      <c r="P14" s="539">
        <f>'08 - Custos com EPI e uniformes'!AC5</f>
        <v>695613.60000000021</v>
      </c>
      <c r="Q14" s="539">
        <f>'08 - Custos com EPI e uniformes'!AD5</f>
        <v>698032.99000000022</v>
      </c>
      <c r="R14" s="539">
        <f>'08 - Custos com EPI e uniformes'!AE5</f>
        <v>698032.99000000022</v>
      </c>
      <c r="S14" s="539">
        <f>'08 - Custos com EPI e uniformes'!AF5</f>
        <v>698032.99000000022</v>
      </c>
      <c r="T14" s="539">
        <f>'08 - Custos com EPI e uniformes'!AG5</f>
        <v>698032.99000000022</v>
      </c>
      <c r="U14" s="539">
        <f>'08 - Custos com EPI e uniformes'!AH5</f>
        <v>698032.99000000022</v>
      </c>
      <c r="V14" s="539">
        <f>'08 - Custos com EPI e uniformes'!AI5</f>
        <v>698032.99000000022</v>
      </c>
      <c r="W14" s="539">
        <f>'08 - Custos com EPI e uniformes'!AJ5</f>
        <v>698032.99000000022</v>
      </c>
      <c r="X14" s="539">
        <f>'08 - Custos com EPI e uniformes'!AK5</f>
        <v>698032.99000000022</v>
      </c>
      <c r="Y14" s="539">
        <f>'08 - Custos com EPI e uniformes'!AL5</f>
        <v>698032.99000000022</v>
      </c>
      <c r="Z14" s="539">
        <f>'08 - Custos com EPI e uniformes'!AM5</f>
        <v>698032.99000000022</v>
      </c>
      <c r="AA14" s="539">
        <f>'08 - Custos com EPI e uniformes'!AN5</f>
        <v>698032.99000000022</v>
      </c>
      <c r="AB14" s="539">
        <f>'08 - Custos com EPI e uniformes'!AO5</f>
        <v>698032.99000000022</v>
      </c>
      <c r="AC14" s="539">
        <f>'08 - Custos com EPI e uniformes'!AP5</f>
        <v>698032.99000000022</v>
      </c>
      <c r="AD14" s="539">
        <f>'08 - Custos com EPI e uniformes'!AQ5</f>
        <v>698032.99000000022</v>
      </c>
      <c r="AE14" s="539">
        <f>'08 - Custos com EPI e uniformes'!AR5</f>
        <v>698032.99000000022</v>
      </c>
      <c r="AF14" s="539">
        <f>'08 - Custos com EPI e uniformes'!AS5</f>
        <v>695613.60000000021</v>
      </c>
      <c r="AG14" s="539">
        <f>'08 - Custos com EPI e uniformes'!AT5</f>
        <v>695613.60000000021</v>
      </c>
      <c r="AH14" s="539">
        <f>'08 - Custos com EPI e uniformes'!AU5</f>
        <v>695613.60000000021</v>
      </c>
      <c r="AI14" s="539">
        <f>'08 - Custos com EPI e uniformes'!AV5</f>
        <v>695613.60000000021</v>
      </c>
      <c r="AJ14" s="539">
        <f>'08 - Custos com EPI e uniformes'!AW5</f>
        <v>694244.5900000002</v>
      </c>
      <c r="AK14" s="539">
        <f>'08 - Custos com EPI e uniformes'!AX5</f>
        <v>694244.5900000002</v>
      </c>
      <c r="AL14" s="539">
        <f>'08 - Custos com EPI e uniformes'!AY5</f>
        <v>691825.20000000019</v>
      </c>
      <c r="AM14" s="539">
        <f>'08 - Custos com EPI e uniformes'!AZ5</f>
        <v>691825.20000000019</v>
      </c>
      <c r="AN14" s="539">
        <f>'08 - Custos com EPI e uniformes'!BA5</f>
        <v>691825.20000000019</v>
      </c>
    </row>
    <row r="15" spans="1:40" s="158" customFormat="1" ht="13.15" customHeight="1" x14ac:dyDescent="0.2">
      <c r="A15" s="435">
        <v>9</v>
      </c>
      <c r="B15" s="463" t="s">
        <v>1208</v>
      </c>
      <c r="C15" s="537">
        <f t="shared" si="2"/>
        <v>14700000</v>
      </c>
      <c r="D15" s="503">
        <f t="shared" si="1"/>
        <v>1.0317459848585866E-2</v>
      </c>
      <c r="E15" s="538" t="s">
        <v>461</v>
      </c>
      <c r="F15" s="402">
        <f>'01 - Dados de Entrada'!$C$77*12</f>
        <v>420000</v>
      </c>
      <c r="G15" s="402">
        <f>'01 - Dados de Entrada'!$C$77*12</f>
        <v>420000</v>
      </c>
      <c r="H15" s="402">
        <f>'01 - Dados de Entrada'!$C$77*12</f>
        <v>420000</v>
      </c>
      <c r="I15" s="402">
        <f>'01 - Dados de Entrada'!$C$77*12</f>
        <v>420000</v>
      </c>
      <c r="J15" s="402">
        <f>'01 - Dados de Entrada'!$C$77*12</f>
        <v>420000</v>
      </c>
      <c r="K15" s="402">
        <f>'01 - Dados de Entrada'!$C$77*12</f>
        <v>420000</v>
      </c>
      <c r="L15" s="402">
        <f>'01 - Dados de Entrada'!$C$77*12</f>
        <v>420000</v>
      </c>
      <c r="M15" s="402">
        <f>'01 - Dados de Entrada'!$C$77*12</f>
        <v>420000</v>
      </c>
      <c r="N15" s="402">
        <f>'01 - Dados de Entrada'!$C$77*12</f>
        <v>420000</v>
      </c>
      <c r="O15" s="402">
        <f>'01 - Dados de Entrada'!$C$77*12</f>
        <v>420000</v>
      </c>
      <c r="P15" s="402">
        <f>'01 - Dados de Entrada'!$C$77*12</f>
        <v>420000</v>
      </c>
      <c r="Q15" s="402">
        <f>'01 - Dados de Entrada'!$C$77*12</f>
        <v>420000</v>
      </c>
      <c r="R15" s="402">
        <f>'01 - Dados de Entrada'!$C$77*12</f>
        <v>420000</v>
      </c>
      <c r="S15" s="402">
        <f>'01 - Dados de Entrada'!$C$77*12</f>
        <v>420000</v>
      </c>
      <c r="T15" s="402">
        <f>'01 - Dados de Entrada'!$C$77*12</f>
        <v>420000</v>
      </c>
      <c r="U15" s="402">
        <f>'01 - Dados de Entrada'!$C$77*12</f>
        <v>420000</v>
      </c>
      <c r="V15" s="402">
        <f>'01 - Dados de Entrada'!$C$77*12</f>
        <v>420000</v>
      </c>
      <c r="W15" s="402">
        <f>'01 - Dados de Entrada'!$C$77*12</f>
        <v>420000</v>
      </c>
      <c r="X15" s="402">
        <f>'01 - Dados de Entrada'!$C$77*12</f>
        <v>420000</v>
      </c>
      <c r="Y15" s="402">
        <f>'01 - Dados de Entrada'!$C$77*12</f>
        <v>420000</v>
      </c>
      <c r="Z15" s="402">
        <f>'01 - Dados de Entrada'!$C$77*12</f>
        <v>420000</v>
      </c>
      <c r="AA15" s="402">
        <f>'01 - Dados de Entrada'!$C$77*12</f>
        <v>420000</v>
      </c>
      <c r="AB15" s="402">
        <f>'01 - Dados de Entrada'!$C$77*12</f>
        <v>420000</v>
      </c>
      <c r="AC15" s="402">
        <f>'01 - Dados de Entrada'!$C$77*12</f>
        <v>420000</v>
      </c>
      <c r="AD15" s="402">
        <f>'01 - Dados de Entrada'!$C$77*12</f>
        <v>420000</v>
      </c>
      <c r="AE15" s="402">
        <f>'01 - Dados de Entrada'!$C$77*12</f>
        <v>420000</v>
      </c>
      <c r="AF15" s="402">
        <f>'01 - Dados de Entrada'!$C$77*12</f>
        <v>420000</v>
      </c>
      <c r="AG15" s="402">
        <f>'01 - Dados de Entrada'!$C$77*12</f>
        <v>420000</v>
      </c>
      <c r="AH15" s="402">
        <f>'01 - Dados de Entrada'!$C$77*12</f>
        <v>420000</v>
      </c>
      <c r="AI15" s="402">
        <f>'01 - Dados de Entrada'!$C$77*12</f>
        <v>420000</v>
      </c>
      <c r="AJ15" s="402">
        <f>'01 - Dados de Entrada'!$C$77*12</f>
        <v>420000</v>
      </c>
      <c r="AK15" s="402">
        <f>'01 - Dados de Entrada'!$C$77*12</f>
        <v>420000</v>
      </c>
      <c r="AL15" s="402">
        <f>'01 - Dados de Entrada'!$C$77*12</f>
        <v>420000</v>
      </c>
      <c r="AM15" s="402">
        <f>'01 - Dados de Entrada'!$C$77*12</f>
        <v>420000</v>
      </c>
      <c r="AN15" s="402">
        <f>'01 - Dados de Entrada'!$C$77*12</f>
        <v>420000</v>
      </c>
    </row>
    <row r="16" spans="1:40" s="158" customFormat="1" ht="13.15" customHeight="1" x14ac:dyDescent="0.2">
      <c r="A16" s="435">
        <v>10</v>
      </c>
      <c r="B16" s="463" t="s">
        <v>1209</v>
      </c>
      <c r="C16" s="537">
        <f t="shared" si="2"/>
        <v>3167256.1233333317</v>
      </c>
      <c r="D16" s="503">
        <f t="shared" si="1"/>
        <v>2.2229957743319304E-3</v>
      </c>
      <c r="E16" s="538" t="s">
        <v>461</v>
      </c>
      <c r="F16" s="402">
        <f>'05 - Relação de funcionários'!B84*'01 - Dados de Entrada'!$C$81</f>
        <v>86724.64</v>
      </c>
      <c r="G16" s="402">
        <f>'05 - Relação de funcionários'!C84*'01 - Dados de Entrada'!$C$81</f>
        <v>86724.64</v>
      </c>
      <c r="H16" s="402">
        <f>'05 - Relação de funcionários'!D84*'01 - Dados de Entrada'!$C$81</f>
        <v>86724.64</v>
      </c>
      <c r="I16" s="402">
        <f>'05 - Relação de funcionários'!E84*'01 - Dados de Entrada'!$C$81</f>
        <v>88531.403333333335</v>
      </c>
      <c r="J16" s="402">
        <f>'05 - Relação de funcionários'!F84*'01 - Dados de Entrada'!$C$81</f>
        <v>88531.403333333335</v>
      </c>
      <c r="K16" s="402">
        <f>'05 - Relação de funcionários'!G84*'01 - Dados de Entrada'!$C$81</f>
        <v>88531.403333333335</v>
      </c>
      <c r="L16" s="402">
        <f>'05 - Relação de funcionários'!H84*'01 - Dados de Entrada'!$C$81</f>
        <v>90338.166666666672</v>
      </c>
      <c r="M16" s="402">
        <f>'05 - Relação de funcionários'!I84*'01 - Dados de Entrada'!$C$81</f>
        <v>90338.166666666672</v>
      </c>
      <c r="N16" s="402">
        <f>'05 - Relação de funcionários'!J84*'01 - Dados de Entrada'!$C$81</f>
        <v>90338.166666666672</v>
      </c>
      <c r="O16" s="402">
        <f>'05 - Relação de funcionários'!K84*'01 - Dados de Entrada'!$C$81</f>
        <v>90338.166666666672</v>
      </c>
      <c r="P16" s="402">
        <f>'05 - Relação de funcionários'!L84*'01 - Dados de Entrada'!$C$81</f>
        <v>90338.166666666672</v>
      </c>
      <c r="Q16" s="402">
        <f>'05 - Relação de funcionários'!M84*'01 - Dados de Entrada'!$C$81</f>
        <v>92144.93</v>
      </c>
      <c r="R16" s="402">
        <f>'05 - Relação de funcionários'!N84*'01 - Dados de Entrada'!$C$81</f>
        <v>92144.93</v>
      </c>
      <c r="S16" s="402">
        <f>'05 - Relação de funcionários'!O84*'01 - Dados de Entrada'!$C$81</f>
        <v>92144.93</v>
      </c>
      <c r="T16" s="402">
        <f>'05 - Relação de funcionários'!P84*'01 - Dados de Entrada'!$C$81</f>
        <v>92144.93</v>
      </c>
      <c r="U16" s="402">
        <f>'05 - Relação de funcionários'!Q84*'01 - Dados de Entrada'!$C$81</f>
        <v>92144.93</v>
      </c>
      <c r="V16" s="402">
        <f>'05 - Relação de funcionários'!R84*'01 - Dados de Entrada'!$C$81</f>
        <v>92144.93</v>
      </c>
      <c r="W16" s="402">
        <f>'05 - Relação de funcionários'!S84*'01 - Dados de Entrada'!$C$81</f>
        <v>92144.93</v>
      </c>
      <c r="X16" s="402">
        <f>'05 - Relação de funcionários'!T84*'01 - Dados de Entrada'!$C$81</f>
        <v>92144.93</v>
      </c>
      <c r="Y16" s="402">
        <f>'05 - Relação de funcionários'!U84*'01 - Dados de Entrada'!$C$81</f>
        <v>92144.93</v>
      </c>
      <c r="Z16" s="402">
        <f>'05 - Relação de funcionários'!V84*'01 - Dados de Entrada'!$C$81</f>
        <v>92144.93</v>
      </c>
      <c r="AA16" s="402">
        <f>'05 - Relação de funcionários'!W84*'01 - Dados de Entrada'!$C$81</f>
        <v>92144.93</v>
      </c>
      <c r="AB16" s="402">
        <f>'05 - Relação de funcionários'!X84*'01 - Dados de Entrada'!$C$81</f>
        <v>92144.93</v>
      </c>
      <c r="AC16" s="402">
        <f>'05 - Relação de funcionários'!Y84*'01 - Dados de Entrada'!$C$81</f>
        <v>92144.93</v>
      </c>
      <c r="AD16" s="402">
        <f>'05 - Relação de funcionários'!Z84*'01 - Dados de Entrada'!$C$81</f>
        <v>92144.93</v>
      </c>
      <c r="AE16" s="402">
        <f>'05 - Relação de funcionários'!AA84*'01 - Dados de Entrada'!$C$81</f>
        <v>92144.93</v>
      </c>
      <c r="AF16" s="402">
        <f>'05 - Relação de funcionários'!AB84*'01 - Dados de Entrada'!$C$81</f>
        <v>90338.166666666672</v>
      </c>
      <c r="AG16" s="402">
        <f>'05 - Relação de funcionários'!AC84*'01 - Dados de Entrada'!$C$81</f>
        <v>90338.166666666672</v>
      </c>
      <c r="AH16" s="402">
        <f>'05 - Relação de funcionários'!AD84*'01 - Dados de Entrada'!$C$81</f>
        <v>90338.166666666672</v>
      </c>
      <c r="AI16" s="402">
        <f>'05 - Relação de funcionários'!AE84*'01 - Dados de Entrada'!$C$81</f>
        <v>90338.166666666672</v>
      </c>
      <c r="AJ16" s="402">
        <f>'05 - Relação de funcionários'!AF84*'01 - Dados de Entrada'!$C$81</f>
        <v>90338.166666666672</v>
      </c>
      <c r="AK16" s="402">
        <f>'05 - Relação de funcionários'!AG84*'01 - Dados de Entrada'!$C$81</f>
        <v>90338.166666666672</v>
      </c>
      <c r="AL16" s="402">
        <f>'05 - Relação de funcionários'!AH84*'01 - Dados de Entrada'!$C$81</f>
        <v>88531.403333333335</v>
      </c>
      <c r="AM16" s="402">
        <f>'05 - Relação de funcionários'!AI84*'01 - Dados de Entrada'!$C$81</f>
        <v>88531.403333333335</v>
      </c>
      <c r="AN16" s="402">
        <f>'05 - Relação de funcionários'!AJ84*'01 - Dados de Entrada'!$C$81</f>
        <v>88531.403333333335</v>
      </c>
    </row>
    <row r="17" spans="1:40" s="158" customFormat="1" ht="13.15" customHeight="1" x14ac:dyDescent="0.2">
      <c r="A17" s="435">
        <v>11</v>
      </c>
      <c r="B17" s="463" t="s">
        <v>1210</v>
      </c>
      <c r="C17" s="537">
        <f t="shared" si="2"/>
        <v>2213285.0833333316</v>
      </c>
      <c r="D17" s="503">
        <f t="shared" si="1"/>
        <v>1.5534340122969844E-3</v>
      </c>
      <c r="E17" s="538" t="s">
        <v>461</v>
      </c>
      <c r="F17" s="402">
        <f>'01 - Dados de Entrada'!$C$306*'01 - Dados de Entrada'!$C$81</f>
        <v>63236.716666666667</v>
      </c>
      <c r="G17" s="402">
        <f>'01 - Dados de Entrada'!$C$306*'01 - Dados de Entrada'!$C$81</f>
        <v>63236.716666666667</v>
      </c>
      <c r="H17" s="402">
        <f>'01 - Dados de Entrada'!$C$306*'01 - Dados de Entrada'!$C$81</f>
        <v>63236.716666666667</v>
      </c>
      <c r="I17" s="402">
        <f>'01 - Dados de Entrada'!$C$306*'01 - Dados de Entrada'!$C$81</f>
        <v>63236.716666666667</v>
      </c>
      <c r="J17" s="402">
        <f>'01 - Dados de Entrada'!$C$306*'01 - Dados de Entrada'!$C$81</f>
        <v>63236.716666666667</v>
      </c>
      <c r="K17" s="402">
        <f>'01 - Dados de Entrada'!$C$306*'01 - Dados de Entrada'!$C$81</f>
        <v>63236.716666666667</v>
      </c>
      <c r="L17" s="402">
        <f>'01 - Dados de Entrada'!$C$306*'01 - Dados de Entrada'!$C$81</f>
        <v>63236.716666666667</v>
      </c>
      <c r="M17" s="402">
        <f>'01 - Dados de Entrada'!$C$306*'01 - Dados de Entrada'!$C$81</f>
        <v>63236.716666666667</v>
      </c>
      <c r="N17" s="402">
        <f>'01 - Dados de Entrada'!$C$306*'01 - Dados de Entrada'!$C$81</f>
        <v>63236.716666666667</v>
      </c>
      <c r="O17" s="402">
        <f>'01 - Dados de Entrada'!$C$306*'01 - Dados de Entrada'!$C$81</f>
        <v>63236.716666666667</v>
      </c>
      <c r="P17" s="402">
        <f>'01 - Dados de Entrada'!$C$306*'01 - Dados de Entrada'!$C$81</f>
        <v>63236.716666666667</v>
      </c>
      <c r="Q17" s="402">
        <f>'01 - Dados de Entrada'!$C$306*'01 - Dados de Entrada'!$C$81</f>
        <v>63236.716666666667</v>
      </c>
      <c r="R17" s="402">
        <f>'01 - Dados de Entrada'!$C$306*'01 - Dados de Entrada'!$C$81</f>
        <v>63236.716666666667</v>
      </c>
      <c r="S17" s="402">
        <f>'01 - Dados de Entrada'!$C$306*'01 - Dados de Entrada'!$C$81</f>
        <v>63236.716666666667</v>
      </c>
      <c r="T17" s="402">
        <f>'01 - Dados de Entrada'!$C$306*'01 - Dados de Entrada'!$C$81</f>
        <v>63236.716666666667</v>
      </c>
      <c r="U17" s="402">
        <f>'01 - Dados de Entrada'!$C$306*'01 - Dados de Entrada'!$C$81</f>
        <v>63236.716666666667</v>
      </c>
      <c r="V17" s="402">
        <f>'01 - Dados de Entrada'!$C$306*'01 - Dados de Entrada'!$C$81</f>
        <v>63236.716666666667</v>
      </c>
      <c r="W17" s="402">
        <f>'01 - Dados de Entrada'!$C$306*'01 - Dados de Entrada'!$C$81</f>
        <v>63236.716666666667</v>
      </c>
      <c r="X17" s="402">
        <f>'01 - Dados de Entrada'!$C$306*'01 - Dados de Entrada'!$C$81</f>
        <v>63236.716666666667</v>
      </c>
      <c r="Y17" s="402">
        <f>'01 - Dados de Entrada'!$C$306*'01 - Dados de Entrada'!$C$81</f>
        <v>63236.716666666667</v>
      </c>
      <c r="Z17" s="402">
        <f>'01 - Dados de Entrada'!$C$306*'01 - Dados de Entrada'!$C$81</f>
        <v>63236.716666666667</v>
      </c>
      <c r="AA17" s="402">
        <f>'01 - Dados de Entrada'!$C$306*'01 - Dados de Entrada'!$C$81</f>
        <v>63236.716666666667</v>
      </c>
      <c r="AB17" s="402">
        <f>'01 - Dados de Entrada'!$C$306*'01 - Dados de Entrada'!$C$81</f>
        <v>63236.716666666667</v>
      </c>
      <c r="AC17" s="402">
        <f>'01 - Dados de Entrada'!$C$306*'01 - Dados de Entrada'!$C$81</f>
        <v>63236.716666666667</v>
      </c>
      <c r="AD17" s="402">
        <f>'01 - Dados de Entrada'!$C$306*'01 - Dados de Entrada'!$C$81</f>
        <v>63236.716666666667</v>
      </c>
      <c r="AE17" s="402">
        <f>'01 - Dados de Entrada'!$C$306*'01 - Dados de Entrada'!$C$81</f>
        <v>63236.716666666667</v>
      </c>
      <c r="AF17" s="402">
        <f>'01 - Dados de Entrada'!$C$306*'01 - Dados de Entrada'!$C$81</f>
        <v>63236.716666666667</v>
      </c>
      <c r="AG17" s="402">
        <f>'01 - Dados de Entrada'!$C$306*'01 - Dados de Entrada'!$C$81</f>
        <v>63236.716666666667</v>
      </c>
      <c r="AH17" s="402">
        <f>'01 - Dados de Entrada'!$C$306*'01 - Dados de Entrada'!$C$81</f>
        <v>63236.716666666667</v>
      </c>
      <c r="AI17" s="402">
        <f>'01 - Dados de Entrada'!$C$306*'01 - Dados de Entrada'!$C$81</f>
        <v>63236.716666666667</v>
      </c>
      <c r="AJ17" s="402">
        <f>'01 - Dados de Entrada'!$C$306*'01 - Dados de Entrada'!$C$81</f>
        <v>63236.716666666667</v>
      </c>
      <c r="AK17" s="402">
        <f>'01 - Dados de Entrada'!$C$306*'01 - Dados de Entrada'!$C$81</f>
        <v>63236.716666666667</v>
      </c>
      <c r="AL17" s="402">
        <f>'01 - Dados de Entrada'!$C$306*'01 - Dados de Entrada'!$C$81</f>
        <v>63236.716666666667</v>
      </c>
      <c r="AM17" s="402">
        <f>'01 - Dados de Entrada'!$C$306*'01 - Dados de Entrada'!$C$81</f>
        <v>63236.716666666667</v>
      </c>
      <c r="AN17" s="402">
        <f>'01 - Dados de Entrada'!$C$306*'01 - Dados de Entrada'!$C$81</f>
        <v>63236.716666666667</v>
      </c>
    </row>
    <row r="18" spans="1:40" s="158" customFormat="1" ht="13.15" customHeight="1" x14ac:dyDescent="0.2">
      <c r="A18" s="435">
        <v>12</v>
      </c>
      <c r="B18" s="463" t="s">
        <v>1211</v>
      </c>
      <c r="C18" s="537">
        <f t="shared" si="2"/>
        <v>2427600</v>
      </c>
      <c r="D18" s="505">
        <f t="shared" ref="D18:D23" si="3">C18/$C$24</f>
        <v>1.7038547978521802E-3</v>
      </c>
      <c r="E18" s="435" t="s">
        <v>461</v>
      </c>
      <c r="F18" s="402">
        <f>'04 - Veículos e Equipamentos'!B78*'01 - Dados de Entrada'!$C$83</f>
        <v>0</v>
      </c>
      <c r="G18" s="402">
        <f>'04 - Veículos e Equipamentos'!C78*'01 - Dados de Entrada'!$C$83</f>
        <v>71400</v>
      </c>
      <c r="H18" s="402">
        <f>'04 - Veículos e Equipamentos'!D78*'01 - Dados de Entrada'!$C$83</f>
        <v>71400</v>
      </c>
      <c r="I18" s="402">
        <f>'04 - Veículos e Equipamentos'!E78*'01 - Dados de Entrada'!$C$83</f>
        <v>71400</v>
      </c>
      <c r="J18" s="402">
        <f>'04 - Veículos e Equipamentos'!F78*'01 - Dados de Entrada'!$C$83</f>
        <v>71400</v>
      </c>
      <c r="K18" s="402">
        <f>'04 - Veículos e Equipamentos'!G78*'01 - Dados de Entrada'!$C$83</f>
        <v>71400</v>
      </c>
      <c r="L18" s="402">
        <f>'04 - Veículos e Equipamentos'!H78*'01 - Dados de Entrada'!$C$83</f>
        <v>71400</v>
      </c>
      <c r="M18" s="402">
        <f>'04 - Veículos e Equipamentos'!I78*'01 - Dados de Entrada'!$C$83</f>
        <v>71400</v>
      </c>
      <c r="N18" s="402">
        <f>'04 - Veículos e Equipamentos'!J78*'01 - Dados de Entrada'!$C$83</f>
        <v>71400</v>
      </c>
      <c r="O18" s="402">
        <f>'04 - Veículos e Equipamentos'!K78*'01 - Dados de Entrada'!$C$83</f>
        <v>71400</v>
      </c>
      <c r="P18" s="402">
        <f>'04 - Veículos e Equipamentos'!L78*'01 - Dados de Entrada'!$C$83</f>
        <v>71400</v>
      </c>
      <c r="Q18" s="402">
        <f>'04 - Veículos e Equipamentos'!M78*'01 - Dados de Entrada'!$C$83</f>
        <v>71400</v>
      </c>
      <c r="R18" s="402">
        <f>'04 - Veículos e Equipamentos'!N78*'01 - Dados de Entrada'!$C$83</f>
        <v>71400</v>
      </c>
      <c r="S18" s="402">
        <f>'04 - Veículos e Equipamentos'!O78*'01 - Dados de Entrada'!$C$83</f>
        <v>71400</v>
      </c>
      <c r="T18" s="402">
        <f>'04 - Veículos e Equipamentos'!P78*'01 - Dados de Entrada'!$C$83</f>
        <v>71400</v>
      </c>
      <c r="U18" s="402">
        <f>'04 - Veículos e Equipamentos'!Q78*'01 - Dados de Entrada'!$C$83</f>
        <v>71400</v>
      </c>
      <c r="V18" s="402">
        <f>'04 - Veículos e Equipamentos'!R78*'01 - Dados de Entrada'!$C$83</f>
        <v>71400</v>
      </c>
      <c r="W18" s="402">
        <f>'04 - Veículos e Equipamentos'!S78*'01 - Dados de Entrada'!$C$83</f>
        <v>71400</v>
      </c>
      <c r="X18" s="402">
        <f>'04 - Veículos e Equipamentos'!T78*'01 - Dados de Entrada'!$C$83</f>
        <v>71400</v>
      </c>
      <c r="Y18" s="402">
        <f>'04 - Veículos e Equipamentos'!U78*'01 - Dados de Entrada'!$C$83</f>
        <v>71400</v>
      </c>
      <c r="Z18" s="402">
        <f>'04 - Veículos e Equipamentos'!V78*'01 - Dados de Entrada'!$C$83</f>
        <v>71400</v>
      </c>
      <c r="AA18" s="402">
        <f>'04 - Veículos e Equipamentos'!W78*'01 - Dados de Entrada'!$C$83</f>
        <v>71400</v>
      </c>
      <c r="AB18" s="402">
        <f>'04 - Veículos e Equipamentos'!X78*'01 - Dados de Entrada'!$C$83</f>
        <v>71400</v>
      </c>
      <c r="AC18" s="402">
        <f>'04 - Veículos e Equipamentos'!Y78*'01 - Dados de Entrada'!$C$83</f>
        <v>71400</v>
      </c>
      <c r="AD18" s="402">
        <f>'04 - Veículos e Equipamentos'!Z78*'01 - Dados de Entrada'!$C$83</f>
        <v>71400</v>
      </c>
      <c r="AE18" s="402">
        <f>'04 - Veículos e Equipamentos'!AA78*'01 - Dados de Entrada'!$C$83</f>
        <v>71400</v>
      </c>
      <c r="AF18" s="402">
        <f>'04 - Veículos e Equipamentos'!AB78*'01 - Dados de Entrada'!$C$83</f>
        <v>71400</v>
      </c>
      <c r="AG18" s="402">
        <f>'04 - Veículos e Equipamentos'!AC78*'01 - Dados de Entrada'!$C$83</f>
        <v>71400</v>
      </c>
      <c r="AH18" s="402">
        <f>'04 - Veículos e Equipamentos'!AD78*'01 - Dados de Entrada'!$C$83</f>
        <v>71400</v>
      </c>
      <c r="AI18" s="402">
        <f>'04 - Veículos e Equipamentos'!AE78*'01 - Dados de Entrada'!$C$83</f>
        <v>71400</v>
      </c>
      <c r="AJ18" s="402">
        <f>'04 - Veículos e Equipamentos'!AF78*'01 - Dados de Entrada'!$C$83</f>
        <v>71400</v>
      </c>
      <c r="AK18" s="402">
        <f>'04 - Veículos e Equipamentos'!AG78*'01 - Dados de Entrada'!$C$83</f>
        <v>71400</v>
      </c>
      <c r="AL18" s="402">
        <f>'04 - Veículos e Equipamentos'!AH78*'01 - Dados de Entrada'!$C$83</f>
        <v>71400</v>
      </c>
      <c r="AM18" s="402">
        <f>'04 - Veículos e Equipamentos'!AI78*'01 - Dados de Entrada'!$C$83</f>
        <v>71400</v>
      </c>
      <c r="AN18" s="402">
        <f>'04 - Veículos e Equipamentos'!AJ78*'01 - Dados de Entrada'!$C$83</f>
        <v>71400</v>
      </c>
    </row>
    <row r="19" spans="1:40" s="158" customFormat="1" ht="13.15" customHeight="1" x14ac:dyDescent="0.2">
      <c r="A19" s="435">
        <v>13</v>
      </c>
      <c r="B19" s="463" t="s">
        <v>1212</v>
      </c>
      <c r="C19" s="537">
        <f t="shared" ref="C19" si="4">SUM(F19:AN19)</f>
        <v>1586700</v>
      </c>
      <c r="D19" s="505">
        <f t="shared" si="3"/>
        <v>1.1136539824320539E-3</v>
      </c>
      <c r="E19" s="435" t="s">
        <v>461</v>
      </c>
      <c r="F19" s="402">
        <f>'01 - Dados de Entrada'!$C$82*'01 - Dados de Entrada'!$C$337*'04 - Veículos e Equipamentos'!B37</f>
        <v>20640</v>
      </c>
      <c r="G19" s="402">
        <f>'01 - Dados de Entrada'!$C$82*'01 - Dados de Entrada'!$C$337*'04 - Veículos e Equipamentos'!C37</f>
        <v>33540</v>
      </c>
      <c r="H19" s="402">
        <f>'01 - Dados de Entrada'!$C$82*'01 - Dados de Entrada'!$C$337*'04 - Veículos e Equipamentos'!D37</f>
        <v>46440</v>
      </c>
      <c r="I19" s="402">
        <f>'01 - Dados de Entrada'!$C$82*'01 - Dados de Entrada'!$C$337*'04 - Veículos e Equipamentos'!E37</f>
        <v>46440</v>
      </c>
      <c r="J19" s="402">
        <f>'01 - Dados de Entrada'!$C$82*'01 - Dados de Entrada'!$C$337*'04 - Veículos e Equipamentos'!F37</f>
        <v>46440</v>
      </c>
      <c r="K19" s="402">
        <f>'01 - Dados de Entrada'!$C$82*'01 - Dados de Entrada'!$C$337*'04 - Veículos e Equipamentos'!G37</f>
        <v>46440</v>
      </c>
      <c r="L19" s="402">
        <f>'01 - Dados de Entrada'!$C$82*'01 - Dados de Entrada'!$C$337*'04 - Veículos e Equipamentos'!H37</f>
        <v>46440</v>
      </c>
      <c r="M19" s="402">
        <f>'01 - Dados de Entrada'!$C$82*'01 - Dados de Entrada'!$C$337*'04 - Veículos e Equipamentos'!I37</f>
        <v>46440</v>
      </c>
      <c r="N19" s="402">
        <f>'01 - Dados de Entrada'!$C$82*'01 - Dados de Entrada'!$C$337*'04 - Veículos e Equipamentos'!J37</f>
        <v>46440</v>
      </c>
      <c r="O19" s="402">
        <f>'01 - Dados de Entrada'!$C$82*'01 - Dados de Entrada'!$C$337*'04 - Veículos e Equipamentos'!K37</f>
        <v>46440</v>
      </c>
      <c r="P19" s="402">
        <f>'01 - Dados de Entrada'!$C$82*'01 - Dados de Entrada'!$C$337*'04 - Veículos e Equipamentos'!L37</f>
        <v>46440</v>
      </c>
      <c r="Q19" s="402">
        <f>'01 - Dados de Entrada'!$C$82*'01 - Dados de Entrada'!$C$337*'04 - Veículos e Equipamentos'!M37</f>
        <v>46440</v>
      </c>
      <c r="R19" s="402">
        <f>'01 - Dados de Entrada'!$C$82*'01 - Dados de Entrada'!$C$337*'04 - Veículos e Equipamentos'!N37</f>
        <v>46440</v>
      </c>
      <c r="S19" s="402">
        <f>'01 - Dados de Entrada'!$C$82*'01 - Dados de Entrada'!$C$337*'04 - Veículos e Equipamentos'!O37</f>
        <v>46440</v>
      </c>
      <c r="T19" s="402">
        <f>'01 - Dados de Entrada'!$C$82*'01 - Dados de Entrada'!$C$337*'04 - Veículos e Equipamentos'!P37</f>
        <v>46440</v>
      </c>
      <c r="U19" s="402">
        <f>'01 - Dados de Entrada'!$C$82*'01 - Dados de Entrada'!$C$337*'04 - Veículos e Equipamentos'!Q37</f>
        <v>46440</v>
      </c>
      <c r="V19" s="402">
        <f>'01 - Dados de Entrada'!$C$82*'01 - Dados de Entrada'!$C$337*'04 - Veículos e Equipamentos'!R37</f>
        <v>46440</v>
      </c>
      <c r="W19" s="402">
        <f>'01 - Dados de Entrada'!$C$82*'01 - Dados de Entrada'!$C$337*'04 - Veículos e Equipamentos'!S37</f>
        <v>46440</v>
      </c>
      <c r="X19" s="402">
        <f>'01 - Dados de Entrada'!$C$82*'01 - Dados de Entrada'!$C$337*'04 - Veículos e Equipamentos'!T37</f>
        <v>46440</v>
      </c>
      <c r="Y19" s="402">
        <f>'01 - Dados de Entrada'!$C$82*'01 - Dados de Entrada'!$C$337*'04 - Veículos e Equipamentos'!U37</f>
        <v>46440</v>
      </c>
      <c r="Z19" s="402">
        <f>'01 - Dados de Entrada'!$C$82*'01 - Dados de Entrada'!$C$337*'04 - Veículos e Equipamentos'!V37</f>
        <v>46440</v>
      </c>
      <c r="AA19" s="402">
        <f>'01 - Dados de Entrada'!$C$82*'01 - Dados de Entrada'!$C$337*'04 - Veículos e Equipamentos'!W37</f>
        <v>46440</v>
      </c>
      <c r="AB19" s="402">
        <f>'01 - Dados de Entrada'!$C$82*'01 - Dados de Entrada'!$C$337*'04 - Veículos e Equipamentos'!X37</f>
        <v>46440</v>
      </c>
      <c r="AC19" s="402">
        <f>'01 - Dados de Entrada'!$C$82*'01 - Dados de Entrada'!$C$337*'04 - Veículos e Equipamentos'!Y37</f>
        <v>46440</v>
      </c>
      <c r="AD19" s="402">
        <f>'01 - Dados de Entrada'!$C$82*'01 - Dados de Entrada'!$C$337*'04 - Veículos e Equipamentos'!Z37</f>
        <v>46440</v>
      </c>
      <c r="AE19" s="402">
        <f>'01 - Dados de Entrada'!$C$82*'01 - Dados de Entrada'!$C$337*'04 - Veículos e Equipamentos'!AA37</f>
        <v>46440</v>
      </c>
      <c r="AF19" s="402">
        <f>'01 - Dados de Entrada'!$C$82*'01 - Dados de Entrada'!$C$337*'04 - Veículos e Equipamentos'!AB37</f>
        <v>46440</v>
      </c>
      <c r="AG19" s="402">
        <f>'01 - Dados de Entrada'!$C$82*'01 - Dados de Entrada'!$C$337*'04 - Veículos e Equipamentos'!AC37</f>
        <v>46440</v>
      </c>
      <c r="AH19" s="402">
        <f>'01 - Dados de Entrada'!$C$82*'01 - Dados de Entrada'!$C$337*'04 - Veículos e Equipamentos'!AD37</f>
        <v>46440</v>
      </c>
      <c r="AI19" s="402">
        <f>'01 - Dados de Entrada'!$C$82*'01 - Dados de Entrada'!$C$337*'04 - Veículos e Equipamentos'!AE37</f>
        <v>46440</v>
      </c>
      <c r="AJ19" s="402">
        <f>'01 - Dados de Entrada'!$C$82*'01 - Dados de Entrada'!$C$337*'04 - Veículos e Equipamentos'!AF37</f>
        <v>46440</v>
      </c>
      <c r="AK19" s="402">
        <f>'01 - Dados de Entrada'!$C$82*'01 - Dados de Entrada'!$C$337*'04 - Veículos e Equipamentos'!AG37</f>
        <v>46440</v>
      </c>
      <c r="AL19" s="402">
        <f>'01 - Dados de Entrada'!$C$82*'01 - Dados de Entrada'!$C$337*'04 - Veículos e Equipamentos'!AH37</f>
        <v>46440</v>
      </c>
      <c r="AM19" s="402">
        <f>'01 - Dados de Entrada'!$C$82*'01 - Dados de Entrada'!$C$337*'04 - Veículos e Equipamentos'!AI37</f>
        <v>46440</v>
      </c>
      <c r="AN19" s="402">
        <f>'01 - Dados de Entrada'!$C$82*'01 - Dados de Entrada'!$C$337*'04 - Veículos e Equipamentos'!AJ37</f>
        <v>46440</v>
      </c>
    </row>
    <row r="20" spans="1:40" s="158" customFormat="1" ht="13.15" customHeight="1" x14ac:dyDescent="0.2">
      <c r="A20" s="435">
        <v>14</v>
      </c>
      <c r="B20" s="463" t="s">
        <v>1213</v>
      </c>
      <c r="C20" s="537">
        <f t="shared" si="2"/>
        <v>23267218.60000002</v>
      </c>
      <c r="D20" s="503">
        <f t="shared" si="3"/>
        <v>1.6330516577807513E-2</v>
      </c>
      <c r="E20" s="538" t="s">
        <v>461</v>
      </c>
      <c r="F20" s="402">
        <f>'13 - Despesas diversas (ADM)'!F38</f>
        <v>774491.96</v>
      </c>
      <c r="G20" s="402">
        <f>'13 - Despesas diversas (ADM)'!G38</f>
        <v>774491.96</v>
      </c>
      <c r="H20" s="402">
        <f>'13 - Despesas diversas (ADM)'!H38</f>
        <v>774491.96</v>
      </c>
      <c r="I20" s="402">
        <f>'13 - Despesas diversas (ADM)'!I38</f>
        <v>654491.96</v>
      </c>
      <c r="J20" s="402">
        <f>'13 - Despesas diversas (ADM)'!J38</f>
        <v>654491.96</v>
      </c>
      <c r="K20" s="402">
        <f>'13 - Despesas diversas (ADM)'!K38</f>
        <v>654491.96</v>
      </c>
      <c r="L20" s="402">
        <f>'13 - Despesas diversas (ADM)'!L38</f>
        <v>654491.96</v>
      </c>
      <c r="M20" s="402">
        <f>'13 - Despesas diversas (ADM)'!M38</f>
        <v>654491.96</v>
      </c>
      <c r="N20" s="402">
        <f>'13 - Despesas diversas (ADM)'!N38</f>
        <v>654491.96</v>
      </c>
      <c r="O20" s="402">
        <f>'13 - Despesas diversas (ADM)'!O38</f>
        <v>654491.96</v>
      </c>
      <c r="P20" s="402">
        <f>'13 - Despesas diversas (ADM)'!P38</f>
        <v>654491.96</v>
      </c>
      <c r="Q20" s="402">
        <f>'13 - Despesas diversas (ADM)'!Q38</f>
        <v>654491.96</v>
      </c>
      <c r="R20" s="402">
        <f>'13 - Despesas diversas (ADM)'!R38</f>
        <v>654491.96</v>
      </c>
      <c r="S20" s="402">
        <f>'13 - Despesas diversas (ADM)'!S38</f>
        <v>654491.96</v>
      </c>
      <c r="T20" s="402">
        <f>'13 - Despesas diversas (ADM)'!T38</f>
        <v>654491.96</v>
      </c>
      <c r="U20" s="402">
        <f>'13 - Despesas diversas (ADM)'!U38</f>
        <v>654491.96</v>
      </c>
      <c r="V20" s="402">
        <f>'13 - Despesas diversas (ADM)'!V38</f>
        <v>654491.96</v>
      </c>
      <c r="W20" s="402">
        <f>'13 - Despesas diversas (ADM)'!W38</f>
        <v>654491.96</v>
      </c>
      <c r="X20" s="402">
        <f>'13 - Despesas diversas (ADM)'!X38</f>
        <v>654491.96</v>
      </c>
      <c r="Y20" s="402">
        <f>'13 - Despesas diversas (ADM)'!Y38</f>
        <v>654491.96</v>
      </c>
      <c r="Z20" s="402">
        <f>'13 - Despesas diversas (ADM)'!Z38</f>
        <v>654491.96</v>
      </c>
      <c r="AA20" s="402">
        <f>'13 - Despesas diversas (ADM)'!AA38</f>
        <v>654491.96</v>
      </c>
      <c r="AB20" s="402">
        <f>'13 - Despesas diversas (ADM)'!AB38</f>
        <v>654491.96</v>
      </c>
      <c r="AC20" s="402">
        <f>'13 - Despesas diversas (ADM)'!AC38</f>
        <v>654491.96</v>
      </c>
      <c r="AD20" s="402">
        <f>'13 - Despesas diversas (ADM)'!AD38</f>
        <v>654491.96</v>
      </c>
      <c r="AE20" s="402">
        <f>'13 - Despesas diversas (ADM)'!AE38</f>
        <v>654491.96</v>
      </c>
      <c r="AF20" s="402">
        <f>'13 - Despesas diversas (ADM)'!AF38</f>
        <v>654491.96</v>
      </c>
      <c r="AG20" s="402">
        <f>'13 - Despesas diversas (ADM)'!AG38</f>
        <v>654491.96</v>
      </c>
      <c r="AH20" s="402">
        <f>'13 - Despesas diversas (ADM)'!AH38</f>
        <v>654491.96</v>
      </c>
      <c r="AI20" s="402">
        <f>'13 - Despesas diversas (ADM)'!AI38</f>
        <v>654491.96</v>
      </c>
      <c r="AJ20" s="402">
        <f>'13 - Despesas diversas (ADM)'!AJ38</f>
        <v>654491.96</v>
      </c>
      <c r="AK20" s="402">
        <f>'13 - Despesas diversas (ADM)'!AK38</f>
        <v>654491.96</v>
      </c>
      <c r="AL20" s="402">
        <f>'13 - Despesas diversas (ADM)'!AL38</f>
        <v>654491.96</v>
      </c>
      <c r="AM20" s="402">
        <f>'13 - Despesas diversas (ADM)'!AM38</f>
        <v>654491.96</v>
      </c>
      <c r="AN20" s="402">
        <f>'13 - Despesas diversas (ADM)'!AN38</f>
        <v>654491.96</v>
      </c>
    </row>
    <row r="21" spans="1:40" s="158" customFormat="1" ht="13.15" customHeight="1" x14ac:dyDescent="0.2">
      <c r="A21" s="435">
        <v>15</v>
      </c>
      <c r="B21" s="463" t="s">
        <v>1214</v>
      </c>
      <c r="C21" s="537">
        <f t="shared" si="2"/>
        <v>560582.20897681708</v>
      </c>
      <c r="D21" s="503">
        <f t="shared" si="3"/>
        <v>3.934547233299239E-4</v>
      </c>
      <c r="E21" s="538" t="s">
        <v>461</v>
      </c>
      <c r="F21" s="402">
        <f>'01 - Dados de Entrada'!$C$352*'02 - Evolução Populacional'!B47</f>
        <v>15208</v>
      </c>
      <c r="G21" s="402">
        <f>'01 - Dados de Entrada'!$C$352*'02 - Evolução Populacional'!C47</f>
        <v>15323.44</v>
      </c>
      <c r="H21" s="402">
        <f>'01 - Dados de Entrada'!$C$352*'02 - Evolução Populacional'!D47</f>
        <v>15438.880000000001</v>
      </c>
      <c r="I21" s="402">
        <f>'01 - Dados de Entrada'!$C$352*'02 - Evolução Populacional'!E47</f>
        <v>15554.32</v>
      </c>
      <c r="J21" s="402">
        <f>'01 - Dados de Entrada'!$C$352*'02 - Evolução Populacional'!F47</f>
        <v>15669.76</v>
      </c>
      <c r="K21" s="402">
        <f>'01 - Dados de Entrada'!$C$352*'02 - Evolução Populacional'!G47</f>
        <v>15785.2</v>
      </c>
      <c r="L21" s="402">
        <f>'01 - Dados de Entrada'!$C$352*'02 - Evolução Populacional'!H47</f>
        <v>15855.28</v>
      </c>
      <c r="M21" s="402">
        <f>'01 - Dados de Entrada'!$C$352*'02 - Evolução Populacional'!I47</f>
        <v>15925.36</v>
      </c>
      <c r="N21" s="402">
        <f>'01 - Dados de Entrada'!$C$352*'02 - Evolução Populacional'!J47</f>
        <v>15995.36</v>
      </c>
      <c r="O21" s="402">
        <f>'01 - Dados de Entrada'!$C$352*'02 - Evolução Populacional'!K47</f>
        <v>16065.44</v>
      </c>
      <c r="P21" s="402">
        <f>'01 - Dados de Entrada'!$C$352*'02 - Evolução Populacional'!L47</f>
        <v>16135.52</v>
      </c>
      <c r="Q21" s="402">
        <f>'01 - Dados de Entrada'!$C$352*'02 - Evolução Populacional'!M47</f>
        <v>16173.2</v>
      </c>
      <c r="R21" s="402">
        <f>'01 - Dados de Entrada'!$C$352*'02 - Evolução Populacional'!N47</f>
        <v>16210.880000000001</v>
      </c>
      <c r="S21" s="402">
        <f>'01 - Dados de Entrada'!$C$352*'02 - Evolução Populacional'!O47</f>
        <v>16248.56</v>
      </c>
      <c r="T21" s="402">
        <f>'01 - Dados de Entrada'!$C$352*'02 - Evolução Populacional'!P47</f>
        <v>16286.24</v>
      </c>
      <c r="U21" s="402">
        <f>'01 - Dados de Entrada'!$C$352*'02 - Evolução Populacional'!Q47</f>
        <v>16323.92</v>
      </c>
      <c r="V21" s="402">
        <f>'01 - Dados de Entrada'!$C$352*'02 - Evolução Populacional'!R47</f>
        <v>16327.04</v>
      </c>
      <c r="W21" s="402">
        <f>'01 - Dados de Entrada'!$C$352*'02 - Evolução Populacional'!S47</f>
        <v>16330.24</v>
      </c>
      <c r="X21" s="402">
        <f>'01 - Dados de Entrada'!$C$352*'02 - Evolução Populacional'!T47</f>
        <v>16333.36</v>
      </c>
      <c r="Y21" s="402">
        <f>'01 - Dados de Entrada'!$C$352*'02 - Evolução Populacional'!U47</f>
        <v>16336.48</v>
      </c>
      <c r="Z21" s="402">
        <f>'01 - Dados de Entrada'!$C$352*'02 - Evolução Populacional'!V47</f>
        <v>16339.68</v>
      </c>
      <c r="AA21" s="402">
        <f>'01 - Dados de Entrada'!$C$352*'02 - Evolução Populacional'!W47</f>
        <v>16313.04</v>
      </c>
      <c r="AB21" s="402">
        <f>'01 - Dados de Entrada'!$C$352*'02 - Evolução Populacional'!X47</f>
        <v>16286.4</v>
      </c>
      <c r="AC21" s="402">
        <f>'01 - Dados de Entrada'!$C$352*'02 - Evolução Populacional'!Y47</f>
        <v>16259.76</v>
      </c>
      <c r="AD21" s="402">
        <f>'01 - Dados de Entrada'!$C$352*'02 - Evolução Populacional'!Z47</f>
        <v>16233.04</v>
      </c>
      <c r="AE21" s="402">
        <f>'01 - Dados de Entrada'!$C$352*'02 - Evolução Populacional'!AA47</f>
        <v>16206.4</v>
      </c>
      <c r="AF21" s="402">
        <f>'01 - Dados de Entrada'!$C$352*'02 - Evolução Populacional'!AB47</f>
        <v>16150.720000000001</v>
      </c>
      <c r="AG21" s="402">
        <f>'01 - Dados de Entrada'!$C$352*'02 - Evolução Populacional'!AC47</f>
        <v>16095.04</v>
      </c>
      <c r="AH21" s="402">
        <f>'01 - Dados de Entrada'!$C$352*'02 - Evolução Populacional'!AD47</f>
        <v>16039.36</v>
      </c>
      <c r="AI21" s="402">
        <f>'01 - Dados de Entrada'!$C$352*'02 - Evolução Populacional'!AE47</f>
        <v>15983.76</v>
      </c>
      <c r="AJ21" s="402">
        <f>'01 - Dados de Entrada'!$C$352*'02 - Evolução Populacional'!AF47</f>
        <v>15983.722904164009</v>
      </c>
      <c r="AK21" s="402">
        <f>'01 - Dados de Entrada'!$C$352*'02 - Evolução Populacional'!AG47</f>
        <v>15928.046027152488</v>
      </c>
      <c r="AL21" s="402">
        <f>'01 - Dados de Entrada'!$C$352*'02 - Evolução Populacional'!AH47</f>
        <v>15836.816354492994</v>
      </c>
      <c r="AM21" s="402">
        <f>'01 - Dados de Entrada'!$C$352*'02 - Evolução Populacional'!AI47</f>
        <v>15745.5866818335</v>
      </c>
      <c r="AN21" s="402">
        <f>'01 - Dados de Entrada'!$C$352*'02 - Evolução Populacional'!AJ47</f>
        <v>15654.357009174011</v>
      </c>
    </row>
    <row r="22" spans="1:40" s="158" customFormat="1" ht="13.15" customHeight="1" x14ac:dyDescent="0.2">
      <c r="A22" s="435">
        <v>16</v>
      </c>
      <c r="B22" s="540" t="s">
        <v>1215</v>
      </c>
      <c r="C22" s="537">
        <f t="shared" si="2"/>
        <v>88723897.193208918</v>
      </c>
      <c r="D22" s="503">
        <f t="shared" si="3"/>
        <v>6.2272465775577775E-2</v>
      </c>
      <c r="E22" s="538" t="s">
        <v>461</v>
      </c>
      <c r="F22" s="402">
        <f>('18 - Tarifa - RSU'!D10+'18 - Tarifa - RSU'!D11+'18 - Tarifa - RSU'!D12)*4*12*'01 - Dados de Entrada'!$C$354</f>
        <v>2197434.5765558309</v>
      </c>
      <c r="G22" s="402">
        <f>('18 - Tarifa - RSU'!E10+'18 - Tarifa - RSU'!E11+'18 - Tarifa - RSU'!E12)*4*12*'01 - Dados de Entrada'!$C$354</f>
        <v>2231484.6948299557</v>
      </c>
      <c r="H22" s="402">
        <f>('18 - Tarifa - RSU'!F10+'18 - Tarifa - RSU'!F11+'18 - Tarifa - RSU'!F12)*4*12*'01 - Dados de Entrada'!$C$354</f>
        <v>2265534.8131040814</v>
      </c>
      <c r="I22" s="402">
        <f>('18 - Tarifa - RSU'!G10+'18 - Tarifa - RSU'!G11+'18 - Tarifa - RSU'!G12)*4*12*'01 - Dados de Entrada'!$C$354</f>
        <v>2299554.502318087</v>
      </c>
      <c r="J22" s="402">
        <f>('18 - Tarifa - RSU'!H10+'18 - Tarifa - RSU'!H11+'18 - Tarifa - RSU'!H12)*4*12*'01 - Dados de Entrada'!$C$354</f>
        <v>2333604.6205922132</v>
      </c>
      <c r="K22" s="402">
        <f>('18 - Tarifa - RSU'!I10+'18 - Tarifa - RSU'!I11+'18 - Tarifa - RSU'!I12)*4*12*'01 - Dados de Entrada'!$C$354</f>
        <v>2367654.738866338</v>
      </c>
      <c r="L22" s="402">
        <f>('18 - Tarifa - RSU'!J10+'18 - Tarifa - RSU'!J11+'18 - Tarifa - RSU'!J12)*4*12*'01 - Dados de Entrada'!$C$354</f>
        <v>2393032.5750063029</v>
      </c>
      <c r="M22" s="402">
        <f>('18 - Tarifa - RSU'!K10+'18 - Tarifa - RSU'!K11+'18 - Tarifa - RSU'!K12)*4*12*'01 - Dados de Entrada'!$C$354</f>
        <v>2418410.4111462678</v>
      </c>
      <c r="N22" s="402">
        <f>('18 - Tarifa - RSU'!L10+'18 - Tarifa - RSU'!L11+'18 - Tarifa - RSU'!L12)*4*12*'01 - Dados de Entrada'!$C$354</f>
        <v>2443788.2472862322</v>
      </c>
      <c r="O22" s="402">
        <f>('18 - Tarifa - RSU'!M10+'18 - Tarifa - RSU'!M11+'18 - Tarifa - RSU'!M12)*4*12*'01 - Dados de Entrada'!$C$354</f>
        <v>2469166.0834261971</v>
      </c>
      <c r="P22" s="402">
        <f>('18 - Tarifa - RSU'!N10+'18 - Tarifa - RSU'!N11+'18 - Tarifa - RSU'!N12)*4*12*'01 - Dados de Entrada'!$C$354</f>
        <v>2494543.9195661624</v>
      </c>
      <c r="Q22" s="402">
        <f>('18 - Tarifa - RSU'!O10+'18 - Tarifa - RSU'!O11+'18 - Tarifa - RSU'!O12)*4*12*'01 - Dados de Entrada'!$C$354</f>
        <v>2512740.49751784</v>
      </c>
      <c r="R22" s="402">
        <f>('18 - Tarifa - RSU'!P10+'18 - Tarifa - RSU'!P11+'18 - Tarifa - RSU'!P12)*4*12*'01 - Dados de Entrada'!$C$354</f>
        <v>2530937.0754695176</v>
      </c>
      <c r="S22" s="402">
        <f>('18 - Tarifa - RSU'!Q10+'18 - Tarifa - RSU'!Q11+'18 - Tarifa - RSU'!Q12)*4*12*'01 - Dados de Entrada'!$C$354</f>
        <v>2549133.6534211952</v>
      </c>
      <c r="T22" s="402">
        <f>('18 - Tarifa - RSU'!R10+'18 - Tarifa - RSU'!R11+'18 - Tarifa - RSU'!R12)*4*12*'01 - Dados de Entrada'!$C$354</f>
        <v>2567330.2313728728</v>
      </c>
      <c r="U22" s="402">
        <f>('18 - Tarifa - RSU'!S10+'18 - Tarifa - RSU'!S11+'18 - Tarifa - RSU'!S12)*4*12*'01 - Dados de Entrada'!$C$354</f>
        <v>2585526.8093245509</v>
      </c>
      <c r="V22" s="402">
        <f>('18 - Tarifa - RSU'!T10+'18 - Tarifa - RSU'!T11+'18 - Tarifa - RSU'!T12)*4*12*'01 - Dados de Entrada'!$C$354</f>
        <v>2596116.1222462622</v>
      </c>
      <c r="W22" s="402">
        <f>('18 - Tarifa - RSU'!U10+'18 - Tarifa - RSU'!U11+'18 - Tarifa - RSU'!U12)*4*12*'01 - Dados de Entrada'!$C$354</f>
        <v>2606705.4351679743</v>
      </c>
      <c r="X22" s="402">
        <f>('18 - Tarifa - RSU'!V10+'18 - Tarifa - RSU'!V11+'18 - Tarifa - RSU'!V12)*4*12*'01 - Dados de Entrada'!$C$354</f>
        <v>2617325.1771498062</v>
      </c>
      <c r="Y22" s="402">
        <f>('18 - Tarifa - RSU'!W10+'18 - Tarifa - RSU'!W11+'18 - Tarifa - RSU'!W12)*4*12*'01 - Dados de Entrada'!$C$354</f>
        <v>2627914.4900715183</v>
      </c>
      <c r="Z22" s="402">
        <f>('18 - Tarifa - RSU'!X10+'18 - Tarifa - RSU'!X11+'18 - Tarifa - RSU'!X12)*4*12*'01 - Dados de Entrada'!$C$354</f>
        <v>2638503.8029932305</v>
      </c>
      <c r="AA22" s="402">
        <f>('18 - Tarifa - RSU'!Y10+'18 - Tarifa - RSU'!Y11+'18 - Tarifa - RSU'!Y12)*4*12*'01 - Dados de Entrada'!$C$354</f>
        <v>2642337.8645683327</v>
      </c>
      <c r="AB22" s="402">
        <f>('18 - Tarifa - RSU'!Z10+'18 - Tarifa - RSU'!Z11+'18 - Tarifa - RSU'!Z12)*4*12*'01 - Dados de Entrada'!$C$354</f>
        <v>2646171.9261434353</v>
      </c>
      <c r="AC22" s="402">
        <f>('18 - Tarifa - RSU'!AA10+'18 - Tarifa - RSU'!AA11+'18 - Tarifa - RSU'!AA12)*4*12*'01 - Dados de Entrada'!$C$354</f>
        <v>2650005.9877185384</v>
      </c>
      <c r="AD22" s="402">
        <f>('18 - Tarifa - RSU'!AB10+'18 - Tarifa - RSU'!AB11+'18 - Tarifa - RSU'!AB12)*4*12*'01 - Dados de Entrada'!$C$354</f>
        <v>2653840.0492936415</v>
      </c>
      <c r="AE22" s="402">
        <f>('18 - Tarifa - RSU'!AC10+'18 - Tarifa - RSU'!AC11+'18 - Tarifa - RSU'!AC12)*4*12*'01 - Dados de Entrada'!$C$354</f>
        <v>2657643.681808624</v>
      </c>
      <c r="AF22" s="402">
        <f>('18 - Tarifa - RSU'!AD10+'18 - Tarifa - RSU'!AD11+'18 - Tarifa - RSU'!AD12)*4*12*'01 - Dados de Entrada'!$C$354</f>
        <v>2655026.782638316</v>
      </c>
      <c r="AG22" s="402">
        <f>('18 - Tarifa - RSU'!AE10+'18 - Tarifa - RSU'!AE11+'18 - Tarifa - RSU'!AE12)*4*12*'01 - Dados de Entrada'!$C$354</f>
        <v>2652409.8834680077</v>
      </c>
      <c r="AH22" s="402">
        <f>('18 - Tarifa - RSU'!AF10+'18 - Tarifa - RSU'!AF11+'18 - Tarifa - RSU'!AF12)*4*12*'01 - Dados de Entrada'!$C$354</f>
        <v>2649792.9842976998</v>
      </c>
      <c r="AI22" s="402">
        <f>('18 - Tarifa - RSU'!AG10+'18 - Tarifa - RSU'!AG11+'18 - Tarifa - RSU'!AG12)*4*12*'01 - Dados de Entrada'!$C$354</f>
        <v>2647145.6560672713</v>
      </c>
      <c r="AJ22" s="402">
        <f>('18 - Tarifa - RSU'!AH10+'18 - Tarifa - RSU'!AH11+'18 - Tarifa - RSU'!AH12)*4*12*'01 - Dados de Entrada'!$C$354</f>
        <v>2644528.7568969629</v>
      </c>
      <c r="AK22" s="402">
        <f>('18 - Tarifa - RSU'!AI10+'18 - Tarifa - RSU'!AI11+'18 - Tarifa - RSU'!AI12)*4*12*'01 - Dados de Entrada'!$C$354</f>
        <v>2634578.454237768</v>
      </c>
      <c r="AL22" s="402">
        <f>('18 - Tarifa - RSU'!AJ10+'18 - Tarifa - RSU'!AJ11+'18 - Tarifa - RSU'!AJ12)*4*12*'01 - Dados de Entrada'!$C$354</f>
        <v>2624628.151578573</v>
      </c>
      <c r="AM22" s="402">
        <f>('18 - Tarifa - RSU'!AK10+'18 - Tarifa - RSU'!AK11+'18 - Tarifa - RSU'!AK12)*4*12*'01 - Dados de Entrada'!$C$354</f>
        <v>2614647.4198592589</v>
      </c>
      <c r="AN22" s="402">
        <f>('18 - Tarifa - RSU'!AL10+'18 - Tarifa - RSU'!AL11+'18 - Tarifa - RSU'!AL12)*4*12*'01 - Dados de Entrada'!$C$354</f>
        <v>2604697.1172000645</v>
      </c>
    </row>
    <row r="23" spans="1:40" s="158" customFormat="1" ht="13.15" customHeight="1" x14ac:dyDescent="0.2">
      <c r="A23" s="435">
        <v>17</v>
      </c>
      <c r="B23" s="463" t="s">
        <v>1216</v>
      </c>
      <c r="C23" s="537">
        <f t="shared" si="2"/>
        <v>72464199.346406713</v>
      </c>
      <c r="D23" s="503">
        <f t="shared" si="3"/>
        <v>5.0860303892277102E-2</v>
      </c>
      <c r="E23" s="538" t="s">
        <v>461</v>
      </c>
      <c r="F23" s="402">
        <f>('16 - RU'!$F$52)+('16 - RU'!$M$24*'18 - Tarifa - RSU'!D9)</f>
        <v>1916046.0298847302</v>
      </c>
      <c r="G23" s="402">
        <f>('16 - RU'!$F$52)+('16 - RU'!$M$24*'18 - Tarifa - RSU'!E9)</f>
        <v>1931617.6943788244</v>
      </c>
      <c r="H23" s="402">
        <f>('16 - RU'!$F$52)+('16 - RU'!$M$24*'18 - Tarifa - RSU'!F9)</f>
        <v>1947189.3588729186</v>
      </c>
      <c r="I23" s="402">
        <f>('16 - RU'!$F$52)+('16 - RU'!$M$24*'18 - Tarifa - RSU'!G9)</f>
        <v>1962747.107670414</v>
      </c>
      <c r="J23" s="402">
        <f>('16 - RU'!$F$52)+('16 - RU'!$M$24*'18 - Tarifa - RSU'!H9)</f>
        <v>1978318.7721645082</v>
      </c>
      <c r="K23" s="402">
        <f>('16 - RU'!$F$52)+('16 - RU'!$M$24*'18 - Tarifa - RSU'!I9)</f>
        <v>1993890.4366586022</v>
      </c>
      <c r="L23" s="402">
        <f>('16 - RU'!$F$52)+('16 - RU'!$M$24*'18 - Tarifa - RSU'!J9)</f>
        <v>2005496.1276220293</v>
      </c>
      <c r="M23" s="402">
        <f>('16 - RU'!$F$52)+('16 - RU'!$M$24*'18 - Tarifa - RSU'!K9)</f>
        <v>2017101.8185854559</v>
      </c>
      <c r="N23" s="402">
        <f>('16 - RU'!$F$52)+('16 - RU'!$M$24*'18 - Tarifa - RSU'!L9)</f>
        <v>2028707.5095488825</v>
      </c>
      <c r="O23" s="402">
        <f>('16 - RU'!$F$52)+('16 - RU'!$M$24*'18 - Tarifa - RSU'!M9)</f>
        <v>2040313.2005123093</v>
      </c>
      <c r="P23" s="402">
        <f>('16 - RU'!$F$52)+('16 - RU'!$M$24*'18 - Tarifa - RSU'!N9)</f>
        <v>2051918.8914757362</v>
      </c>
      <c r="Q23" s="402">
        <f>('16 - RU'!$F$52)+('16 - RU'!$M$24*'18 - Tarifa - RSU'!O9)</f>
        <v>2060240.4780418384</v>
      </c>
      <c r="R23" s="402">
        <f>('16 - RU'!$F$52)+('16 - RU'!$M$24*'18 - Tarifa - RSU'!P9)</f>
        <v>2068562.0646079406</v>
      </c>
      <c r="S23" s="402">
        <f>('16 - RU'!$F$52)+('16 - RU'!$M$24*'18 - Tarifa - RSU'!Q9)</f>
        <v>2076883.6511740431</v>
      </c>
      <c r="T23" s="402">
        <f>('16 - RU'!$F$52)+('16 - RU'!$M$24*'18 - Tarifa - RSU'!R9)</f>
        <v>2085205.2377401453</v>
      </c>
      <c r="U23" s="402">
        <f>('16 - RU'!$F$52)+('16 - RU'!$M$24*'18 - Tarifa - RSU'!S9)</f>
        <v>2093526.8243062475</v>
      </c>
      <c r="V23" s="402">
        <f>('16 - RU'!$F$52)+('16 - RU'!$M$24*'18 - Tarifa - RSU'!T9)</f>
        <v>2098369.4867226416</v>
      </c>
      <c r="W23" s="402">
        <f>('16 - RU'!$F$52)+('16 - RU'!$M$24*'18 - Tarifa - RSU'!U9)</f>
        <v>2103212.1491390355</v>
      </c>
      <c r="X23" s="402">
        <f>('16 - RU'!$F$52)+('16 - RU'!$M$24*'18 - Tarifa - RSU'!V9)</f>
        <v>2108068.727252028</v>
      </c>
      <c r="Y23" s="402">
        <f>('16 - RU'!$F$52)+('16 - RU'!$M$24*'18 - Tarifa - RSU'!W9)</f>
        <v>2112911.3896684218</v>
      </c>
      <c r="Z23" s="402">
        <f>('16 - RU'!$F$52)+('16 - RU'!$M$24*'18 - Tarifa - RSU'!X9)</f>
        <v>2117754.0520848157</v>
      </c>
      <c r="AA23" s="402">
        <f>('16 - RU'!$F$52)+('16 - RU'!$M$24*'18 - Tarifa - RSU'!Y9)</f>
        <v>2119507.4298562687</v>
      </c>
      <c r="AB23" s="402">
        <f>('16 - RU'!$F$52)+('16 - RU'!$M$24*'18 - Tarifa - RSU'!Z9)</f>
        <v>2121260.8076277217</v>
      </c>
      <c r="AC23" s="402">
        <f>('16 - RU'!$F$52)+('16 - RU'!$M$24*'18 - Tarifa - RSU'!AA9)</f>
        <v>2123014.1853991747</v>
      </c>
      <c r="AD23" s="402">
        <f>('16 - RU'!$F$52)+('16 - RU'!$M$24*'18 - Tarifa - RSU'!AB9)</f>
        <v>2124767.5631706277</v>
      </c>
      <c r="AE23" s="402">
        <f>('16 - RU'!$F$52)+('16 - RU'!$M$24*'18 - Tarifa - RSU'!AC9)</f>
        <v>2126507.0252454821</v>
      </c>
      <c r="AF23" s="402">
        <f>('16 - RU'!$F$52)+('16 - RU'!$M$24*'18 - Tarifa - RSU'!AD9)</f>
        <v>2125310.2753379825</v>
      </c>
      <c r="AG23" s="402">
        <f>('16 - RU'!$F$52)+('16 - RU'!$M$24*'18 - Tarifa - RSU'!AE9)</f>
        <v>2124113.5254304828</v>
      </c>
      <c r="AH23" s="402">
        <f>('16 - RU'!$F$52)+('16 - RU'!$M$24*'18 - Tarifa - RSU'!AF9)</f>
        <v>2122916.7755229832</v>
      </c>
      <c r="AI23" s="402">
        <f>('16 - RU'!$F$52)+('16 - RU'!$M$24*'18 - Tarifa - RSU'!AG9)</f>
        <v>2121706.1099188849</v>
      </c>
      <c r="AJ23" s="402">
        <f>('16 - RU'!$F$52)+('16 - RU'!$M$24*'18 - Tarifa - RSU'!AH9)</f>
        <v>2120509.3600113848</v>
      </c>
      <c r="AK23" s="402">
        <f>('16 - RU'!$F$52)+('16 - RU'!$M$24*'18 - Tarifa - RSU'!AI9)</f>
        <v>2115958.9272235669</v>
      </c>
      <c r="AL23" s="402">
        <f>('16 - RU'!$F$52)+('16 - RU'!$M$24*'18 - Tarifa - RSU'!AJ9)</f>
        <v>2111408.4944357481</v>
      </c>
      <c r="AM23" s="402">
        <f>('16 - RU'!$F$52)+('16 - RU'!$M$24*'18 - Tarifa - RSU'!AK9)</f>
        <v>2106844.1459513307</v>
      </c>
      <c r="AN23" s="402">
        <f>('16 - RU'!$F$52)+('16 - RU'!$M$24*'18 - Tarifa - RSU'!AL9)</f>
        <v>2102293.7131635128</v>
      </c>
    </row>
    <row r="24" spans="1:40" s="21" customFormat="1" ht="13.15" customHeight="1" x14ac:dyDescent="0.2">
      <c r="A24" s="163"/>
      <c r="B24" s="163" t="s">
        <v>1217</v>
      </c>
      <c r="C24" s="107">
        <f>SUM(C8:C23)</f>
        <v>1424769295.5175216</v>
      </c>
      <c r="D24" s="444">
        <f>SUM(D8:D23)</f>
        <v>1.0000000000000004</v>
      </c>
      <c r="E24" s="73"/>
      <c r="F24" s="107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</row>
    <row r="25" spans="1:40" ht="13.15" customHeight="1" x14ac:dyDescent="0.2">
      <c r="A25" s="493"/>
      <c r="B25" s="493"/>
      <c r="C25" s="493"/>
      <c r="D25" s="541"/>
      <c r="E25" s="493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</row>
    <row r="26" spans="1:40" ht="13.15" customHeight="1" x14ac:dyDescent="0.2">
      <c r="A26" s="493"/>
      <c r="B26" s="493"/>
      <c r="C26" s="493"/>
      <c r="D26" s="541"/>
      <c r="E26" s="493"/>
      <c r="F26" s="66">
        <f t="array" ref="F26:AN26">TRANSPOSE('03 - Geração de Resíduos'!S9:S43)</f>
        <v>36365.237052447163</v>
      </c>
      <c r="G26" s="66">
        <v>36047.239105529399</v>
      </c>
      <c r="H26" s="66">
        <v>35725.637628450662</v>
      </c>
      <c r="I26" s="66">
        <v>35212.565498530603</v>
      </c>
      <c r="J26" s="66">
        <v>35105.99293743568</v>
      </c>
      <c r="K26" s="66">
        <v>35259.330636099854</v>
      </c>
      <c r="L26" s="66">
        <v>35310.110453936286</v>
      </c>
      <c r="M26" s="66">
        <v>35359.955379404346</v>
      </c>
      <c r="N26" s="66">
        <v>35408.688317705033</v>
      </c>
      <c r="O26" s="66">
        <v>35135.185883105223</v>
      </c>
      <c r="P26" s="66">
        <v>34857.943879032078</v>
      </c>
      <c r="Q26" s="66">
        <v>34507.832277674359</v>
      </c>
      <c r="R26" s="66">
        <v>34588.227939647433</v>
      </c>
      <c r="S26" s="66">
        <v>34668.623601620493</v>
      </c>
      <c r="T26" s="66">
        <v>34749.019263593553</v>
      </c>
      <c r="U26" s="66">
        <v>34829.414925566627</v>
      </c>
      <c r="V26" s="66">
        <v>34836.071891207699</v>
      </c>
      <c r="W26" s="66">
        <v>34842.899548275491</v>
      </c>
      <c r="X26" s="66">
        <v>34849.55651391657</v>
      </c>
      <c r="Y26" s="66">
        <v>34856.213479557642</v>
      </c>
      <c r="Z26" s="66">
        <v>34863.041136625427</v>
      </c>
      <c r="AA26" s="66">
        <v>34806.200891536195</v>
      </c>
      <c r="AB26" s="66">
        <v>34749.360646446956</v>
      </c>
      <c r="AC26" s="66">
        <v>34692.520401357717</v>
      </c>
      <c r="AD26" s="66">
        <v>34635.509464841773</v>
      </c>
      <c r="AE26" s="66">
        <v>34578.669219752541</v>
      </c>
      <c r="AF26" s="66">
        <v>34459.867986773235</v>
      </c>
      <c r="AG26" s="66">
        <v>34341.066753793937</v>
      </c>
      <c r="AH26" s="66">
        <v>34222.265520814624</v>
      </c>
      <c r="AI26" s="66">
        <v>34103.634979262017</v>
      </c>
      <c r="AJ26" s="66">
        <v>33984.833746282711</v>
      </c>
      <c r="AK26" s="66">
        <v>33790.074828424396</v>
      </c>
      <c r="AL26" s="66">
        <v>33595.486601992772</v>
      </c>
      <c r="AM26" s="66">
        <v>33400.72768413445</v>
      </c>
      <c r="AN26" s="66">
        <v>33206.310149129531</v>
      </c>
    </row>
  </sheetData>
  <mergeCells count="3">
    <mergeCell ref="B6:B7"/>
    <mergeCell ref="A6:A7"/>
    <mergeCell ref="C6:D6"/>
  </mergeCells>
  <pageMargins left="0.511811024" right="0.511811024" top="0.78740157499999996" bottom="0.78740157499999996" header="0.31496062000000002" footer="0.31496062000000002"/>
  <pageSetup paperSize="9" scale="2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ilha17"/>
  <dimension ref="A1:AN61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9.28515625" style="68"/>
    <col min="2" max="2" width="46.7109375" style="68" customWidth="1"/>
    <col min="3" max="3" width="16.7109375" style="68" bestFit="1" customWidth="1"/>
    <col min="4" max="4" width="16.5703125" style="68" bestFit="1" customWidth="1"/>
    <col min="5" max="5" width="13.28515625" style="68" bestFit="1" customWidth="1"/>
    <col min="6" max="8" width="14.28515625" style="68" bestFit="1" customWidth="1"/>
    <col min="9" max="9" width="16.28515625" style="68" customWidth="1"/>
    <col min="10" max="38" width="14.28515625" style="68" bestFit="1" customWidth="1"/>
    <col min="39" max="39" width="9.28515625" style="68"/>
    <col min="40" max="40" width="33.5703125" style="68" customWidth="1"/>
    <col min="41" max="16384" width="9.28515625" style="68"/>
  </cols>
  <sheetData>
    <row r="1" spans="1:40" ht="13.15" customHeight="1" x14ac:dyDescent="0.2">
      <c r="A1" s="21" t="s">
        <v>0</v>
      </c>
      <c r="B1" s="21"/>
      <c r="C1" s="21"/>
      <c r="D1" s="67"/>
    </row>
    <row r="2" spans="1:40" ht="13.15" customHeight="1" x14ac:dyDescent="0.2">
      <c r="A2" s="21" t="s">
        <v>1</v>
      </c>
      <c r="B2" s="21"/>
      <c r="C2" s="21"/>
      <c r="D2" s="67"/>
    </row>
    <row r="3" spans="1:40" ht="13.15" customHeight="1" x14ac:dyDescent="0.2">
      <c r="A3" s="21" t="s">
        <v>1218</v>
      </c>
      <c r="B3" s="21"/>
      <c r="C3" s="21"/>
      <c r="D3" s="67"/>
    </row>
    <row r="5" spans="1:40" s="445" customFormat="1" ht="13.15" customHeight="1" x14ac:dyDescent="0.2"/>
    <row r="6" spans="1:40" ht="13.15" customHeight="1" x14ac:dyDescent="0.2">
      <c r="A6" s="542"/>
      <c r="B6" s="493"/>
      <c r="C6" s="394">
        <v>2024</v>
      </c>
      <c r="D6" s="394">
        <v>2025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01"/>
    </row>
    <row r="7" spans="1:40" ht="13.15" customHeight="1" x14ac:dyDescent="0.2">
      <c r="A7" s="70" t="s">
        <v>1131</v>
      </c>
      <c r="B7" s="70" t="s">
        <v>833</v>
      </c>
      <c r="C7" s="70" t="s">
        <v>707</v>
      </c>
      <c r="D7" s="70" t="s">
        <v>775</v>
      </c>
      <c r="E7" s="70" t="s">
        <v>776</v>
      </c>
      <c r="F7" s="70" t="s">
        <v>777</v>
      </c>
      <c r="G7" s="70" t="s">
        <v>778</v>
      </c>
      <c r="H7" s="70" t="s">
        <v>779</v>
      </c>
      <c r="I7" s="70" t="s">
        <v>780</v>
      </c>
      <c r="J7" s="70" t="s">
        <v>781</v>
      </c>
      <c r="K7" s="70" t="s">
        <v>782</v>
      </c>
      <c r="L7" s="70" t="s">
        <v>783</v>
      </c>
      <c r="M7" s="70" t="s">
        <v>717</v>
      </c>
      <c r="N7" s="70" t="s">
        <v>718</v>
      </c>
      <c r="O7" s="70" t="s">
        <v>719</v>
      </c>
      <c r="P7" s="70" t="s">
        <v>720</v>
      </c>
      <c r="Q7" s="70" t="s">
        <v>721</v>
      </c>
      <c r="R7" s="70" t="s">
        <v>722</v>
      </c>
      <c r="S7" s="70" t="s">
        <v>723</v>
      </c>
      <c r="T7" s="70" t="s">
        <v>724</v>
      </c>
      <c r="U7" s="70" t="s">
        <v>725</v>
      </c>
      <c r="V7" s="70" t="s">
        <v>726</v>
      </c>
      <c r="W7" s="70" t="s">
        <v>727</v>
      </c>
      <c r="X7" s="70" t="s">
        <v>728</v>
      </c>
      <c r="Y7" s="70" t="s">
        <v>729</v>
      </c>
      <c r="Z7" s="70" t="s">
        <v>730</v>
      </c>
      <c r="AA7" s="70" t="s">
        <v>731</v>
      </c>
      <c r="AB7" s="70" t="s">
        <v>732</v>
      </c>
      <c r="AC7" s="70" t="s">
        <v>733</v>
      </c>
      <c r="AD7" s="70" t="s">
        <v>734</v>
      </c>
      <c r="AE7" s="70" t="s">
        <v>735</v>
      </c>
      <c r="AF7" s="70" t="s">
        <v>736</v>
      </c>
      <c r="AG7" s="70" t="s">
        <v>737</v>
      </c>
      <c r="AH7" s="70" t="s">
        <v>738</v>
      </c>
      <c r="AI7" s="70" t="s">
        <v>739</v>
      </c>
      <c r="AJ7" s="70" t="s">
        <v>740</v>
      </c>
      <c r="AK7" s="70" t="s">
        <v>741</v>
      </c>
      <c r="AL7" s="70" t="s">
        <v>742</v>
      </c>
    </row>
    <row r="8" spans="1:40" customFormat="1" ht="13.15" customHeight="1" x14ac:dyDescent="0.2">
      <c r="A8" s="9"/>
      <c r="B8" s="9"/>
      <c r="C8" s="9" t="s">
        <v>1219</v>
      </c>
      <c r="D8" s="399">
        <v>1.0276789526113561</v>
      </c>
      <c r="E8" s="399">
        <v>1.0154953956934154</v>
      </c>
      <c r="F8" s="399">
        <v>1.0152589521913438</v>
      </c>
      <c r="G8" s="399">
        <v>1.0150161847071306</v>
      </c>
      <c r="H8" s="399">
        <v>1.014807267338</v>
      </c>
      <c r="I8" s="399">
        <v>1.0145912113704525</v>
      </c>
      <c r="J8" s="399">
        <v>1.010718554408873</v>
      </c>
      <c r="K8" s="399">
        <v>1.0106048853680556</v>
      </c>
      <c r="L8" s="399">
        <v>1.0104936019225688</v>
      </c>
      <c r="M8" s="399">
        <v>1.0103846297518397</v>
      </c>
      <c r="N8" s="399">
        <v>1.0102778975907327</v>
      </c>
      <c r="O8" s="399">
        <v>1.00729455104356</v>
      </c>
      <c r="P8" s="399">
        <v>1.0072417259043076</v>
      </c>
      <c r="Q8" s="399">
        <v>1.0071896603546739</v>
      </c>
      <c r="R8" s="399">
        <v>1.0071383381280365</v>
      </c>
      <c r="S8" s="399">
        <v>1.0070877434189474</v>
      </c>
      <c r="T8" s="399">
        <v>1.0040956113406065</v>
      </c>
      <c r="U8" s="399">
        <v>1.0040789057280495</v>
      </c>
      <c r="V8" s="399">
        <v>1.0040740092219693</v>
      </c>
      <c r="W8" s="399">
        <v>1.0040458530006744</v>
      </c>
      <c r="X8" s="399">
        <v>1.0040295500335796</v>
      </c>
      <c r="Y8" s="399">
        <v>1.001453119594049</v>
      </c>
      <c r="Z8" s="399">
        <v>1.0014510111013866</v>
      </c>
      <c r="AA8" s="399">
        <v>1.0014489087187508</v>
      </c>
      <c r="AB8" s="399">
        <v>1.0014468124196216</v>
      </c>
      <c r="AC8" s="399">
        <v>1.0014332561286032</v>
      </c>
      <c r="AD8" s="399">
        <v>0.99901533106630491</v>
      </c>
      <c r="AE8" s="399">
        <v>0.9990143605377465</v>
      </c>
      <c r="AF8" s="399">
        <v>0.99901338809411822</v>
      </c>
      <c r="AG8" s="399">
        <v>0.99900093016846381</v>
      </c>
      <c r="AH8" s="399">
        <v>0.99901142607536153</v>
      </c>
      <c r="AI8" s="399">
        <v>0.99623740046946196</v>
      </c>
      <c r="AJ8" s="399">
        <v>0.99622318984534708</v>
      </c>
      <c r="AK8" s="399">
        <v>0.99619727780740608</v>
      </c>
      <c r="AL8" s="399">
        <v>0.99619439983241398</v>
      </c>
      <c r="AN8" s="9" t="s">
        <v>1220</v>
      </c>
    </row>
    <row r="9" spans="1:40" ht="13.15" customHeight="1" x14ac:dyDescent="0.2">
      <c r="A9" s="70"/>
      <c r="B9" s="69" t="s">
        <v>1221</v>
      </c>
      <c r="C9" s="167">
        <v>81488</v>
      </c>
      <c r="D9" s="167">
        <f>C9*D8</f>
        <v>83743.502490394181</v>
      </c>
      <c r="E9" s="167">
        <f>E8*D9</f>
        <v>85041.14119823536</v>
      </c>
      <c r="F9" s="167">
        <f t="shared" ref="F9:AK9" si="0">F8*E9</f>
        <v>86338.779906076554</v>
      </c>
      <c r="G9" s="167">
        <f t="shared" si="0"/>
        <v>87635.258972534502</v>
      </c>
      <c r="H9" s="167">
        <f t="shared" si="0"/>
        <v>88932.897680375681</v>
      </c>
      <c r="I9" s="167">
        <f t="shared" si="0"/>
        <v>90230.53638821686</v>
      </c>
      <c r="J9" s="167">
        <f t="shared" si="0"/>
        <v>91197.677301835764</v>
      </c>
      <c r="K9" s="167">
        <f t="shared" si="0"/>
        <v>92164.818215454652</v>
      </c>
      <c r="L9" s="167">
        <f t="shared" si="0"/>
        <v>93131.959129073541</v>
      </c>
      <c r="M9" s="167">
        <f t="shared" si="0"/>
        <v>94099.100042692444</v>
      </c>
      <c r="N9" s="167">
        <f t="shared" si="0"/>
        <v>95066.240956311347</v>
      </c>
      <c r="O9" s="167">
        <f t="shared" si="0"/>
        <v>95759.706503486537</v>
      </c>
      <c r="P9" s="167">
        <f t="shared" si="0"/>
        <v>96453.172050661728</v>
      </c>
      <c r="Q9" s="167">
        <f t="shared" si="0"/>
        <v>97146.637597836918</v>
      </c>
      <c r="R9" s="167">
        <f t="shared" si="0"/>
        <v>97840.103145012108</v>
      </c>
      <c r="S9" s="167">
        <f t="shared" si="0"/>
        <v>98533.568692187298</v>
      </c>
      <c r="T9" s="167">
        <f t="shared" si="0"/>
        <v>98937.123893553449</v>
      </c>
      <c r="U9" s="167">
        <f t="shared" si="0"/>
        <v>99340.6790949196</v>
      </c>
      <c r="V9" s="167">
        <f t="shared" si="0"/>
        <v>99745.393937668996</v>
      </c>
      <c r="W9" s="167">
        <f t="shared" si="0"/>
        <v>100148.94913903516</v>
      </c>
      <c r="X9" s="167">
        <f t="shared" si="0"/>
        <v>100552.50434040133</v>
      </c>
      <c r="Y9" s="167">
        <f t="shared" si="0"/>
        <v>100698.61915468906</v>
      </c>
      <c r="Z9" s="167">
        <f t="shared" si="0"/>
        <v>100844.73396897681</v>
      </c>
      <c r="AA9" s="167">
        <f t="shared" si="0"/>
        <v>100990.84878326456</v>
      </c>
      <c r="AB9" s="167">
        <f t="shared" si="0"/>
        <v>101136.96359755233</v>
      </c>
      <c r="AC9" s="167">
        <f t="shared" si="0"/>
        <v>101281.91877045685</v>
      </c>
      <c r="AD9" s="167">
        <f t="shared" si="0"/>
        <v>101182.18961149854</v>
      </c>
      <c r="AE9" s="167">
        <f t="shared" si="0"/>
        <v>101082.46045254024</v>
      </c>
      <c r="AF9" s="167">
        <f t="shared" si="0"/>
        <v>100982.73129358194</v>
      </c>
      <c r="AG9" s="167">
        <f t="shared" si="0"/>
        <v>100881.84249324039</v>
      </c>
      <c r="AH9" s="167">
        <f t="shared" si="0"/>
        <v>100782.11333428208</v>
      </c>
      <c r="AI9" s="167">
        <f t="shared" si="0"/>
        <v>100402.91060196389</v>
      </c>
      <c r="AJ9" s="167">
        <f t="shared" si="0"/>
        <v>100023.70786964567</v>
      </c>
      <c r="AK9" s="167">
        <f t="shared" si="0"/>
        <v>99643.345495944246</v>
      </c>
      <c r="AL9" s="167">
        <f>AL8*AK9</f>
        <v>99264.142763626049</v>
      </c>
      <c r="AN9" s="9" t="s">
        <v>1222</v>
      </c>
    </row>
    <row r="10" spans="1:40" ht="13.15" customHeight="1" x14ac:dyDescent="0.2">
      <c r="A10" s="543" t="s">
        <v>205</v>
      </c>
      <c r="B10" s="150" t="s">
        <v>663</v>
      </c>
      <c r="C10" s="313">
        <f t="shared" ref="C10:L18" si="1">C$9*$AN10</f>
        <v>6506.5555664119747</v>
      </c>
      <c r="D10" s="313">
        <f t="shared" si="1"/>
        <v>6686.6502095978467</v>
      </c>
      <c r="E10" s="168">
        <f t="shared" si="1"/>
        <v>6790.2625004590245</v>
      </c>
      <c r="F10" s="168">
        <f t="shared" si="1"/>
        <v>6893.8747913202033</v>
      </c>
      <c r="G10" s="168">
        <f t="shared" si="1"/>
        <v>6997.3944885344999</v>
      </c>
      <c r="H10" s="168">
        <f t="shared" si="1"/>
        <v>7101.0067793956778</v>
      </c>
      <c r="I10" s="168">
        <f t="shared" si="1"/>
        <v>7204.6190702568556</v>
      </c>
      <c r="J10" s="168">
        <f t="shared" si="1"/>
        <v>7281.842171756608</v>
      </c>
      <c r="K10" s="168">
        <f t="shared" si="1"/>
        <v>7359.0652732563594</v>
      </c>
      <c r="L10" s="168">
        <f t="shared" si="1"/>
        <v>7436.2883747561109</v>
      </c>
      <c r="M10" s="168">
        <f t="shared" ref="M10:V18" si="2">M$9*$AN10</f>
        <v>7513.5114762558633</v>
      </c>
      <c r="N10" s="168">
        <f t="shared" si="2"/>
        <v>7590.7345777556156</v>
      </c>
      <c r="O10" s="168">
        <f t="shared" si="2"/>
        <v>7646.1055785911703</v>
      </c>
      <c r="P10" s="168">
        <f t="shared" si="2"/>
        <v>7701.476579426725</v>
      </c>
      <c r="Q10" s="168">
        <f t="shared" si="2"/>
        <v>7756.8475802622788</v>
      </c>
      <c r="R10" s="168">
        <f t="shared" si="2"/>
        <v>7812.2185810978335</v>
      </c>
      <c r="S10" s="168">
        <f t="shared" si="2"/>
        <v>7867.5895819333882</v>
      </c>
      <c r="T10" s="168">
        <f t="shared" si="2"/>
        <v>7899.812171048392</v>
      </c>
      <c r="U10" s="168">
        <f t="shared" si="2"/>
        <v>7932.0347601633957</v>
      </c>
      <c r="V10" s="168">
        <f t="shared" si="2"/>
        <v>7964.3499429252824</v>
      </c>
      <c r="W10" s="168">
        <f t="shared" ref="W10:AF18" si="3">W$9*$AN10</f>
        <v>7996.5725320402871</v>
      </c>
      <c r="X10" s="168">
        <f t="shared" si="3"/>
        <v>8028.7951211552927</v>
      </c>
      <c r="Y10" s="168">
        <f t="shared" si="3"/>
        <v>8040.4619206624484</v>
      </c>
      <c r="Z10" s="168">
        <f t="shared" si="3"/>
        <v>8052.1287201696059</v>
      </c>
      <c r="AA10" s="168">
        <f t="shared" si="3"/>
        <v>8063.7955196767625</v>
      </c>
      <c r="AB10" s="168">
        <f t="shared" si="3"/>
        <v>8075.462319183921</v>
      </c>
      <c r="AC10" s="168">
        <f t="shared" si="3"/>
        <v>8087.0365250441964</v>
      </c>
      <c r="AD10" s="168">
        <f t="shared" si="3"/>
        <v>8079.0734714123273</v>
      </c>
      <c r="AE10" s="168">
        <f t="shared" si="3"/>
        <v>8071.1104177804582</v>
      </c>
      <c r="AF10" s="168">
        <f t="shared" si="3"/>
        <v>8063.1473641485891</v>
      </c>
      <c r="AG10" s="168">
        <f t="shared" ref="AG10:AL18" si="4">AG$9*$AN10</f>
        <v>8055.091716869837</v>
      </c>
      <c r="AH10" s="168">
        <f t="shared" si="4"/>
        <v>8047.1286632379688</v>
      </c>
      <c r="AI10" s="168">
        <f t="shared" si="4"/>
        <v>8016.8505407074899</v>
      </c>
      <c r="AJ10" s="168">
        <f t="shared" si="4"/>
        <v>7986.5724181770111</v>
      </c>
      <c r="AK10" s="168">
        <f t="shared" si="4"/>
        <v>7956.201701999651</v>
      </c>
      <c r="AL10" s="168">
        <f t="shared" si="4"/>
        <v>7925.9235794691731</v>
      </c>
      <c r="AN10" s="314">
        <v>7.9846794207883057E-2</v>
      </c>
    </row>
    <row r="11" spans="1:40" ht="13.15" customHeight="1" x14ac:dyDescent="0.2">
      <c r="A11" s="543" t="s">
        <v>208</v>
      </c>
      <c r="B11" s="423" t="s">
        <v>667</v>
      </c>
      <c r="C11" s="313">
        <f t="shared" si="1"/>
        <v>65805.061673424381</v>
      </c>
      <c r="D11" s="313">
        <f t="shared" si="1"/>
        <v>67626.476857070447</v>
      </c>
      <c r="E11" s="168">
        <f t="shared" si="1"/>
        <v>68674.375875322366</v>
      </c>
      <c r="F11" s="168">
        <f t="shared" si="1"/>
        <v>69722.274893574286</v>
      </c>
      <c r="G11" s="168">
        <f t="shared" si="1"/>
        <v>70769.23745157753</v>
      </c>
      <c r="H11" s="168">
        <f t="shared" si="1"/>
        <v>71817.136469829449</v>
      </c>
      <c r="I11" s="168">
        <f t="shared" si="1"/>
        <v>72865.035488081354</v>
      </c>
      <c r="J11" s="168">
        <f t="shared" si="1"/>
        <v>73646.043335464812</v>
      </c>
      <c r="K11" s="168">
        <f t="shared" si="1"/>
        <v>74427.05118284827</v>
      </c>
      <c r="L11" s="168">
        <f t="shared" si="1"/>
        <v>75208.059030231729</v>
      </c>
      <c r="M11" s="168">
        <f t="shared" si="2"/>
        <v>75989.066877615187</v>
      </c>
      <c r="N11" s="168">
        <f t="shared" si="2"/>
        <v>76770.07472499866</v>
      </c>
      <c r="O11" s="168">
        <f t="shared" si="2"/>
        <v>77330.077953698084</v>
      </c>
      <c r="P11" s="168">
        <f t="shared" si="2"/>
        <v>77890.081182397495</v>
      </c>
      <c r="Q11" s="168">
        <f t="shared" si="2"/>
        <v>78450.084411096919</v>
      </c>
      <c r="R11" s="168">
        <f t="shared" si="2"/>
        <v>79010.087639796344</v>
      </c>
      <c r="S11" s="168">
        <f t="shared" si="2"/>
        <v>79570.090868495769</v>
      </c>
      <c r="T11" s="168">
        <f t="shared" si="2"/>
        <v>79895.979035029857</v>
      </c>
      <c r="U11" s="168">
        <f t="shared" si="2"/>
        <v>80221.86720156396</v>
      </c>
      <c r="V11" s="168">
        <f t="shared" si="2"/>
        <v>80548.691828346738</v>
      </c>
      <c r="W11" s="168">
        <f t="shared" si="3"/>
        <v>80874.579994880842</v>
      </c>
      <c r="X11" s="168">
        <f t="shared" si="3"/>
        <v>81200.468161414959</v>
      </c>
      <c r="Y11" s="168">
        <f t="shared" si="3"/>
        <v>81318.462152746259</v>
      </c>
      <c r="Z11" s="168">
        <f t="shared" si="3"/>
        <v>81436.456144077572</v>
      </c>
      <c r="AA11" s="168">
        <f t="shared" si="3"/>
        <v>81554.450135408901</v>
      </c>
      <c r="AB11" s="168">
        <f t="shared" si="3"/>
        <v>81672.444126740229</v>
      </c>
      <c r="AC11" s="168">
        <f t="shared" si="3"/>
        <v>81789.501657822882</v>
      </c>
      <c r="AD11" s="168">
        <f t="shared" si="3"/>
        <v>81708.966076438024</v>
      </c>
      <c r="AE11" s="168">
        <f t="shared" si="3"/>
        <v>81628.430495053151</v>
      </c>
      <c r="AF11" s="168">
        <f t="shared" si="3"/>
        <v>81547.894913668293</v>
      </c>
      <c r="AG11" s="168">
        <f t="shared" si="4"/>
        <v>81466.422872034746</v>
      </c>
      <c r="AH11" s="168">
        <f t="shared" si="4"/>
        <v>81385.887290649887</v>
      </c>
      <c r="AI11" s="168">
        <f t="shared" si="4"/>
        <v>81079.664789337665</v>
      </c>
      <c r="AJ11" s="168">
        <f t="shared" si="4"/>
        <v>80773.442288025442</v>
      </c>
      <c r="AK11" s="168">
        <f t="shared" si="4"/>
        <v>80466.28332646456</v>
      </c>
      <c r="AL11" s="168">
        <f t="shared" si="4"/>
        <v>80160.060825152352</v>
      </c>
      <c r="AN11" s="314">
        <f>80.7886971645204%-AN20</f>
        <v>0.80754297164520394</v>
      </c>
    </row>
    <row r="12" spans="1:40" ht="13.15" customHeight="1" x14ac:dyDescent="0.2">
      <c r="A12" s="543" t="s">
        <v>210</v>
      </c>
      <c r="B12" s="423" t="s">
        <v>669</v>
      </c>
      <c r="C12" s="313">
        <f t="shared" si="1"/>
        <v>1933.1763234518203</v>
      </c>
      <c r="D12" s="313">
        <f t="shared" si="1"/>
        <v>1986.6846192980388</v>
      </c>
      <c r="E12" s="168">
        <f t="shared" si="1"/>
        <v>2017.4690835920844</v>
      </c>
      <c r="F12" s="168">
        <f t="shared" si="1"/>
        <v>2048.25354788613</v>
      </c>
      <c r="G12" s="168">
        <f t="shared" si="1"/>
        <v>2079.0105014882242</v>
      </c>
      <c r="H12" s="168">
        <f t="shared" si="1"/>
        <v>2109.7949657822696</v>
      </c>
      <c r="I12" s="168">
        <f t="shared" si="1"/>
        <v>2140.579430076315</v>
      </c>
      <c r="J12" s="168">
        <f t="shared" si="1"/>
        <v>2163.5233471641027</v>
      </c>
      <c r="K12" s="168">
        <f t="shared" si="1"/>
        <v>2186.4672642518899</v>
      </c>
      <c r="L12" s="168">
        <f t="shared" si="1"/>
        <v>2209.4111813396767</v>
      </c>
      <c r="M12" s="168">
        <f t="shared" si="2"/>
        <v>2232.3550984274643</v>
      </c>
      <c r="N12" s="168">
        <f t="shared" si="2"/>
        <v>2255.299015515252</v>
      </c>
      <c r="O12" s="168">
        <f t="shared" si="2"/>
        <v>2271.7504093024186</v>
      </c>
      <c r="P12" s="168">
        <f t="shared" si="2"/>
        <v>2288.2018030895852</v>
      </c>
      <c r="Q12" s="168">
        <f t="shared" si="2"/>
        <v>2304.6531968767517</v>
      </c>
      <c r="R12" s="168">
        <f t="shared" si="2"/>
        <v>2321.1045906639183</v>
      </c>
      <c r="S12" s="168">
        <f t="shared" si="2"/>
        <v>2337.5559844510854</v>
      </c>
      <c r="T12" s="168">
        <f t="shared" si="2"/>
        <v>2347.1297052503055</v>
      </c>
      <c r="U12" s="168">
        <f t="shared" si="2"/>
        <v>2356.7034260495261</v>
      </c>
      <c r="V12" s="168">
        <f t="shared" si="2"/>
        <v>2366.3046575406984</v>
      </c>
      <c r="W12" s="168">
        <f t="shared" si="3"/>
        <v>2375.8783783399194</v>
      </c>
      <c r="X12" s="168">
        <f t="shared" si="3"/>
        <v>2385.45209913914</v>
      </c>
      <c r="Y12" s="168">
        <f t="shared" si="3"/>
        <v>2388.9184463250645</v>
      </c>
      <c r="Z12" s="168">
        <f t="shared" si="3"/>
        <v>2392.3847935109893</v>
      </c>
      <c r="AA12" s="168">
        <f t="shared" si="3"/>
        <v>2395.8511406969142</v>
      </c>
      <c r="AB12" s="168">
        <f t="shared" si="3"/>
        <v>2399.317487882839</v>
      </c>
      <c r="AC12" s="168">
        <f t="shared" si="3"/>
        <v>2402.7563243768122</v>
      </c>
      <c r="AD12" s="168">
        <f t="shared" si="3"/>
        <v>2400.3904048689587</v>
      </c>
      <c r="AE12" s="168">
        <f t="shared" si="3"/>
        <v>2398.0244853611057</v>
      </c>
      <c r="AF12" s="168">
        <f t="shared" si="3"/>
        <v>2395.6585658532522</v>
      </c>
      <c r="AG12" s="168">
        <f t="shared" si="4"/>
        <v>2393.265135653447</v>
      </c>
      <c r="AH12" s="168">
        <f t="shared" si="4"/>
        <v>2390.8992161455935</v>
      </c>
      <c r="AI12" s="168">
        <f t="shared" si="4"/>
        <v>2381.9032198773602</v>
      </c>
      <c r="AJ12" s="168">
        <f t="shared" si="4"/>
        <v>2372.907223609127</v>
      </c>
      <c r="AK12" s="168">
        <f t="shared" si="4"/>
        <v>2363.883716648942</v>
      </c>
      <c r="AL12" s="168">
        <f t="shared" si="4"/>
        <v>2354.8877203807092</v>
      </c>
      <c r="AN12" s="314">
        <v>2.3723447911984837E-2</v>
      </c>
    </row>
    <row r="13" spans="1:40" ht="13.15" customHeight="1" x14ac:dyDescent="0.2">
      <c r="A13" s="543" t="s">
        <v>212</v>
      </c>
      <c r="B13" s="150" t="s">
        <v>671</v>
      </c>
      <c r="C13" s="313">
        <f t="shared" si="1"/>
        <v>2165.6670509839173</v>
      </c>
      <c r="D13" s="313">
        <f t="shared" si="1"/>
        <v>2225.6104466600764</v>
      </c>
      <c r="E13" s="168">
        <f t="shared" si="1"/>
        <v>2260.0971611904733</v>
      </c>
      <c r="F13" s="168">
        <f t="shared" si="1"/>
        <v>2294.5838757208708</v>
      </c>
      <c r="G13" s="168">
        <f t="shared" si="1"/>
        <v>2329.0397710246989</v>
      </c>
      <c r="H13" s="168">
        <f t="shared" si="1"/>
        <v>2363.5264855550959</v>
      </c>
      <c r="I13" s="168">
        <f t="shared" si="1"/>
        <v>2398.0132000854928</v>
      </c>
      <c r="J13" s="168">
        <f t="shared" si="1"/>
        <v>2423.7164350438052</v>
      </c>
      <c r="K13" s="168">
        <f t="shared" si="1"/>
        <v>2449.4196700021166</v>
      </c>
      <c r="L13" s="168">
        <f t="shared" si="1"/>
        <v>2475.1229049604285</v>
      </c>
      <c r="M13" s="168">
        <f t="shared" si="2"/>
        <v>2500.8261399187409</v>
      </c>
      <c r="N13" s="168">
        <f t="shared" si="2"/>
        <v>2526.5293748770528</v>
      </c>
      <c r="O13" s="168">
        <f t="shared" si="2"/>
        <v>2544.9592723651472</v>
      </c>
      <c r="P13" s="168">
        <f t="shared" si="2"/>
        <v>2563.389169853242</v>
      </c>
      <c r="Q13" s="168">
        <f t="shared" si="2"/>
        <v>2581.8190673413364</v>
      </c>
      <c r="R13" s="168">
        <f t="shared" si="2"/>
        <v>2600.2489648294309</v>
      </c>
      <c r="S13" s="168">
        <f t="shared" si="2"/>
        <v>2618.6788623175253</v>
      </c>
      <c r="T13" s="168">
        <f t="shared" si="2"/>
        <v>2629.4039531634394</v>
      </c>
      <c r="U13" s="168">
        <f t="shared" si="2"/>
        <v>2640.1290440093535</v>
      </c>
      <c r="V13" s="168">
        <f t="shared" si="2"/>
        <v>2650.8849540818369</v>
      </c>
      <c r="W13" s="168">
        <f t="shared" si="3"/>
        <v>2661.6100449277515</v>
      </c>
      <c r="X13" s="168">
        <f t="shared" si="3"/>
        <v>2672.335135773666</v>
      </c>
      <c r="Y13" s="168">
        <f t="shared" si="3"/>
        <v>2676.2183583213241</v>
      </c>
      <c r="Z13" s="168">
        <f t="shared" si="3"/>
        <v>2680.1015808689831</v>
      </c>
      <c r="AA13" s="168">
        <f t="shared" si="3"/>
        <v>2683.9848034166416</v>
      </c>
      <c r="AB13" s="168">
        <f t="shared" si="3"/>
        <v>2687.8680259643006</v>
      </c>
      <c r="AC13" s="168">
        <f t="shared" si="3"/>
        <v>2691.7204292853908</v>
      </c>
      <c r="AD13" s="168">
        <f t="shared" si="3"/>
        <v>2689.0699758004812</v>
      </c>
      <c r="AE13" s="168">
        <f t="shared" si="3"/>
        <v>2686.4195223155712</v>
      </c>
      <c r="AF13" s="168">
        <f t="shared" si="3"/>
        <v>2683.7690688306611</v>
      </c>
      <c r="AG13" s="168">
        <f t="shared" si="4"/>
        <v>2681.0877961191823</v>
      </c>
      <c r="AH13" s="168">
        <f t="shared" si="4"/>
        <v>2678.4373426342727</v>
      </c>
      <c r="AI13" s="168">
        <f t="shared" si="4"/>
        <v>2668.3594555463014</v>
      </c>
      <c r="AJ13" s="168">
        <f t="shared" si="4"/>
        <v>2658.2815684583297</v>
      </c>
      <c r="AK13" s="168">
        <f t="shared" si="4"/>
        <v>2648.1728621437901</v>
      </c>
      <c r="AL13" s="168">
        <f t="shared" si="4"/>
        <v>2638.0949750558188</v>
      </c>
      <c r="AN13" s="314">
        <v>2.6576514959060441E-2</v>
      </c>
    </row>
    <row r="14" spans="1:40" ht="13.15" customHeight="1" x14ac:dyDescent="0.2">
      <c r="A14" s="543" t="s">
        <v>214</v>
      </c>
      <c r="B14" s="150" t="s">
        <v>673</v>
      </c>
      <c r="C14" s="313">
        <f t="shared" si="1"/>
        <v>4832.9408086295507</v>
      </c>
      <c r="D14" s="313">
        <f t="shared" si="1"/>
        <v>4966.7115482450963</v>
      </c>
      <c r="E14" s="168">
        <f t="shared" si="1"/>
        <v>5043.6727089802107</v>
      </c>
      <c r="F14" s="168">
        <f t="shared" si="1"/>
        <v>5120.6338697153251</v>
      </c>
      <c r="G14" s="168">
        <f t="shared" si="1"/>
        <v>5197.5262537205599</v>
      </c>
      <c r="H14" s="168">
        <f t="shared" si="1"/>
        <v>5274.4874144556734</v>
      </c>
      <c r="I14" s="168">
        <f t="shared" si="1"/>
        <v>5351.4485751907878</v>
      </c>
      <c r="J14" s="168">
        <f t="shared" si="1"/>
        <v>5408.8083679102565</v>
      </c>
      <c r="K14" s="168">
        <f t="shared" si="1"/>
        <v>5466.1681606297243</v>
      </c>
      <c r="L14" s="168">
        <f t="shared" si="1"/>
        <v>5523.5279533491921</v>
      </c>
      <c r="M14" s="168">
        <f t="shared" si="2"/>
        <v>5580.8877460686608</v>
      </c>
      <c r="N14" s="168">
        <f t="shared" si="2"/>
        <v>5638.2475387881295</v>
      </c>
      <c r="O14" s="168">
        <f t="shared" si="2"/>
        <v>5679.3760232560462</v>
      </c>
      <c r="P14" s="168">
        <f t="shared" si="2"/>
        <v>5720.5045077239629</v>
      </c>
      <c r="Q14" s="168">
        <f t="shared" si="2"/>
        <v>5761.6329921918796</v>
      </c>
      <c r="R14" s="168">
        <f t="shared" si="2"/>
        <v>5802.7614766597962</v>
      </c>
      <c r="S14" s="168">
        <f t="shared" si="2"/>
        <v>5843.8899611277129</v>
      </c>
      <c r="T14" s="168">
        <f t="shared" si="2"/>
        <v>5867.8242631257635</v>
      </c>
      <c r="U14" s="168">
        <f t="shared" si="2"/>
        <v>5891.7585651238151</v>
      </c>
      <c r="V14" s="168">
        <f t="shared" si="2"/>
        <v>5915.7616438517462</v>
      </c>
      <c r="W14" s="168">
        <f t="shared" si="3"/>
        <v>5939.6959458497977</v>
      </c>
      <c r="X14" s="168">
        <f t="shared" si="3"/>
        <v>5963.6302478478501</v>
      </c>
      <c r="Y14" s="168">
        <f t="shared" si="3"/>
        <v>5972.2961158126609</v>
      </c>
      <c r="Z14" s="168">
        <f t="shared" si="3"/>
        <v>5980.9619837774726</v>
      </c>
      <c r="AA14" s="168">
        <f t="shared" si="3"/>
        <v>5989.6278517422852</v>
      </c>
      <c r="AB14" s="168">
        <f t="shared" si="3"/>
        <v>5998.2937197070978</v>
      </c>
      <c r="AC14" s="168">
        <f t="shared" si="3"/>
        <v>6006.8908109420308</v>
      </c>
      <c r="AD14" s="168">
        <f t="shared" si="3"/>
        <v>6000.9760121723966</v>
      </c>
      <c r="AE14" s="168">
        <f t="shared" si="3"/>
        <v>5995.0612134027633</v>
      </c>
      <c r="AF14" s="168">
        <f t="shared" si="3"/>
        <v>5989.14641463313</v>
      </c>
      <c r="AG14" s="168">
        <f t="shared" si="4"/>
        <v>5983.1628391336171</v>
      </c>
      <c r="AH14" s="168">
        <f t="shared" si="4"/>
        <v>5977.2480403639829</v>
      </c>
      <c r="AI14" s="168">
        <f t="shared" si="4"/>
        <v>5954.7580496934006</v>
      </c>
      <c r="AJ14" s="168">
        <f t="shared" si="4"/>
        <v>5932.2680590228174</v>
      </c>
      <c r="AK14" s="168">
        <f t="shared" si="4"/>
        <v>5909.7092916223555</v>
      </c>
      <c r="AL14" s="168">
        <f t="shared" si="4"/>
        <v>5887.2193009517723</v>
      </c>
      <c r="AN14" s="314">
        <v>5.9308619779962088E-2</v>
      </c>
    </row>
    <row r="15" spans="1:40" ht="13.15" customHeight="1" x14ac:dyDescent="0.2">
      <c r="A15" s="543" t="s">
        <v>216</v>
      </c>
      <c r="B15" s="423" t="s">
        <v>675</v>
      </c>
      <c r="C15" s="313">
        <f t="shared" si="1"/>
        <v>62.103687491450572</v>
      </c>
      <c r="D15" s="313">
        <f t="shared" si="1"/>
        <v>63.822652514516903</v>
      </c>
      <c r="E15" s="168">
        <f t="shared" si="1"/>
        <v>64.811609769432692</v>
      </c>
      <c r="F15" s="168">
        <f t="shared" si="1"/>
        <v>65.800567024348496</v>
      </c>
      <c r="G15" s="168">
        <f t="shared" si="1"/>
        <v>66.788640492620047</v>
      </c>
      <c r="H15" s="168">
        <f t="shared" si="1"/>
        <v>67.77759774753585</v>
      </c>
      <c r="I15" s="168">
        <f t="shared" si="1"/>
        <v>68.766555002451639</v>
      </c>
      <c r="J15" s="168">
        <f t="shared" si="1"/>
        <v>69.503633063756183</v>
      </c>
      <c r="K15" s="168">
        <f t="shared" si="1"/>
        <v>70.240711125060713</v>
      </c>
      <c r="L15" s="168">
        <f t="shared" si="1"/>
        <v>70.977789186365243</v>
      </c>
      <c r="M15" s="168">
        <f t="shared" si="2"/>
        <v>71.714867247669773</v>
      </c>
      <c r="N15" s="168">
        <f t="shared" si="2"/>
        <v>72.451945308974317</v>
      </c>
      <c r="O15" s="168">
        <f t="shared" si="2"/>
        <v>72.980449722235846</v>
      </c>
      <c r="P15" s="168">
        <f t="shared" si="2"/>
        <v>73.50895413549739</v>
      </c>
      <c r="Q15" s="168">
        <f t="shared" si="2"/>
        <v>74.03745854875892</v>
      </c>
      <c r="R15" s="168">
        <f t="shared" si="2"/>
        <v>74.56596296202045</v>
      </c>
      <c r="S15" s="168">
        <f t="shared" si="2"/>
        <v>75.09446737528198</v>
      </c>
      <c r="T15" s="168">
        <f t="shared" si="2"/>
        <v>75.402025127480997</v>
      </c>
      <c r="U15" s="168">
        <f t="shared" si="2"/>
        <v>75.709582879679999</v>
      </c>
      <c r="V15" s="168">
        <f t="shared" si="2"/>
        <v>76.018024418523268</v>
      </c>
      <c r="W15" s="168">
        <f t="shared" si="3"/>
        <v>76.325582170722285</v>
      </c>
      <c r="X15" s="168">
        <f t="shared" si="3"/>
        <v>76.633139922921302</v>
      </c>
      <c r="Y15" s="168">
        <f t="shared" si="3"/>
        <v>76.744497040096803</v>
      </c>
      <c r="Z15" s="168">
        <f t="shared" si="3"/>
        <v>76.855854157272319</v>
      </c>
      <c r="AA15" s="168">
        <f t="shared" si="3"/>
        <v>76.96721127444782</v>
      </c>
      <c r="AB15" s="168">
        <f t="shared" si="3"/>
        <v>77.078568391623335</v>
      </c>
      <c r="AC15" s="168">
        <f t="shared" si="3"/>
        <v>77.189041722154599</v>
      </c>
      <c r="AD15" s="168">
        <f t="shared" si="3"/>
        <v>77.113036070749089</v>
      </c>
      <c r="AE15" s="168">
        <f t="shared" si="3"/>
        <v>77.037030419343594</v>
      </c>
      <c r="AF15" s="168">
        <f t="shared" si="3"/>
        <v>76.961024767938085</v>
      </c>
      <c r="AG15" s="168">
        <f t="shared" si="4"/>
        <v>76.884135329888323</v>
      </c>
      <c r="AH15" s="168">
        <f t="shared" si="4"/>
        <v>76.808129678482828</v>
      </c>
      <c r="AI15" s="168">
        <f t="shared" si="4"/>
        <v>76.519131445813059</v>
      </c>
      <c r="AJ15" s="168">
        <f t="shared" si="4"/>
        <v>76.23013321314329</v>
      </c>
      <c r="AK15" s="168">
        <f t="shared" si="4"/>
        <v>75.940251193829283</v>
      </c>
      <c r="AL15" s="168">
        <f t="shared" si="4"/>
        <v>75.651252961159528</v>
      </c>
      <c r="AN15" s="314">
        <v>7.6212064956129215E-4</v>
      </c>
    </row>
    <row r="16" spans="1:40" ht="13.15" customHeight="1" x14ac:dyDescent="0.2">
      <c r="A16" s="543" t="s">
        <v>218</v>
      </c>
      <c r="B16" s="423" t="s">
        <v>677</v>
      </c>
      <c r="C16" s="313">
        <f t="shared" si="1"/>
        <v>12.739217946964221</v>
      </c>
      <c r="D16" s="313">
        <f t="shared" si="1"/>
        <v>13.091826156823979</v>
      </c>
      <c r="E16" s="168">
        <f t="shared" si="1"/>
        <v>13.294689183473373</v>
      </c>
      <c r="F16" s="168">
        <f t="shared" si="1"/>
        <v>13.49755221012277</v>
      </c>
      <c r="G16" s="168">
        <f t="shared" si="1"/>
        <v>13.700233947204113</v>
      </c>
      <c r="H16" s="168">
        <f t="shared" si="1"/>
        <v>13.903096973853506</v>
      </c>
      <c r="I16" s="168">
        <f t="shared" si="1"/>
        <v>14.1059600005029</v>
      </c>
      <c r="J16" s="168">
        <f t="shared" si="1"/>
        <v>14.257155500257678</v>
      </c>
      <c r="K16" s="168">
        <f t="shared" si="1"/>
        <v>14.408351000012454</v>
      </c>
      <c r="L16" s="168">
        <f t="shared" si="1"/>
        <v>14.559546499767228</v>
      </c>
      <c r="M16" s="168">
        <f t="shared" si="2"/>
        <v>14.710741999522005</v>
      </c>
      <c r="N16" s="168">
        <f t="shared" si="2"/>
        <v>14.861937499276783</v>
      </c>
      <c r="O16" s="168">
        <f t="shared" si="2"/>
        <v>14.970348660971457</v>
      </c>
      <c r="P16" s="168">
        <f t="shared" si="2"/>
        <v>15.078759822666131</v>
      </c>
      <c r="Q16" s="168">
        <f t="shared" si="2"/>
        <v>15.187170984360803</v>
      </c>
      <c r="R16" s="168">
        <f t="shared" si="2"/>
        <v>15.295582146055477</v>
      </c>
      <c r="S16" s="168">
        <f t="shared" si="2"/>
        <v>15.403993307750151</v>
      </c>
      <c r="T16" s="168">
        <f t="shared" si="2"/>
        <v>15.467082077431998</v>
      </c>
      <c r="U16" s="168">
        <f t="shared" si="2"/>
        <v>15.530170847113846</v>
      </c>
      <c r="V16" s="168">
        <f t="shared" si="2"/>
        <v>15.593440906363746</v>
      </c>
      <c r="W16" s="168">
        <f t="shared" si="3"/>
        <v>15.656529676045597</v>
      </c>
      <c r="X16" s="168">
        <f t="shared" si="3"/>
        <v>15.719618445727447</v>
      </c>
      <c r="Y16" s="168">
        <f t="shared" si="3"/>
        <v>15.742460931301908</v>
      </c>
      <c r="Z16" s="168">
        <f t="shared" si="3"/>
        <v>15.765303416876371</v>
      </c>
      <c r="AA16" s="168">
        <f t="shared" si="3"/>
        <v>15.788145902450834</v>
      </c>
      <c r="AB16" s="168">
        <f t="shared" si="3"/>
        <v>15.810988388025299</v>
      </c>
      <c r="AC16" s="168">
        <f t="shared" si="3"/>
        <v>15.833649584031713</v>
      </c>
      <c r="AD16" s="168">
        <f t="shared" si="3"/>
        <v>15.818058681179302</v>
      </c>
      <c r="AE16" s="168">
        <f t="shared" si="3"/>
        <v>15.802467778326891</v>
      </c>
      <c r="AF16" s="168">
        <f t="shared" si="3"/>
        <v>15.78687687547448</v>
      </c>
      <c r="AG16" s="168">
        <f t="shared" si="4"/>
        <v>15.771104683054016</v>
      </c>
      <c r="AH16" s="168">
        <f t="shared" si="4"/>
        <v>15.755513780201605</v>
      </c>
      <c r="AI16" s="168">
        <f t="shared" si="4"/>
        <v>15.696232091448833</v>
      </c>
      <c r="AJ16" s="168">
        <f t="shared" si="4"/>
        <v>15.636950402696058</v>
      </c>
      <c r="AK16" s="168">
        <f t="shared" si="4"/>
        <v>15.577487424375237</v>
      </c>
      <c r="AL16" s="168">
        <f t="shared" si="4"/>
        <v>15.518205735622466</v>
      </c>
      <c r="AN16" s="314">
        <v>1.5633244093564967E-4</v>
      </c>
    </row>
    <row r="17" spans="1:40" ht="13.15" customHeight="1" x14ac:dyDescent="0.2">
      <c r="A17" s="543" t="s">
        <v>220</v>
      </c>
      <c r="B17" s="423" t="s">
        <v>679</v>
      </c>
      <c r="C17" s="313">
        <f t="shared" si="1"/>
        <v>138.53899517323589</v>
      </c>
      <c r="D17" s="313">
        <f t="shared" si="1"/>
        <v>142.37360945546075</v>
      </c>
      <c r="E17" s="168">
        <f t="shared" si="1"/>
        <v>144.57974487027292</v>
      </c>
      <c r="F17" s="168">
        <f t="shared" si="1"/>
        <v>146.78588028508509</v>
      </c>
      <c r="G17" s="168">
        <f t="shared" si="1"/>
        <v>148.9900441758447</v>
      </c>
      <c r="H17" s="168">
        <f t="shared" si="1"/>
        <v>151.19617959065687</v>
      </c>
      <c r="I17" s="168">
        <f t="shared" si="1"/>
        <v>153.40231500546903</v>
      </c>
      <c r="J17" s="168">
        <f t="shared" si="1"/>
        <v>155.04656606530222</v>
      </c>
      <c r="K17" s="168">
        <f t="shared" si="1"/>
        <v>156.6908171251354</v>
      </c>
      <c r="L17" s="168">
        <f t="shared" si="1"/>
        <v>158.33506818496858</v>
      </c>
      <c r="M17" s="168">
        <f t="shared" si="2"/>
        <v>159.97931924480179</v>
      </c>
      <c r="N17" s="168">
        <f t="shared" si="2"/>
        <v>161.623570304635</v>
      </c>
      <c r="O17" s="168">
        <f t="shared" si="2"/>
        <v>162.80254168806457</v>
      </c>
      <c r="P17" s="168">
        <f t="shared" si="2"/>
        <v>163.98151307149413</v>
      </c>
      <c r="Q17" s="168">
        <f t="shared" si="2"/>
        <v>165.1604844549237</v>
      </c>
      <c r="R17" s="168">
        <f t="shared" si="2"/>
        <v>166.3394558383533</v>
      </c>
      <c r="S17" s="168">
        <f t="shared" si="2"/>
        <v>167.51842722178287</v>
      </c>
      <c r="T17" s="168">
        <f t="shared" si="2"/>
        <v>168.20451759207296</v>
      </c>
      <c r="U17" s="168">
        <f t="shared" si="2"/>
        <v>168.89060796236305</v>
      </c>
      <c r="V17" s="168">
        <f t="shared" si="2"/>
        <v>169.57866985670572</v>
      </c>
      <c r="W17" s="168">
        <f t="shared" si="3"/>
        <v>170.26476022699586</v>
      </c>
      <c r="X17" s="168">
        <f t="shared" si="3"/>
        <v>170.95085059728598</v>
      </c>
      <c r="Y17" s="168">
        <f t="shared" si="3"/>
        <v>171.19926262790824</v>
      </c>
      <c r="Z17" s="168">
        <f t="shared" si="3"/>
        <v>171.44767465853053</v>
      </c>
      <c r="AA17" s="168">
        <f t="shared" si="3"/>
        <v>171.69608668915279</v>
      </c>
      <c r="AB17" s="168">
        <f t="shared" si="3"/>
        <v>171.94449871977511</v>
      </c>
      <c r="AC17" s="168">
        <f t="shared" si="3"/>
        <v>172.19093922634485</v>
      </c>
      <c r="AD17" s="168">
        <f t="shared" si="3"/>
        <v>172.02138815782487</v>
      </c>
      <c r="AE17" s="168">
        <f t="shared" si="3"/>
        <v>171.85183708930492</v>
      </c>
      <c r="AF17" s="168">
        <f t="shared" si="3"/>
        <v>171.68228602078494</v>
      </c>
      <c r="AG17" s="168">
        <f t="shared" si="4"/>
        <v>171.51076342821239</v>
      </c>
      <c r="AH17" s="168">
        <f t="shared" si="4"/>
        <v>171.34121235969243</v>
      </c>
      <c r="AI17" s="168">
        <f t="shared" si="4"/>
        <v>170.69652399450604</v>
      </c>
      <c r="AJ17" s="168">
        <f t="shared" si="4"/>
        <v>170.05183562931961</v>
      </c>
      <c r="AK17" s="168">
        <f t="shared" si="4"/>
        <v>169.40517574008069</v>
      </c>
      <c r="AL17" s="168">
        <f t="shared" si="4"/>
        <v>168.7604873748943</v>
      </c>
      <c r="AN17" s="314">
        <v>1.7001152951751899E-3</v>
      </c>
    </row>
    <row r="18" spans="1:40" ht="13.15" customHeight="1" x14ac:dyDescent="0.2">
      <c r="A18" s="543" t="s">
        <v>222</v>
      </c>
      <c r="B18" s="423" t="s">
        <v>681</v>
      </c>
      <c r="C18" s="313">
        <f t="shared" si="1"/>
        <v>3.1848044867410552</v>
      </c>
      <c r="D18" s="313">
        <f t="shared" si="1"/>
        <v>3.2729565392059947</v>
      </c>
      <c r="E18" s="168">
        <f t="shared" si="1"/>
        <v>3.3236722958683433</v>
      </c>
      <c r="F18" s="168">
        <f t="shared" si="1"/>
        <v>3.3743880525306924</v>
      </c>
      <c r="G18" s="168">
        <f t="shared" si="1"/>
        <v>3.4250584868010283</v>
      </c>
      <c r="H18" s="168">
        <f t="shared" si="1"/>
        <v>3.4757742434633765</v>
      </c>
      <c r="I18" s="168">
        <f t="shared" si="1"/>
        <v>3.5264900001257251</v>
      </c>
      <c r="J18" s="168">
        <f t="shared" si="1"/>
        <v>3.5642888750644195</v>
      </c>
      <c r="K18" s="168">
        <f t="shared" si="1"/>
        <v>3.6020877500031134</v>
      </c>
      <c r="L18" s="168">
        <f t="shared" si="1"/>
        <v>3.6398866249418069</v>
      </c>
      <c r="M18" s="168">
        <f t="shared" si="2"/>
        <v>3.6776854998805013</v>
      </c>
      <c r="N18" s="168">
        <f t="shared" si="2"/>
        <v>3.7154843748191957</v>
      </c>
      <c r="O18" s="168">
        <f t="shared" si="2"/>
        <v>3.7425871652428642</v>
      </c>
      <c r="P18" s="168">
        <f t="shared" si="2"/>
        <v>3.7696899556665326</v>
      </c>
      <c r="Q18" s="168">
        <f t="shared" si="2"/>
        <v>3.7967927460902007</v>
      </c>
      <c r="R18" s="168">
        <f t="shared" si="2"/>
        <v>3.8238955365138692</v>
      </c>
      <c r="S18" s="168">
        <f t="shared" si="2"/>
        <v>3.8509983269375376</v>
      </c>
      <c r="T18" s="168">
        <f t="shared" si="2"/>
        <v>3.8667705193579995</v>
      </c>
      <c r="U18" s="168">
        <f t="shared" si="2"/>
        <v>3.8825427117784614</v>
      </c>
      <c r="V18" s="168">
        <f t="shared" si="2"/>
        <v>3.8983602265909365</v>
      </c>
      <c r="W18" s="168">
        <f t="shared" si="3"/>
        <v>3.9141324190113993</v>
      </c>
      <c r="X18" s="168">
        <f t="shared" si="3"/>
        <v>3.9299046114318616</v>
      </c>
      <c r="Y18" s="168">
        <f t="shared" si="3"/>
        <v>3.935615232825477</v>
      </c>
      <c r="Z18" s="168">
        <f t="shared" si="3"/>
        <v>3.9413258542190928</v>
      </c>
      <c r="AA18" s="168">
        <f t="shared" si="3"/>
        <v>3.9470364756127085</v>
      </c>
      <c r="AB18" s="168">
        <f t="shared" si="3"/>
        <v>3.9527470970063248</v>
      </c>
      <c r="AC18" s="168">
        <f t="shared" si="3"/>
        <v>3.9584123960079283</v>
      </c>
      <c r="AD18" s="168">
        <f t="shared" si="3"/>
        <v>3.9545146702948255</v>
      </c>
      <c r="AE18" s="168">
        <f t="shared" si="3"/>
        <v>3.9506169445817227</v>
      </c>
      <c r="AF18" s="168">
        <f t="shared" si="3"/>
        <v>3.94671921886862</v>
      </c>
      <c r="AG18" s="168">
        <f t="shared" si="4"/>
        <v>3.9427761707635041</v>
      </c>
      <c r="AH18" s="168">
        <f t="shared" si="4"/>
        <v>3.9388784450504013</v>
      </c>
      <c r="AI18" s="168">
        <f t="shared" si="4"/>
        <v>3.9240580228622082</v>
      </c>
      <c r="AJ18" s="168">
        <f t="shared" si="4"/>
        <v>3.9092376006740146</v>
      </c>
      <c r="AK18" s="168">
        <f t="shared" si="4"/>
        <v>3.8943718560938092</v>
      </c>
      <c r="AL18" s="168">
        <f t="shared" si="4"/>
        <v>3.8795514339056165</v>
      </c>
      <c r="AN18" s="314">
        <v>3.9083110233912417E-5</v>
      </c>
    </row>
    <row r="19" spans="1:40" ht="13.15" customHeight="1" x14ac:dyDescent="0.2">
      <c r="A19" s="543" t="s">
        <v>224</v>
      </c>
      <c r="B19" s="423" t="s">
        <v>683</v>
      </c>
      <c r="C19" s="313">
        <v>0</v>
      </c>
      <c r="D19" s="313">
        <v>0</v>
      </c>
      <c r="E19" s="16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168">
        <v>0</v>
      </c>
      <c r="M19" s="168">
        <v>0</v>
      </c>
      <c r="N19" s="168">
        <v>0</v>
      </c>
      <c r="O19" s="168">
        <v>0</v>
      </c>
      <c r="P19" s="168">
        <v>0</v>
      </c>
      <c r="Q19" s="168">
        <v>0</v>
      </c>
      <c r="R19" s="168">
        <v>0</v>
      </c>
      <c r="S19" s="168">
        <v>0</v>
      </c>
      <c r="T19" s="168">
        <v>0</v>
      </c>
      <c r="U19" s="168">
        <v>0</v>
      </c>
      <c r="V19" s="168">
        <v>0</v>
      </c>
      <c r="W19" s="168">
        <v>0</v>
      </c>
      <c r="X19" s="168">
        <v>0</v>
      </c>
      <c r="Y19" s="168">
        <v>0</v>
      </c>
      <c r="Z19" s="168">
        <v>0</v>
      </c>
      <c r="AA19" s="168">
        <v>0</v>
      </c>
      <c r="AB19" s="168">
        <v>0</v>
      </c>
      <c r="AC19" s="168">
        <v>0</v>
      </c>
      <c r="AD19" s="168">
        <v>0</v>
      </c>
      <c r="AE19" s="168">
        <v>0</v>
      </c>
      <c r="AF19" s="168">
        <v>0</v>
      </c>
      <c r="AG19" s="168">
        <v>0</v>
      </c>
      <c r="AH19" s="168">
        <v>0</v>
      </c>
      <c r="AI19" s="168">
        <v>0</v>
      </c>
      <c r="AJ19" s="168">
        <v>0</v>
      </c>
      <c r="AK19" s="168">
        <v>0</v>
      </c>
      <c r="AL19" s="168">
        <v>0</v>
      </c>
      <c r="AN19" s="72"/>
    </row>
    <row r="20" spans="1:40" ht="13.15" customHeight="1" x14ac:dyDescent="0.2">
      <c r="A20" s="543" t="s">
        <v>226</v>
      </c>
      <c r="B20" s="423" t="s">
        <v>685</v>
      </c>
      <c r="C20" s="168">
        <f t="shared" ref="C20:AL20" si="5">C9*$AN$20</f>
        <v>28.031872</v>
      </c>
      <c r="D20" s="168">
        <f t="shared" si="5"/>
        <v>28.807764856695599</v>
      </c>
      <c r="E20" s="168">
        <f t="shared" si="5"/>
        <v>29.254152572192964</v>
      </c>
      <c r="F20" s="168">
        <f t="shared" si="5"/>
        <v>29.700540287690334</v>
      </c>
      <c r="G20" s="168">
        <f t="shared" si="5"/>
        <v>30.146529086551869</v>
      </c>
      <c r="H20" s="168">
        <f t="shared" si="5"/>
        <v>30.592916802049235</v>
      </c>
      <c r="I20" s="168">
        <f t="shared" si="5"/>
        <v>31.039304517546601</v>
      </c>
      <c r="J20" s="168">
        <f t="shared" si="5"/>
        <v>31.372000991831502</v>
      </c>
      <c r="K20" s="168">
        <f t="shared" si="5"/>
        <v>31.7046974661164</v>
      </c>
      <c r="L20" s="168">
        <f t="shared" si="5"/>
        <v>32.037393940401302</v>
      </c>
      <c r="M20" s="168">
        <f t="shared" si="5"/>
        <v>32.370090414686203</v>
      </c>
      <c r="N20" s="168">
        <f t="shared" si="5"/>
        <v>32.702786888971104</v>
      </c>
      <c r="O20" s="168">
        <f t="shared" si="5"/>
        <v>32.94133903719937</v>
      </c>
      <c r="P20" s="168">
        <f t="shared" si="5"/>
        <v>33.179891185427635</v>
      </c>
      <c r="Q20" s="168">
        <f t="shared" si="5"/>
        <v>33.418443333655901</v>
      </c>
      <c r="R20" s="168">
        <f t="shared" si="5"/>
        <v>33.656995481884167</v>
      </c>
      <c r="S20" s="168">
        <f t="shared" si="5"/>
        <v>33.895547630112432</v>
      </c>
      <c r="T20" s="168">
        <f t="shared" si="5"/>
        <v>34.034370619382386</v>
      </c>
      <c r="U20" s="168">
        <f t="shared" si="5"/>
        <v>34.17319360865234</v>
      </c>
      <c r="V20" s="168">
        <f t="shared" si="5"/>
        <v>34.312415514558133</v>
      </c>
      <c r="W20" s="168">
        <f t="shared" si="5"/>
        <v>34.451238503828094</v>
      </c>
      <c r="X20" s="168">
        <f t="shared" si="5"/>
        <v>34.590061493098055</v>
      </c>
      <c r="Y20" s="168">
        <f t="shared" si="5"/>
        <v>34.640324989213042</v>
      </c>
      <c r="Z20" s="168">
        <f t="shared" si="5"/>
        <v>34.690588485328021</v>
      </c>
      <c r="AA20" s="168">
        <f t="shared" si="5"/>
        <v>34.740851981443008</v>
      </c>
      <c r="AB20" s="168">
        <f t="shared" si="5"/>
        <v>34.791115477558002</v>
      </c>
      <c r="AC20" s="168">
        <f t="shared" si="5"/>
        <v>34.840980057037157</v>
      </c>
      <c r="AD20" s="168">
        <f t="shared" si="5"/>
        <v>34.8066732263555</v>
      </c>
      <c r="AE20" s="168">
        <f t="shared" si="5"/>
        <v>34.772366395673842</v>
      </c>
      <c r="AF20" s="168">
        <f t="shared" si="5"/>
        <v>34.738059564992184</v>
      </c>
      <c r="AG20" s="168">
        <f t="shared" si="5"/>
        <v>34.703353817674696</v>
      </c>
      <c r="AH20" s="168">
        <f t="shared" si="5"/>
        <v>34.669046986993038</v>
      </c>
      <c r="AI20" s="168">
        <f t="shared" si="5"/>
        <v>34.538601247075576</v>
      </c>
      <c r="AJ20" s="168">
        <f t="shared" si="5"/>
        <v>34.408155507158114</v>
      </c>
      <c r="AK20" s="168">
        <f t="shared" si="5"/>
        <v>34.27731085060482</v>
      </c>
      <c r="AL20" s="168">
        <f t="shared" si="5"/>
        <v>34.146865110687365</v>
      </c>
      <c r="AN20" s="314">
        <v>3.4400000000000001E-4</v>
      </c>
    </row>
    <row r="21" spans="1:40" ht="13.15" customHeight="1" x14ac:dyDescent="0.2">
      <c r="A21" s="543" t="s">
        <v>1223</v>
      </c>
      <c r="B21" s="423" t="s">
        <v>687</v>
      </c>
      <c r="C21" s="168">
        <v>0</v>
      </c>
      <c r="D21" s="168">
        <v>0</v>
      </c>
      <c r="E21" s="168">
        <v>0</v>
      </c>
      <c r="F21" s="168">
        <v>0</v>
      </c>
      <c r="G21" s="168">
        <v>0</v>
      </c>
      <c r="H21" s="168">
        <v>0</v>
      </c>
      <c r="I21" s="168">
        <v>0</v>
      </c>
      <c r="J21" s="168">
        <v>0</v>
      </c>
      <c r="K21" s="168">
        <v>0</v>
      </c>
      <c r="L21" s="168">
        <v>0</v>
      </c>
      <c r="M21" s="168">
        <v>0</v>
      </c>
      <c r="N21" s="168">
        <v>0</v>
      </c>
      <c r="O21" s="168">
        <v>0</v>
      </c>
      <c r="P21" s="168">
        <v>0</v>
      </c>
      <c r="Q21" s="168">
        <v>0</v>
      </c>
      <c r="R21" s="168">
        <v>0</v>
      </c>
      <c r="S21" s="168">
        <v>0</v>
      </c>
      <c r="T21" s="168">
        <v>0</v>
      </c>
      <c r="U21" s="168">
        <v>0</v>
      </c>
      <c r="V21" s="168">
        <v>0</v>
      </c>
      <c r="W21" s="168">
        <v>0</v>
      </c>
      <c r="X21" s="168">
        <v>0</v>
      </c>
      <c r="Y21" s="168">
        <v>0</v>
      </c>
      <c r="Z21" s="168">
        <v>0</v>
      </c>
      <c r="AA21" s="168">
        <v>0</v>
      </c>
      <c r="AB21" s="168">
        <v>0</v>
      </c>
      <c r="AC21" s="168">
        <v>0</v>
      </c>
      <c r="AD21" s="168">
        <v>0</v>
      </c>
      <c r="AE21" s="168">
        <v>0</v>
      </c>
      <c r="AF21" s="168">
        <v>0</v>
      </c>
      <c r="AG21" s="168">
        <v>0</v>
      </c>
      <c r="AH21" s="168">
        <v>0</v>
      </c>
      <c r="AI21" s="168">
        <v>0</v>
      </c>
      <c r="AJ21" s="168">
        <v>0</v>
      </c>
      <c r="AK21" s="168">
        <v>0</v>
      </c>
      <c r="AL21" s="168">
        <v>0</v>
      </c>
      <c r="AN21" s="423"/>
    </row>
    <row r="22" spans="1:40" ht="13.15" customHeight="1" x14ac:dyDescent="0.2">
      <c r="B22" s="493"/>
      <c r="C22" s="442"/>
      <c r="D22" s="79"/>
      <c r="AN22" s="443">
        <f>SUM(AN10:AN21)</f>
        <v>1.0000000000000004</v>
      </c>
    </row>
    <row r="23" spans="1:40" ht="13.15" customHeight="1" x14ac:dyDescent="0.2">
      <c r="A23" s="98" t="s">
        <v>1131</v>
      </c>
      <c r="B23" s="98" t="s">
        <v>1224</v>
      </c>
      <c r="C23" s="98" t="s">
        <v>1225</v>
      </c>
      <c r="D23" s="98" t="s">
        <v>1226</v>
      </c>
      <c r="E23" s="79"/>
    </row>
    <row r="24" spans="1:40" ht="13.15" customHeight="1" x14ac:dyDescent="0.2">
      <c r="A24" s="543" t="s">
        <v>205</v>
      </c>
      <c r="B24" s="150" t="s">
        <v>663</v>
      </c>
      <c r="C24" s="153">
        <f>'01 - Dados de Entrada'!C358</f>
        <v>1.9996011168727563</v>
      </c>
      <c r="D24" s="151">
        <f>E24*12</f>
        <v>750.84</v>
      </c>
      <c r="E24" s="151">
        <f>ROUND((E25*C24),2)</f>
        <v>62.57</v>
      </c>
    </row>
    <row r="25" spans="1:40" ht="13.15" customHeight="1" x14ac:dyDescent="0.2">
      <c r="A25" s="543" t="s">
        <v>208</v>
      </c>
      <c r="B25" s="423" t="s">
        <v>667</v>
      </c>
      <c r="C25" s="153">
        <f>'01 - Dados de Entrada'!C359</f>
        <v>1</v>
      </c>
      <c r="D25" s="151">
        <f t="shared" ref="D25:D35" si="6">E25*12</f>
        <v>375.48</v>
      </c>
      <c r="E25" s="151">
        <f>K31</f>
        <v>31.29</v>
      </c>
      <c r="F25" s="403" t="s">
        <v>1227</v>
      </c>
      <c r="G25"/>
    </row>
    <row r="26" spans="1:40" ht="13.15" customHeight="1" x14ac:dyDescent="0.2">
      <c r="A26" s="543" t="s">
        <v>210</v>
      </c>
      <c r="B26" s="423" t="s">
        <v>669</v>
      </c>
      <c r="C26" s="153">
        <f>'01 - Dados de Entrada'!C360</f>
        <v>0.89349820502592736</v>
      </c>
      <c r="D26" s="151">
        <f t="shared" si="6"/>
        <v>335.52</v>
      </c>
      <c r="E26" s="151">
        <f t="shared" ref="E26:E35" si="7">ROUND(($E$25*C26),2)</f>
        <v>27.96</v>
      </c>
    </row>
    <row r="27" spans="1:40" ht="13.15" customHeight="1" thickBot="1" x14ac:dyDescent="0.25">
      <c r="A27" s="543" t="s">
        <v>212</v>
      </c>
      <c r="B27" s="150" t="s">
        <v>671</v>
      </c>
      <c r="C27" s="153">
        <f>'01 - Dados de Entrada'!C361</f>
        <v>2.1069006781013164</v>
      </c>
      <c r="D27" s="151">
        <f t="shared" si="6"/>
        <v>791.04</v>
      </c>
      <c r="E27" s="151">
        <f t="shared" si="7"/>
        <v>65.92</v>
      </c>
    </row>
    <row r="28" spans="1:40" ht="13.15" customHeight="1" x14ac:dyDescent="0.2">
      <c r="A28" s="543" t="s">
        <v>214</v>
      </c>
      <c r="B28" s="150" t="s">
        <v>673</v>
      </c>
      <c r="C28" s="153">
        <f>'01 - Dados de Entrada'!C362</f>
        <v>1.0534503390506582</v>
      </c>
      <c r="D28" s="151">
        <f t="shared" si="6"/>
        <v>395.52</v>
      </c>
      <c r="E28" s="151">
        <f t="shared" si="7"/>
        <v>32.96</v>
      </c>
      <c r="I28" s="705" t="s">
        <v>1228</v>
      </c>
      <c r="J28" s="705"/>
      <c r="K28" s="446">
        <f>'01 - Dados de Entrada'!C357</f>
        <v>25.07</v>
      </c>
      <c r="M28" s="449" t="s">
        <v>699</v>
      </c>
    </row>
    <row r="29" spans="1:40" ht="13.15" customHeight="1" thickBot="1" x14ac:dyDescent="0.25">
      <c r="A29" s="543" t="s">
        <v>216</v>
      </c>
      <c r="B29" s="423" t="s">
        <v>675</v>
      </c>
      <c r="C29" s="153">
        <f>'01 - Dados de Entrada'!C363</f>
        <v>0.94176306342241722</v>
      </c>
      <c r="D29" s="151">
        <f t="shared" si="6"/>
        <v>353.64</v>
      </c>
      <c r="E29" s="151">
        <f t="shared" si="7"/>
        <v>29.47</v>
      </c>
      <c r="I29" s="708"/>
      <c r="J29" s="709"/>
      <c r="K29" s="615"/>
      <c r="L29" s="66"/>
      <c r="M29" s="450">
        <f>'31 - Fluxo de Caixa'!B42</f>
        <v>9.2790132245242463E-2</v>
      </c>
    </row>
    <row r="30" spans="1:40" ht="13.15" customHeight="1" x14ac:dyDescent="0.2">
      <c r="A30" s="543" t="s">
        <v>218</v>
      </c>
      <c r="B30" s="423" t="s">
        <v>677</v>
      </c>
      <c r="C30" s="153">
        <f>'01 - Dados de Entrada'!C364</f>
        <v>1.9461507778220981</v>
      </c>
      <c r="D30" s="151">
        <f t="shared" si="6"/>
        <v>730.8</v>
      </c>
      <c r="E30" s="151">
        <f t="shared" si="7"/>
        <v>60.9</v>
      </c>
      <c r="I30" s="705" t="s">
        <v>1229</v>
      </c>
      <c r="J30" s="705"/>
      <c r="K30" s="447">
        <v>0.24829999999999999</v>
      </c>
      <c r="M30" s="253"/>
    </row>
    <row r="31" spans="1:40" ht="13.15" customHeight="1" x14ac:dyDescent="0.2">
      <c r="A31" s="543" t="s">
        <v>220</v>
      </c>
      <c r="B31" s="423" t="s">
        <v>679</v>
      </c>
      <c r="C31" s="153">
        <f>'01 - Dados de Entrada'!C365</f>
        <v>0.97287594734742722</v>
      </c>
      <c r="D31" s="151">
        <f t="shared" si="6"/>
        <v>365.28000000000003</v>
      </c>
      <c r="E31" s="151">
        <f t="shared" si="7"/>
        <v>30.44</v>
      </c>
      <c r="I31" s="705" t="s">
        <v>1230</v>
      </c>
      <c r="J31" s="705"/>
      <c r="K31" s="448">
        <f>ROUND(K28+(K28*K30),2)</f>
        <v>31.29</v>
      </c>
    </row>
    <row r="32" spans="1:40" ht="13.15" customHeight="1" x14ac:dyDescent="0.2">
      <c r="A32" s="543" t="s">
        <v>222</v>
      </c>
      <c r="B32" s="423" t="s">
        <v>681</v>
      </c>
      <c r="C32" s="153">
        <f>'01 - Dados de Entrada'!C366</f>
        <v>0.869964100518548</v>
      </c>
      <c r="D32" s="151">
        <f t="shared" si="6"/>
        <v>326.64</v>
      </c>
      <c r="E32" s="151">
        <f t="shared" si="7"/>
        <v>27.22</v>
      </c>
      <c r="I32" s="706"/>
      <c r="J32" s="707"/>
      <c r="K32" s="151"/>
    </row>
    <row r="33" spans="1:38" ht="13.15" customHeight="1" x14ac:dyDescent="0.2">
      <c r="A33" s="543" t="s">
        <v>224</v>
      </c>
      <c r="B33" s="423" t="s">
        <v>683</v>
      </c>
      <c r="C33" s="153">
        <f>'01 - Dados de Entrada'!C367</f>
        <v>0.99980055843637816</v>
      </c>
      <c r="D33" s="151">
        <f t="shared" si="6"/>
        <v>375.36</v>
      </c>
      <c r="E33" s="151">
        <f t="shared" si="7"/>
        <v>31.28</v>
      </c>
      <c r="I33" s="423" t="s">
        <v>696</v>
      </c>
      <c r="J33" s="10"/>
      <c r="K33" s="281">
        <f>'01 - Dados de Entrada'!C377</f>
        <v>0</v>
      </c>
      <c r="L33" s="493"/>
    </row>
    <row r="34" spans="1:38" ht="13.15" customHeight="1" x14ac:dyDescent="0.2">
      <c r="A34" s="543" t="s">
        <v>226</v>
      </c>
      <c r="B34" s="423" t="s">
        <v>685</v>
      </c>
      <c r="C34" s="153">
        <f>'01 - Dados de Entrada'!C368</f>
        <v>0.5</v>
      </c>
      <c r="D34" s="151">
        <f t="shared" si="6"/>
        <v>187.8</v>
      </c>
      <c r="E34" s="151">
        <f t="shared" si="7"/>
        <v>15.65</v>
      </c>
      <c r="G34" s="101"/>
      <c r="I34" s="423" t="s">
        <v>698</v>
      </c>
      <c r="J34" s="10"/>
      <c r="K34" s="281">
        <f>'01 - Dados de Entrada'!C378</f>
        <v>0</v>
      </c>
    </row>
    <row r="35" spans="1:38" ht="13.15" customHeight="1" x14ac:dyDescent="0.2">
      <c r="A35" s="543" t="s">
        <v>1223</v>
      </c>
      <c r="B35" s="423" t="s">
        <v>687</v>
      </c>
      <c r="C35" s="153">
        <f>'01 - Dados de Entrada'!C369</f>
        <v>0.44674910251296368</v>
      </c>
      <c r="D35" s="151">
        <f t="shared" si="6"/>
        <v>167.76</v>
      </c>
      <c r="E35" s="151">
        <f t="shared" si="7"/>
        <v>13.98</v>
      </c>
      <c r="G35" s="101"/>
      <c r="H35" s="101"/>
    </row>
    <row r="36" spans="1:38" ht="13.15" customHeight="1" x14ac:dyDescent="0.2">
      <c r="B36" s="493"/>
      <c r="C36" s="493"/>
      <c r="D36" s="79"/>
      <c r="I36" s="71" t="s">
        <v>1231</v>
      </c>
    </row>
    <row r="37" spans="1:38" ht="13.15" customHeight="1" x14ac:dyDescent="0.2">
      <c r="B37" s="155" t="s">
        <v>1232</v>
      </c>
      <c r="C37" s="156">
        <f>K28</f>
        <v>25.07</v>
      </c>
      <c r="D37" s="156">
        <f>K31</f>
        <v>31.29</v>
      </c>
      <c r="E37" s="156">
        <f>D37+(D37*$K$34)</f>
        <v>31.29</v>
      </c>
      <c r="F37" s="156">
        <f>E37+(E37*$K$34)</f>
        <v>31.29</v>
      </c>
      <c r="G37" s="156">
        <f>F37+(F37*$K$34)</f>
        <v>31.29</v>
      </c>
      <c r="H37" s="156">
        <f>G37+(G37*($K$34))</f>
        <v>31.29</v>
      </c>
      <c r="I37" s="157">
        <f>H37+(H37*$K$34)+(H37*K33)</f>
        <v>31.29</v>
      </c>
      <c r="J37" s="156">
        <f t="shared" ref="J37:AL37" si="8">I37+(I37*$K$34)</f>
        <v>31.29</v>
      </c>
      <c r="K37" s="156">
        <f t="shared" si="8"/>
        <v>31.29</v>
      </c>
      <c r="L37" s="156">
        <f t="shared" si="8"/>
        <v>31.29</v>
      </c>
      <c r="M37" s="156">
        <f t="shared" si="8"/>
        <v>31.29</v>
      </c>
      <c r="N37" s="156">
        <f t="shared" si="8"/>
        <v>31.29</v>
      </c>
      <c r="O37" s="156">
        <f t="shared" si="8"/>
        <v>31.29</v>
      </c>
      <c r="P37" s="156">
        <f t="shared" si="8"/>
        <v>31.29</v>
      </c>
      <c r="Q37" s="156">
        <f t="shared" si="8"/>
        <v>31.29</v>
      </c>
      <c r="R37" s="156">
        <f t="shared" si="8"/>
        <v>31.29</v>
      </c>
      <c r="S37" s="156">
        <f t="shared" si="8"/>
        <v>31.29</v>
      </c>
      <c r="T37" s="156">
        <f t="shared" si="8"/>
        <v>31.29</v>
      </c>
      <c r="U37" s="156">
        <f t="shared" si="8"/>
        <v>31.29</v>
      </c>
      <c r="V37" s="156">
        <f t="shared" si="8"/>
        <v>31.29</v>
      </c>
      <c r="W37" s="156">
        <f t="shared" si="8"/>
        <v>31.29</v>
      </c>
      <c r="X37" s="156">
        <f t="shared" si="8"/>
        <v>31.29</v>
      </c>
      <c r="Y37" s="156">
        <f t="shared" si="8"/>
        <v>31.29</v>
      </c>
      <c r="Z37" s="156">
        <f t="shared" si="8"/>
        <v>31.29</v>
      </c>
      <c r="AA37" s="156">
        <f t="shared" si="8"/>
        <v>31.29</v>
      </c>
      <c r="AB37" s="156">
        <f t="shared" si="8"/>
        <v>31.29</v>
      </c>
      <c r="AC37" s="156">
        <f t="shared" si="8"/>
        <v>31.29</v>
      </c>
      <c r="AD37" s="156">
        <f t="shared" si="8"/>
        <v>31.29</v>
      </c>
      <c r="AE37" s="156">
        <f t="shared" si="8"/>
        <v>31.29</v>
      </c>
      <c r="AF37" s="156">
        <f t="shared" si="8"/>
        <v>31.29</v>
      </c>
      <c r="AG37" s="156">
        <f t="shared" si="8"/>
        <v>31.29</v>
      </c>
      <c r="AH37" s="156">
        <f t="shared" si="8"/>
        <v>31.29</v>
      </c>
      <c r="AI37" s="156">
        <f t="shared" si="8"/>
        <v>31.29</v>
      </c>
      <c r="AJ37" s="156">
        <f t="shared" si="8"/>
        <v>31.29</v>
      </c>
      <c r="AK37" s="156">
        <f t="shared" si="8"/>
        <v>31.29</v>
      </c>
      <c r="AL37" s="156">
        <f t="shared" si="8"/>
        <v>31.29</v>
      </c>
    </row>
    <row r="38" spans="1:38" ht="13.15" customHeight="1" x14ac:dyDescent="0.2">
      <c r="A38" s="70" t="s">
        <v>1131</v>
      </c>
      <c r="B38" s="70" t="s">
        <v>1233</v>
      </c>
      <c r="C38" s="70" t="s">
        <v>707</v>
      </c>
      <c r="D38" s="70" t="s">
        <v>775</v>
      </c>
      <c r="E38" s="70" t="s">
        <v>776</v>
      </c>
      <c r="F38" s="70" t="s">
        <v>777</v>
      </c>
      <c r="G38" s="70" t="s">
        <v>778</v>
      </c>
      <c r="H38" s="70" t="s">
        <v>779</v>
      </c>
      <c r="I38" s="70" t="s">
        <v>780</v>
      </c>
      <c r="J38" s="70" t="s">
        <v>781</v>
      </c>
      <c r="K38" s="70" t="s">
        <v>782</v>
      </c>
      <c r="L38" s="70" t="s">
        <v>783</v>
      </c>
      <c r="M38" s="70" t="s">
        <v>717</v>
      </c>
      <c r="N38" s="70" t="s">
        <v>718</v>
      </c>
      <c r="O38" s="70" t="s">
        <v>719</v>
      </c>
      <c r="P38" s="70" t="s">
        <v>720</v>
      </c>
      <c r="Q38" s="70" t="s">
        <v>721</v>
      </c>
      <c r="R38" s="70" t="s">
        <v>722</v>
      </c>
      <c r="S38" s="70" t="s">
        <v>723</v>
      </c>
      <c r="T38" s="70" t="s">
        <v>724</v>
      </c>
      <c r="U38" s="70" t="s">
        <v>725</v>
      </c>
      <c r="V38" s="70" t="s">
        <v>726</v>
      </c>
      <c r="W38" s="70" t="s">
        <v>727</v>
      </c>
      <c r="X38" s="70" t="s">
        <v>728</v>
      </c>
      <c r="Y38" s="70" t="s">
        <v>729</v>
      </c>
      <c r="Z38" s="70" t="s">
        <v>730</v>
      </c>
      <c r="AA38" s="70" t="s">
        <v>731</v>
      </c>
      <c r="AB38" s="70" t="s">
        <v>732</v>
      </c>
      <c r="AC38" s="70" t="s">
        <v>733</v>
      </c>
      <c r="AD38" s="70" t="s">
        <v>734</v>
      </c>
      <c r="AE38" s="70" t="s">
        <v>735</v>
      </c>
      <c r="AF38" s="70" t="s">
        <v>736</v>
      </c>
      <c r="AG38" s="70" t="s">
        <v>737</v>
      </c>
      <c r="AH38" s="70" t="s">
        <v>738</v>
      </c>
      <c r="AI38" s="70" t="s">
        <v>739</v>
      </c>
      <c r="AJ38" s="70" t="s">
        <v>740</v>
      </c>
      <c r="AK38" s="70" t="s">
        <v>741</v>
      </c>
      <c r="AL38" s="70" t="s">
        <v>742</v>
      </c>
    </row>
    <row r="39" spans="1:38" ht="13.15" customHeight="1" x14ac:dyDescent="0.2">
      <c r="A39" s="543" t="s">
        <v>205</v>
      </c>
      <c r="B39" s="150" t="s">
        <v>663</v>
      </c>
      <c r="C39" s="116">
        <f t="shared" ref="C39:AL39" si="9">C10*C$37*$C$24*12</f>
        <v>3914083.5665307874</v>
      </c>
      <c r="D39" s="116">
        <f t="shared" si="9"/>
        <v>5020405.3641675692</v>
      </c>
      <c r="E39" s="116">
        <f t="shared" si="9"/>
        <v>5098198.5318266908</v>
      </c>
      <c r="F39" s="116">
        <f t="shared" si="9"/>
        <v>5175991.6994858133</v>
      </c>
      <c r="G39" s="116">
        <f t="shared" si="9"/>
        <v>5253715.3468878679</v>
      </c>
      <c r="H39" s="116">
        <f t="shared" si="9"/>
        <v>5331508.5145469904</v>
      </c>
      <c r="I39" s="116">
        <f t="shared" si="9"/>
        <v>5409301.682206111</v>
      </c>
      <c r="J39" s="116">
        <f t="shared" si="9"/>
        <v>5467281.5766008459</v>
      </c>
      <c r="K39" s="116">
        <f t="shared" si="9"/>
        <v>5525261.4709955798</v>
      </c>
      <c r="L39" s="116">
        <f t="shared" si="9"/>
        <v>5583241.3653903138</v>
      </c>
      <c r="M39" s="116">
        <f t="shared" si="9"/>
        <v>5641221.2597850487</v>
      </c>
      <c r="N39" s="116">
        <f t="shared" si="9"/>
        <v>5699201.1541797835</v>
      </c>
      <c r="O39" s="116">
        <f t="shared" si="9"/>
        <v>5740774.2679064637</v>
      </c>
      <c r="P39" s="116">
        <f t="shared" si="9"/>
        <v>5782347.3816331457</v>
      </c>
      <c r="Q39" s="116">
        <f t="shared" si="9"/>
        <v>5823920.495359825</v>
      </c>
      <c r="R39" s="116">
        <f t="shared" si="9"/>
        <v>5865493.6090865061</v>
      </c>
      <c r="S39" s="116">
        <f t="shared" si="9"/>
        <v>5907066.7228131872</v>
      </c>
      <c r="T39" s="116">
        <f t="shared" si="9"/>
        <v>5931259.7722728606</v>
      </c>
      <c r="U39" s="116">
        <f t="shared" si="9"/>
        <v>5955452.8217325332</v>
      </c>
      <c r="V39" s="116">
        <f t="shared" si="9"/>
        <v>5979715.3914492736</v>
      </c>
      <c r="W39" s="116">
        <f t="shared" si="9"/>
        <v>6003908.440908948</v>
      </c>
      <c r="X39" s="116">
        <f t="shared" si="9"/>
        <v>6028101.4903686224</v>
      </c>
      <c r="Y39" s="116">
        <f t="shared" si="9"/>
        <v>6036861.0427591931</v>
      </c>
      <c r="Z39" s="116">
        <f t="shared" si="9"/>
        <v>6045620.5951497639</v>
      </c>
      <c r="AA39" s="116">
        <f t="shared" si="9"/>
        <v>6054380.1475403346</v>
      </c>
      <c r="AB39" s="116">
        <f t="shared" si="9"/>
        <v>6063139.6999309082</v>
      </c>
      <c r="AC39" s="116">
        <f t="shared" si="9"/>
        <v>6071829.732064412</v>
      </c>
      <c r="AD39" s="116">
        <f t="shared" si="9"/>
        <v>6065850.9899565615</v>
      </c>
      <c r="AE39" s="116">
        <f t="shared" si="9"/>
        <v>6059872.2478487119</v>
      </c>
      <c r="AF39" s="116">
        <f t="shared" si="9"/>
        <v>6053893.5057408605</v>
      </c>
      <c r="AG39" s="116">
        <f t="shared" si="9"/>
        <v>6047845.2433759421</v>
      </c>
      <c r="AH39" s="116">
        <f t="shared" si="9"/>
        <v>6041866.5012680916</v>
      </c>
      <c r="AI39" s="116">
        <f t="shared" si="9"/>
        <v>6019133.3772068461</v>
      </c>
      <c r="AJ39" s="116">
        <f t="shared" si="9"/>
        <v>5996400.2531456016</v>
      </c>
      <c r="AK39" s="116">
        <f t="shared" si="9"/>
        <v>5973597.6088272892</v>
      </c>
      <c r="AL39" s="116">
        <f t="shared" si="9"/>
        <v>5950864.4847660447</v>
      </c>
    </row>
    <row r="40" spans="1:38" ht="13.15" customHeight="1" x14ac:dyDescent="0.2">
      <c r="A40" s="543" t="s">
        <v>208</v>
      </c>
      <c r="B40" s="423" t="s">
        <v>667</v>
      </c>
      <c r="C40" s="116">
        <f t="shared" ref="C40:AL40" si="10">C11*C$37*$C$25*12</f>
        <v>19796794.753832988</v>
      </c>
      <c r="D40" s="116">
        <f t="shared" si="10"/>
        <v>25392389.530292809</v>
      </c>
      <c r="E40" s="116">
        <f t="shared" si="10"/>
        <v>25785854.653666042</v>
      </c>
      <c r="F40" s="116">
        <f t="shared" si="10"/>
        <v>26179319.777039275</v>
      </c>
      <c r="G40" s="116">
        <f t="shared" si="10"/>
        <v>26572433.278318331</v>
      </c>
      <c r="H40" s="116">
        <f t="shared" si="10"/>
        <v>26965898.40169156</v>
      </c>
      <c r="I40" s="116">
        <f t="shared" si="10"/>
        <v>27359363.525064789</v>
      </c>
      <c r="J40" s="116">
        <f t="shared" si="10"/>
        <v>27652616.351600327</v>
      </c>
      <c r="K40" s="116">
        <f t="shared" si="10"/>
        <v>27945869.178135872</v>
      </c>
      <c r="L40" s="116">
        <f t="shared" si="10"/>
        <v>28239122.004671406</v>
      </c>
      <c r="M40" s="116">
        <f t="shared" si="10"/>
        <v>28532374.831206948</v>
      </c>
      <c r="N40" s="116">
        <f t="shared" si="10"/>
        <v>28825627.657742493</v>
      </c>
      <c r="O40" s="116">
        <f t="shared" si="10"/>
        <v>29035897.670054555</v>
      </c>
      <c r="P40" s="116">
        <f t="shared" si="10"/>
        <v>29246167.68236661</v>
      </c>
      <c r="Q40" s="116">
        <f t="shared" si="10"/>
        <v>29456437.694678672</v>
      </c>
      <c r="R40" s="116">
        <f t="shared" si="10"/>
        <v>29666707.70699073</v>
      </c>
      <c r="S40" s="116">
        <f t="shared" si="10"/>
        <v>29876977.719302788</v>
      </c>
      <c r="T40" s="116">
        <f t="shared" si="10"/>
        <v>29999342.208073013</v>
      </c>
      <c r="U40" s="116">
        <f t="shared" si="10"/>
        <v>30121706.696843237</v>
      </c>
      <c r="V40" s="116">
        <f t="shared" si="10"/>
        <v>30244422.80770763</v>
      </c>
      <c r="W40" s="116">
        <f t="shared" si="10"/>
        <v>30366787.296477858</v>
      </c>
      <c r="X40" s="116">
        <f t="shared" si="10"/>
        <v>30489151.78524809</v>
      </c>
      <c r="Y40" s="116">
        <f t="shared" si="10"/>
        <v>30533456.169113167</v>
      </c>
      <c r="Z40" s="116">
        <f t="shared" si="10"/>
        <v>30577760.552978247</v>
      </c>
      <c r="AA40" s="116">
        <f t="shared" si="10"/>
        <v>30622064.936843332</v>
      </c>
      <c r="AB40" s="116">
        <f t="shared" si="10"/>
        <v>30666369.320708416</v>
      </c>
      <c r="AC40" s="116">
        <f t="shared" si="10"/>
        <v>30710322.082479335</v>
      </c>
      <c r="AD40" s="116">
        <f t="shared" si="10"/>
        <v>30680082.582380947</v>
      </c>
      <c r="AE40" s="116">
        <f t="shared" si="10"/>
        <v>30649843.082282558</v>
      </c>
      <c r="AF40" s="116">
        <f t="shared" si="10"/>
        <v>30619603.582184169</v>
      </c>
      <c r="AG40" s="116">
        <f t="shared" si="10"/>
        <v>30589012.459991604</v>
      </c>
      <c r="AH40" s="116">
        <f t="shared" si="10"/>
        <v>30558772.959893219</v>
      </c>
      <c r="AI40" s="116">
        <f t="shared" si="10"/>
        <v>30443792.535100505</v>
      </c>
      <c r="AJ40" s="116">
        <f t="shared" si="10"/>
        <v>30328812.11030779</v>
      </c>
      <c r="AK40" s="116">
        <f t="shared" si="10"/>
        <v>30213480.06342091</v>
      </c>
      <c r="AL40" s="116">
        <f t="shared" si="10"/>
        <v>30098499.638628207</v>
      </c>
    </row>
    <row r="41" spans="1:38" ht="13.15" customHeight="1" x14ac:dyDescent="0.2">
      <c r="A41" s="543" t="s">
        <v>210</v>
      </c>
      <c r="B41" s="423" t="s">
        <v>669</v>
      </c>
      <c r="C41" s="116">
        <f t="shared" ref="C41:AL41" si="11">C12*C$37*$C$26*12</f>
        <v>519637.79574384924</v>
      </c>
      <c r="D41" s="116">
        <f t="shared" si="11"/>
        <v>666514.2255736026</v>
      </c>
      <c r="E41" s="116">
        <f t="shared" si="11"/>
        <v>676842.12723415589</v>
      </c>
      <c r="F41" s="116">
        <f t="shared" si="11"/>
        <v>687170.02889470919</v>
      </c>
      <c r="G41" s="116">
        <f t="shared" si="11"/>
        <v>697488.70097379677</v>
      </c>
      <c r="H41" s="116">
        <f t="shared" si="11"/>
        <v>707816.60263435007</v>
      </c>
      <c r="I41" s="116">
        <f t="shared" si="11"/>
        <v>718144.50429490325</v>
      </c>
      <c r="J41" s="116">
        <f t="shared" si="11"/>
        <v>725841.97523762146</v>
      </c>
      <c r="K41" s="116">
        <f t="shared" si="11"/>
        <v>733539.44618033944</v>
      </c>
      <c r="L41" s="116">
        <f t="shared" si="11"/>
        <v>741236.9171230573</v>
      </c>
      <c r="M41" s="116">
        <f t="shared" si="11"/>
        <v>748934.38806577539</v>
      </c>
      <c r="N41" s="116">
        <f t="shared" si="11"/>
        <v>756631.8590084936</v>
      </c>
      <c r="O41" s="116">
        <f t="shared" si="11"/>
        <v>762151.14872521476</v>
      </c>
      <c r="P41" s="116">
        <f t="shared" si="11"/>
        <v>767670.43844193593</v>
      </c>
      <c r="Q41" s="116">
        <f t="shared" si="11"/>
        <v>773189.72815865709</v>
      </c>
      <c r="R41" s="116">
        <f t="shared" si="11"/>
        <v>778709.01787537814</v>
      </c>
      <c r="S41" s="116">
        <f t="shared" si="11"/>
        <v>784228.30759209942</v>
      </c>
      <c r="T41" s="116">
        <f t="shared" si="11"/>
        <v>787440.20194229821</v>
      </c>
      <c r="U41" s="116">
        <f t="shared" si="11"/>
        <v>790652.09629249712</v>
      </c>
      <c r="V41" s="116">
        <f t="shared" si="11"/>
        <v>793873.2202241621</v>
      </c>
      <c r="W41" s="116">
        <f t="shared" si="11"/>
        <v>797085.11457436101</v>
      </c>
      <c r="X41" s="116">
        <f t="shared" si="11"/>
        <v>800297.00892455992</v>
      </c>
      <c r="Y41" s="116">
        <f t="shared" si="11"/>
        <v>801459.93618928711</v>
      </c>
      <c r="Z41" s="116">
        <f t="shared" si="11"/>
        <v>802622.8634540143</v>
      </c>
      <c r="AA41" s="116">
        <f t="shared" si="11"/>
        <v>803785.7907187416</v>
      </c>
      <c r="AB41" s="116">
        <f t="shared" si="11"/>
        <v>804948.71798346878</v>
      </c>
      <c r="AC41" s="116">
        <f t="shared" si="11"/>
        <v>806102.41566673014</v>
      </c>
      <c r="AD41" s="116">
        <f t="shared" si="11"/>
        <v>805308.67166064633</v>
      </c>
      <c r="AE41" s="116">
        <f t="shared" si="11"/>
        <v>804514.92765456287</v>
      </c>
      <c r="AF41" s="116">
        <f t="shared" si="11"/>
        <v>803721.18364847894</v>
      </c>
      <c r="AG41" s="116">
        <f t="shared" si="11"/>
        <v>802918.21006092941</v>
      </c>
      <c r="AH41" s="116">
        <f t="shared" si="11"/>
        <v>802124.46605484572</v>
      </c>
      <c r="AI41" s="116">
        <f t="shared" si="11"/>
        <v>799106.39291543467</v>
      </c>
      <c r="AJ41" s="116">
        <f t="shared" si="11"/>
        <v>796088.31977602351</v>
      </c>
      <c r="AK41" s="116">
        <f t="shared" si="11"/>
        <v>793061.01705514651</v>
      </c>
      <c r="AL41" s="116">
        <f t="shared" si="11"/>
        <v>790042.94391573546</v>
      </c>
    </row>
    <row r="42" spans="1:38" ht="13.15" customHeight="1" x14ac:dyDescent="0.2">
      <c r="A42" s="543" t="s">
        <v>212</v>
      </c>
      <c r="B42" s="150" t="s">
        <v>671</v>
      </c>
      <c r="C42" s="116">
        <f t="shared" ref="C42:AL42" si="12">C13*C$37*$C$27*12</f>
        <v>1372686.4035956461</v>
      </c>
      <c r="D42" s="116">
        <f t="shared" si="12"/>
        <v>1760678.3469980019</v>
      </c>
      <c r="E42" s="116">
        <f t="shared" si="12"/>
        <v>1787960.7546735648</v>
      </c>
      <c r="F42" s="116">
        <f t="shared" si="12"/>
        <v>1815243.1623491277</v>
      </c>
      <c r="G42" s="116">
        <f t="shared" si="12"/>
        <v>1842501.1889633178</v>
      </c>
      <c r="H42" s="116">
        <f t="shared" si="12"/>
        <v>1869783.5966388804</v>
      </c>
      <c r="I42" s="116">
        <f t="shared" si="12"/>
        <v>1897066.0043144433</v>
      </c>
      <c r="J42" s="116">
        <f t="shared" si="12"/>
        <v>1917399.809498911</v>
      </c>
      <c r="K42" s="116">
        <f t="shared" si="12"/>
        <v>1937733.6146833785</v>
      </c>
      <c r="L42" s="116">
        <f t="shared" si="12"/>
        <v>1958067.4198678457</v>
      </c>
      <c r="M42" s="116">
        <f t="shared" si="12"/>
        <v>1978401.2250523139</v>
      </c>
      <c r="N42" s="116">
        <f t="shared" si="12"/>
        <v>1998735.0302367811</v>
      </c>
      <c r="O42" s="116">
        <f t="shared" si="12"/>
        <v>2013314.9049373947</v>
      </c>
      <c r="P42" s="116">
        <f t="shared" si="12"/>
        <v>2027894.7796380089</v>
      </c>
      <c r="Q42" s="116">
        <f t="shared" si="12"/>
        <v>2042474.6543386229</v>
      </c>
      <c r="R42" s="116">
        <f t="shared" si="12"/>
        <v>2057054.5290392363</v>
      </c>
      <c r="S42" s="116">
        <f t="shared" si="12"/>
        <v>2071634.40373985</v>
      </c>
      <c r="T42" s="116">
        <f t="shared" si="12"/>
        <v>2080119.0130973975</v>
      </c>
      <c r="U42" s="116">
        <f t="shared" si="12"/>
        <v>2088603.6224549445</v>
      </c>
      <c r="V42" s="116">
        <f t="shared" si="12"/>
        <v>2097112.6128738648</v>
      </c>
      <c r="W42" s="116">
        <f t="shared" si="12"/>
        <v>2105597.2222314128</v>
      </c>
      <c r="X42" s="116">
        <f t="shared" si="12"/>
        <v>2114081.8315889607</v>
      </c>
      <c r="Y42" s="116">
        <f t="shared" si="12"/>
        <v>2117153.8453218658</v>
      </c>
      <c r="Z42" s="116">
        <f t="shared" si="12"/>
        <v>2120225.8590547708</v>
      </c>
      <c r="AA42" s="116">
        <f t="shared" si="12"/>
        <v>2123297.8727876758</v>
      </c>
      <c r="AB42" s="116">
        <f t="shared" si="12"/>
        <v>2126369.8865205818</v>
      </c>
      <c r="AC42" s="116">
        <f t="shared" si="12"/>
        <v>2129417.5191921145</v>
      </c>
      <c r="AD42" s="116">
        <f t="shared" si="12"/>
        <v>2127320.7479141001</v>
      </c>
      <c r="AE42" s="116">
        <f t="shared" si="12"/>
        <v>2125223.9766360852</v>
      </c>
      <c r="AF42" s="116">
        <f t="shared" si="12"/>
        <v>2123127.2053580703</v>
      </c>
      <c r="AG42" s="116">
        <f t="shared" si="12"/>
        <v>2121006.0530186831</v>
      </c>
      <c r="AH42" s="116">
        <f t="shared" si="12"/>
        <v>2118909.2817406692</v>
      </c>
      <c r="AI42" s="116">
        <f t="shared" si="12"/>
        <v>2110936.6746719386</v>
      </c>
      <c r="AJ42" s="116">
        <f t="shared" si="12"/>
        <v>2102964.0676032081</v>
      </c>
      <c r="AK42" s="116">
        <f t="shared" si="12"/>
        <v>2094967.0794731062</v>
      </c>
      <c r="AL42" s="116">
        <f t="shared" si="12"/>
        <v>2086994.4724043761</v>
      </c>
    </row>
    <row r="43" spans="1:38" ht="13.15" customHeight="1" x14ac:dyDescent="0.2">
      <c r="A43" s="543" t="s">
        <v>214</v>
      </c>
      <c r="B43" s="150" t="s">
        <v>673</v>
      </c>
      <c r="C43" s="116">
        <f t="shared" ref="C43:AL43" si="13">C14*C$37*$C$28*12</f>
        <v>1531655.6010708772</v>
      </c>
      <c r="D43" s="116">
        <f t="shared" si="13"/>
        <v>1964580.4349775498</v>
      </c>
      <c r="E43" s="116">
        <f t="shared" si="13"/>
        <v>1995022.3861890694</v>
      </c>
      <c r="F43" s="116">
        <f t="shared" si="13"/>
        <v>2025464.3374005889</v>
      </c>
      <c r="G43" s="116">
        <f t="shared" si="13"/>
        <v>2055879.0840087023</v>
      </c>
      <c r="H43" s="116">
        <f t="shared" si="13"/>
        <v>2086321.0352202216</v>
      </c>
      <c r="I43" s="116">
        <f t="shared" si="13"/>
        <v>2116762.9864317412</v>
      </c>
      <c r="J43" s="116">
        <f t="shared" si="13"/>
        <v>2139451.6256724987</v>
      </c>
      <c r="K43" s="116">
        <f t="shared" si="13"/>
        <v>2162140.2649132549</v>
      </c>
      <c r="L43" s="116">
        <f t="shared" si="13"/>
        <v>2184828.904154012</v>
      </c>
      <c r="M43" s="116">
        <f t="shared" si="13"/>
        <v>2207517.5433947691</v>
      </c>
      <c r="N43" s="116">
        <f t="shared" si="13"/>
        <v>2230206.1826355266</v>
      </c>
      <c r="O43" s="116">
        <f t="shared" si="13"/>
        <v>2246474.5354724247</v>
      </c>
      <c r="P43" s="116">
        <f t="shared" si="13"/>
        <v>2262742.8883093223</v>
      </c>
      <c r="Q43" s="116">
        <f t="shared" si="13"/>
        <v>2279011.2411462204</v>
      </c>
      <c r="R43" s="116">
        <f t="shared" si="13"/>
        <v>2295279.5939831184</v>
      </c>
      <c r="S43" s="116">
        <f t="shared" si="13"/>
        <v>2311547.9468200165</v>
      </c>
      <c r="T43" s="116">
        <f t="shared" si="13"/>
        <v>2321015.1488053678</v>
      </c>
      <c r="U43" s="116">
        <f t="shared" si="13"/>
        <v>2330482.35079072</v>
      </c>
      <c r="V43" s="116">
        <f t="shared" si="13"/>
        <v>2339976.7573794778</v>
      </c>
      <c r="W43" s="116">
        <f t="shared" si="13"/>
        <v>2349443.9593648301</v>
      </c>
      <c r="X43" s="116">
        <f t="shared" si="13"/>
        <v>2358911.1613501823</v>
      </c>
      <c r="Y43" s="116">
        <f t="shared" si="13"/>
        <v>2362338.9413793609</v>
      </c>
      <c r="Z43" s="116">
        <f t="shared" si="13"/>
        <v>2365766.7214085399</v>
      </c>
      <c r="AA43" s="116">
        <f t="shared" si="13"/>
        <v>2369194.5014377194</v>
      </c>
      <c r="AB43" s="116">
        <f t="shared" si="13"/>
        <v>2372622.281466899</v>
      </c>
      <c r="AC43" s="116">
        <f t="shared" si="13"/>
        <v>2376022.8568926724</v>
      </c>
      <c r="AD43" s="116">
        <f t="shared" si="13"/>
        <v>2373683.2609997401</v>
      </c>
      <c r="AE43" s="116">
        <f t="shared" si="13"/>
        <v>2371343.6651068083</v>
      </c>
      <c r="AF43" s="116">
        <f t="shared" si="13"/>
        <v>2369004.0692138765</v>
      </c>
      <c r="AG43" s="116">
        <f t="shared" si="13"/>
        <v>2366637.2687175386</v>
      </c>
      <c r="AH43" s="116">
        <f t="shared" si="13"/>
        <v>2364297.6728246063</v>
      </c>
      <c r="AI43" s="116">
        <f t="shared" si="13"/>
        <v>2355401.7675107848</v>
      </c>
      <c r="AJ43" s="116">
        <f t="shared" si="13"/>
        <v>2346505.8621969623</v>
      </c>
      <c r="AK43" s="116">
        <f t="shared" si="13"/>
        <v>2337582.7522797342</v>
      </c>
      <c r="AL43" s="116">
        <f t="shared" si="13"/>
        <v>2328686.8469659123</v>
      </c>
    </row>
    <row r="44" spans="1:38" ht="13.15" customHeight="1" x14ac:dyDescent="0.2">
      <c r="A44" s="543" t="s">
        <v>216</v>
      </c>
      <c r="B44" s="423" t="s">
        <v>675</v>
      </c>
      <c r="C44" s="116">
        <f t="shared" ref="C44:AL44" si="14">C15*C$37*$C$29*12</f>
        <v>17595.216740077776</v>
      </c>
      <c r="D44" s="116">
        <f t="shared" si="14"/>
        <v>22568.532072469905</v>
      </c>
      <c r="E44" s="116">
        <f t="shared" si="14"/>
        <v>22918.240407152363</v>
      </c>
      <c r="F44" s="116">
        <f t="shared" si="14"/>
        <v>23267.948741834822</v>
      </c>
      <c r="G44" s="116">
        <f t="shared" si="14"/>
        <v>23617.344557898265</v>
      </c>
      <c r="H44" s="116">
        <f t="shared" si="14"/>
        <v>23967.052892580727</v>
      </c>
      <c r="I44" s="116">
        <f t="shared" si="14"/>
        <v>24316.761227263181</v>
      </c>
      <c r="J44" s="116">
        <f t="shared" si="14"/>
        <v>24577.401755525174</v>
      </c>
      <c r="K44" s="116">
        <f t="shared" si="14"/>
        <v>24838.04228378717</v>
      </c>
      <c r="L44" s="116">
        <f t="shared" si="14"/>
        <v>25098.682812049163</v>
      </c>
      <c r="M44" s="116">
        <f t="shared" si="14"/>
        <v>25359.323340311152</v>
      </c>
      <c r="N44" s="116">
        <f t="shared" si="14"/>
        <v>25619.963868573148</v>
      </c>
      <c r="O44" s="116">
        <f t="shared" si="14"/>
        <v>25806.850002746614</v>
      </c>
      <c r="P44" s="116">
        <f t="shared" si="14"/>
        <v>25993.736136920088</v>
      </c>
      <c r="Q44" s="116">
        <f t="shared" si="14"/>
        <v>26180.622271093562</v>
      </c>
      <c r="R44" s="116">
        <f t="shared" si="14"/>
        <v>26367.508405267032</v>
      </c>
      <c r="S44" s="116">
        <f t="shared" si="14"/>
        <v>26554.394539440502</v>
      </c>
      <c r="T44" s="116">
        <f t="shared" si="14"/>
        <v>26663.151018859178</v>
      </c>
      <c r="U44" s="116">
        <f t="shared" si="14"/>
        <v>26771.907498277847</v>
      </c>
      <c r="V44" s="116">
        <f t="shared" si="14"/>
        <v>26880.976496315547</v>
      </c>
      <c r="W44" s="116">
        <f t="shared" si="14"/>
        <v>26989.732975734216</v>
      </c>
      <c r="X44" s="116">
        <f t="shared" si="14"/>
        <v>27098.489455152889</v>
      </c>
      <c r="Y44" s="116">
        <f t="shared" si="14"/>
        <v>27137.866801149306</v>
      </c>
      <c r="Z44" s="116">
        <f t="shared" si="14"/>
        <v>27177.244147145724</v>
      </c>
      <c r="AA44" s="116">
        <f t="shared" si="14"/>
        <v>27216.621493142142</v>
      </c>
      <c r="AB44" s="116">
        <f t="shared" si="14"/>
        <v>27255.99883913856</v>
      </c>
      <c r="AC44" s="116">
        <f t="shared" si="14"/>
        <v>27295.063666515962</v>
      </c>
      <c r="AD44" s="116">
        <f t="shared" si="14"/>
        <v>27268.187065280312</v>
      </c>
      <c r="AE44" s="116">
        <f t="shared" si="14"/>
        <v>27241.310464044658</v>
      </c>
      <c r="AF44" s="116">
        <f t="shared" si="14"/>
        <v>27214.433862809004</v>
      </c>
      <c r="AG44" s="116">
        <f t="shared" si="14"/>
        <v>27187.244742954339</v>
      </c>
      <c r="AH44" s="116">
        <f t="shared" si="14"/>
        <v>27160.368141718693</v>
      </c>
      <c r="AI44" s="116">
        <f t="shared" si="14"/>
        <v>27058.174553299417</v>
      </c>
      <c r="AJ44" s="116">
        <f t="shared" si="14"/>
        <v>26955.980964880146</v>
      </c>
      <c r="AK44" s="116">
        <f t="shared" si="14"/>
        <v>26853.474857841858</v>
      </c>
      <c r="AL44" s="116">
        <f t="shared" si="14"/>
        <v>26751.281269422594</v>
      </c>
    </row>
    <row r="45" spans="1:38" ht="13.15" customHeight="1" x14ac:dyDescent="0.2">
      <c r="A45" s="543" t="s">
        <v>218</v>
      </c>
      <c r="B45" s="423" t="s">
        <v>677</v>
      </c>
      <c r="C45" s="116">
        <f t="shared" ref="C45:AL45" si="15">C16*C$37*$C$30*12</f>
        <v>7458.5573235886113</v>
      </c>
      <c r="D45" s="116">
        <f t="shared" si="15"/>
        <v>9566.7301323064457</v>
      </c>
      <c r="E45" s="116">
        <f t="shared" si="15"/>
        <v>9714.970401198656</v>
      </c>
      <c r="F45" s="116">
        <f t="shared" si="15"/>
        <v>9863.2106700908662</v>
      </c>
      <c r="G45" s="116">
        <f t="shared" si="15"/>
        <v>10011.318463318294</v>
      </c>
      <c r="H45" s="116">
        <f t="shared" si="15"/>
        <v>10159.558732210502</v>
      </c>
      <c r="I45" s="116">
        <f t="shared" si="15"/>
        <v>10307.79900110271</v>
      </c>
      <c r="J45" s="116">
        <f t="shared" si="15"/>
        <v>10418.283705531758</v>
      </c>
      <c r="K45" s="116">
        <f t="shared" si="15"/>
        <v>10528.768409960803</v>
      </c>
      <c r="L45" s="116">
        <f t="shared" si="15"/>
        <v>10639.253114389849</v>
      </c>
      <c r="M45" s="116">
        <f t="shared" si="15"/>
        <v>10749.737818818894</v>
      </c>
      <c r="N45" s="116">
        <f t="shared" si="15"/>
        <v>10860.222523247941</v>
      </c>
      <c r="O45" s="116">
        <f t="shared" si="15"/>
        <v>10939.442970788194</v>
      </c>
      <c r="P45" s="116">
        <f t="shared" si="15"/>
        <v>11018.663418328448</v>
      </c>
      <c r="Q45" s="116">
        <f t="shared" si="15"/>
        <v>11097.883865868698</v>
      </c>
      <c r="R45" s="116">
        <f t="shared" si="15"/>
        <v>11177.10431340895</v>
      </c>
      <c r="S45" s="116">
        <f t="shared" si="15"/>
        <v>11256.324760949205</v>
      </c>
      <c r="T45" s="116">
        <f t="shared" si="15"/>
        <v>11302.426292293698</v>
      </c>
      <c r="U45" s="116">
        <f t="shared" si="15"/>
        <v>11348.527823638189</v>
      </c>
      <c r="V45" s="116">
        <f t="shared" si="15"/>
        <v>11394.761830647467</v>
      </c>
      <c r="W45" s="116">
        <f t="shared" si="15"/>
        <v>11440.863361991964</v>
      </c>
      <c r="X45" s="116">
        <f t="shared" si="15"/>
        <v>11486.964893336457</v>
      </c>
      <c r="Y45" s="116">
        <f t="shared" si="15"/>
        <v>11503.656827099117</v>
      </c>
      <c r="Z45" s="116">
        <f t="shared" si="15"/>
        <v>11520.34876086178</v>
      </c>
      <c r="AA45" s="116">
        <f t="shared" si="15"/>
        <v>11537.04069462444</v>
      </c>
      <c r="AB45" s="116">
        <f t="shared" si="15"/>
        <v>11553.732628387104</v>
      </c>
      <c r="AC45" s="116">
        <f t="shared" si="15"/>
        <v>11570.292086484984</v>
      </c>
      <c r="AD45" s="116">
        <f t="shared" si="15"/>
        <v>11558.899179313645</v>
      </c>
      <c r="AE45" s="116">
        <f t="shared" si="15"/>
        <v>11547.506272142304</v>
      </c>
      <c r="AF45" s="116">
        <f t="shared" si="15"/>
        <v>11536.113364970963</v>
      </c>
      <c r="AG45" s="116">
        <f t="shared" si="15"/>
        <v>11524.587982134839</v>
      </c>
      <c r="AH45" s="116">
        <f t="shared" si="15"/>
        <v>11513.195074963498</v>
      </c>
      <c r="AI45" s="116">
        <f t="shared" si="15"/>
        <v>11469.875532579448</v>
      </c>
      <c r="AJ45" s="116">
        <f t="shared" si="15"/>
        <v>11426.555990195395</v>
      </c>
      <c r="AK45" s="116">
        <f t="shared" si="15"/>
        <v>11383.103972146564</v>
      </c>
      <c r="AL45" s="116">
        <f t="shared" si="15"/>
        <v>11339.784429762512</v>
      </c>
    </row>
    <row r="46" spans="1:38" ht="13.15" customHeight="1" x14ac:dyDescent="0.2">
      <c r="A46" s="543" t="s">
        <v>220</v>
      </c>
      <c r="B46" s="423" t="s">
        <v>679</v>
      </c>
      <c r="C46" s="116">
        <f t="shared" ref="C46:AL46" si="16">C17*C$37*$C$31*12</f>
        <v>40547.593107302688</v>
      </c>
      <c r="D46" s="116">
        <f t="shared" si="16"/>
        <v>52008.433258979858</v>
      </c>
      <c r="E46" s="116">
        <f t="shared" si="16"/>
        <v>52814.324511722341</v>
      </c>
      <c r="F46" s="116">
        <f t="shared" si="16"/>
        <v>53620.215764464818</v>
      </c>
      <c r="G46" s="116">
        <f t="shared" si="16"/>
        <v>54425.386828420218</v>
      </c>
      <c r="H46" s="116">
        <f t="shared" si="16"/>
        <v>55231.278081162709</v>
      </c>
      <c r="I46" s="116">
        <f t="shared" si="16"/>
        <v>56037.169333905185</v>
      </c>
      <c r="J46" s="116">
        <f t="shared" si="16"/>
        <v>56637.806782329877</v>
      </c>
      <c r="K46" s="116">
        <f t="shared" si="16"/>
        <v>57238.444230754554</v>
      </c>
      <c r="L46" s="116">
        <f t="shared" si="16"/>
        <v>57839.081679179246</v>
      </c>
      <c r="M46" s="116">
        <f t="shared" si="16"/>
        <v>58439.719127603952</v>
      </c>
      <c r="N46" s="116">
        <f t="shared" si="16"/>
        <v>59040.356576028644</v>
      </c>
      <c r="O46" s="116">
        <f t="shared" si="16"/>
        <v>59471.029470702473</v>
      </c>
      <c r="P46" s="116">
        <f t="shared" si="16"/>
        <v>59901.702365376295</v>
      </c>
      <c r="Q46" s="116">
        <f t="shared" si="16"/>
        <v>60332.375260050132</v>
      </c>
      <c r="R46" s="116">
        <f t="shared" si="16"/>
        <v>60763.048154723961</v>
      </c>
      <c r="S46" s="116">
        <f t="shared" si="16"/>
        <v>61193.721049397784</v>
      </c>
      <c r="T46" s="116">
        <f t="shared" si="16"/>
        <v>61444.346747301606</v>
      </c>
      <c r="U46" s="116">
        <f t="shared" si="16"/>
        <v>61694.972445205422</v>
      </c>
      <c r="V46" s="116">
        <f t="shared" si="16"/>
        <v>61946.318331896335</v>
      </c>
      <c r="W46" s="116">
        <f t="shared" si="16"/>
        <v>62196.944029800172</v>
      </c>
      <c r="X46" s="116">
        <f t="shared" si="16"/>
        <v>62447.569727704009</v>
      </c>
      <c r="Y46" s="116">
        <f t="shared" si="16"/>
        <v>62538.313514876078</v>
      </c>
      <c r="Z46" s="116">
        <f t="shared" si="16"/>
        <v>62629.057302048153</v>
      </c>
      <c r="AA46" s="116">
        <f t="shared" si="16"/>
        <v>62719.801089220229</v>
      </c>
      <c r="AB46" s="116">
        <f t="shared" si="16"/>
        <v>62810.544876392305</v>
      </c>
      <c r="AC46" s="116">
        <f t="shared" si="16"/>
        <v>62900.568474777319</v>
      </c>
      <c r="AD46" s="116">
        <f t="shared" si="16"/>
        <v>62838.632239088438</v>
      </c>
      <c r="AE46" s="116">
        <f t="shared" si="16"/>
        <v>62776.696003399571</v>
      </c>
      <c r="AF46" s="116">
        <f t="shared" si="16"/>
        <v>62714.759767710682</v>
      </c>
      <c r="AG46" s="116">
        <f t="shared" si="16"/>
        <v>62652.10334323471</v>
      </c>
      <c r="AH46" s="116">
        <f t="shared" si="16"/>
        <v>62590.167107545851</v>
      </c>
      <c r="AI46" s="116">
        <f t="shared" si="16"/>
        <v>62354.665374170698</v>
      </c>
      <c r="AJ46" s="116">
        <f t="shared" si="16"/>
        <v>62119.163640795538</v>
      </c>
      <c r="AK46" s="116">
        <f t="shared" si="16"/>
        <v>61882.941718633308</v>
      </c>
      <c r="AL46" s="116">
        <f t="shared" si="16"/>
        <v>61647.439985258177</v>
      </c>
    </row>
    <row r="47" spans="1:38" ht="13.15" customHeight="1" x14ac:dyDescent="0.2">
      <c r="A47" s="543" t="s">
        <v>222</v>
      </c>
      <c r="B47" s="423" t="s">
        <v>681</v>
      </c>
      <c r="C47" s="116">
        <f t="shared" ref="C47:AL47" si="17">C18*C$37*$C$32*12</f>
        <v>833.52703026986887</v>
      </c>
      <c r="D47" s="116">
        <f t="shared" si="17"/>
        <v>1069.124739626991</v>
      </c>
      <c r="E47" s="116">
        <f t="shared" si="17"/>
        <v>1085.6912505131311</v>
      </c>
      <c r="F47" s="116">
        <f t="shared" si="17"/>
        <v>1102.2577613992712</v>
      </c>
      <c r="G47" s="116">
        <f t="shared" si="17"/>
        <v>1118.8094675393111</v>
      </c>
      <c r="H47" s="116">
        <f t="shared" si="17"/>
        <v>1135.375978425451</v>
      </c>
      <c r="I47" s="116">
        <f t="shared" si="17"/>
        <v>1151.9424893115911</v>
      </c>
      <c r="J47" s="116">
        <f t="shared" si="17"/>
        <v>1164.2896475591701</v>
      </c>
      <c r="K47" s="116">
        <f t="shared" si="17"/>
        <v>1176.636805806749</v>
      </c>
      <c r="L47" s="116">
        <f t="shared" si="17"/>
        <v>1188.9839640543275</v>
      </c>
      <c r="M47" s="116">
        <f t="shared" si="17"/>
        <v>1201.3311223019064</v>
      </c>
      <c r="N47" s="116">
        <f t="shared" si="17"/>
        <v>1213.6782805494854</v>
      </c>
      <c r="O47" s="116">
        <f t="shared" si="17"/>
        <v>1222.5315187174137</v>
      </c>
      <c r="P47" s="116">
        <f t="shared" si="17"/>
        <v>1231.3847568853423</v>
      </c>
      <c r="Q47" s="116">
        <f t="shared" si="17"/>
        <v>1240.2379950532707</v>
      </c>
      <c r="R47" s="116">
        <f t="shared" si="17"/>
        <v>1249.091233221199</v>
      </c>
      <c r="S47" s="116">
        <f t="shared" si="17"/>
        <v>1257.9444713891276</v>
      </c>
      <c r="T47" s="116">
        <f t="shared" si="17"/>
        <v>1263.0965230320021</v>
      </c>
      <c r="U47" s="116">
        <f t="shared" si="17"/>
        <v>1268.2485746748766</v>
      </c>
      <c r="V47" s="116">
        <f t="shared" si="17"/>
        <v>1273.4154310638514</v>
      </c>
      <c r="W47" s="116">
        <f t="shared" si="17"/>
        <v>1278.5674827067262</v>
      </c>
      <c r="X47" s="116">
        <f t="shared" si="17"/>
        <v>1283.719534349601</v>
      </c>
      <c r="Y47" s="116">
        <f t="shared" si="17"/>
        <v>1285.5849323582277</v>
      </c>
      <c r="Z47" s="116">
        <f t="shared" si="17"/>
        <v>1287.4503303668548</v>
      </c>
      <c r="AA47" s="116">
        <f t="shared" si="17"/>
        <v>1289.3157283754817</v>
      </c>
      <c r="AB47" s="116">
        <f t="shared" si="17"/>
        <v>1291.1811263841091</v>
      </c>
      <c r="AC47" s="116">
        <f t="shared" si="17"/>
        <v>1293.0317196466362</v>
      </c>
      <c r="AD47" s="116">
        <f t="shared" si="17"/>
        <v>1291.7585114820176</v>
      </c>
      <c r="AE47" s="116">
        <f t="shared" si="17"/>
        <v>1290.4853033173993</v>
      </c>
      <c r="AF47" s="116">
        <f t="shared" si="17"/>
        <v>1289.2120951527806</v>
      </c>
      <c r="AG47" s="116">
        <f t="shared" si="17"/>
        <v>1287.924082242062</v>
      </c>
      <c r="AH47" s="116">
        <f t="shared" si="17"/>
        <v>1286.6508740774436</v>
      </c>
      <c r="AI47" s="116">
        <f t="shared" si="17"/>
        <v>1281.8097221026733</v>
      </c>
      <c r="AJ47" s="116">
        <f t="shared" si="17"/>
        <v>1276.9685701279031</v>
      </c>
      <c r="AK47" s="116">
        <f t="shared" si="17"/>
        <v>1272.1126134070328</v>
      </c>
      <c r="AL47" s="116">
        <f t="shared" si="17"/>
        <v>1267.2714614322626</v>
      </c>
    </row>
    <row r="48" spans="1:38" ht="13.15" customHeight="1" x14ac:dyDescent="0.2">
      <c r="A48" s="543" t="s">
        <v>224</v>
      </c>
      <c r="B48" s="423" t="s">
        <v>683</v>
      </c>
      <c r="C48" s="116">
        <f>C19*C$37*$C$33*12</f>
        <v>0</v>
      </c>
      <c r="D48" s="116">
        <f>D19*D$37*$C$33*12</f>
        <v>0</v>
      </c>
      <c r="E48" s="116">
        <f t="shared" ref="E48:AL48" si="18">E19*E$37*$C$25*12</f>
        <v>0</v>
      </c>
      <c r="F48" s="116">
        <f t="shared" si="18"/>
        <v>0</v>
      </c>
      <c r="G48" s="116">
        <f t="shared" si="18"/>
        <v>0</v>
      </c>
      <c r="H48" s="116">
        <f t="shared" si="18"/>
        <v>0</v>
      </c>
      <c r="I48" s="116">
        <f t="shared" si="18"/>
        <v>0</v>
      </c>
      <c r="J48" s="116">
        <f t="shared" si="18"/>
        <v>0</v>
      </c>
      <c r="K48" s="116">
        <f t="shared" si="18"/>
        <v>0</v>
      </c>
      <c r="L48" s="116">
        <f t="shared" si="18"/>
        <v>0</v>
      </c>
      <c r="M48" s="116">
        <f t="shared" si="18"/>
        <v>0</v>
      </c>
      <c r="N48" s="116">
        <f t="shared" si="18"/>
        <v>0</v>
      </c>
      <c r="O48" s="116">
        <f t="shared" si="18"/>
        <v>0</v>
      </c>
      <c r="P48" s="116">
        <f t="shared" si="18"/>
        <v>0</v>
      </c>
      <c r="Q48" s="116">
        <f t="shared" si="18"/>
        <v>0</v>
      </c>
      <c r="R48" s="116">
        <f t="shared" si="18"/>
        <v>0</v>
      </c>
      <c r="S48" s="116">
        <f t="shared" si="18"/>
        <v>0</v>
      </c>
      <c r="T48" s="116">
        <f t="shared" si="18"/>
        <v>0</v>
      </c>
      <c r="U48" s="116">
        <f t="shared" si="18"/>
        <v>0</v>
      </c>
      <c r="V48" s="116">
        <f t="shared" si="18"/>
        <v>0</v>
      </c>
      <c r="W48" s="116">
        <f t="shared" si="18"/>
        <v>0</v>
      </c>
      <c r="X48" s="116">
        <f t="shared" si="18"/>
        <v>0</v>
      </c>
      <c r="Y48" s="116">
        <f t="shared" si="18"/>
        <v>0</v>
      </c>
      <c r="Z48" s="116">
        <f t="shared" si="18"/>
        <v>0</v>
      </c>
      <c r="AA48" s="116">
        <f t="shared" si="18"/>
        <v>0</v>
      </c>
      <c r="AB48" s="116">
        <f t="shared" si="18"/>
        <v>0</v>
      </c>
      <c r="AC48" s="116">
        <f t="shared" si="18"/>
        <v>0</v>
      </c>
      <c r="AD48" s="116">
        <f t="shared" si="18"/>
        <v>0</v>
      </c>
      <c r="AE48" s="116">
        <f t="shared" si="18"/>
        <v>0</v>
      </c>
      <c r="AF48" s="116">
        <f t="shared" si="18"/>
        <v>0</v>
      </c>
      <c r="AG48" s="116">
        <f t="shared" si="18"/>
        <v>0</v>
      </c>
      <c r="AH48" s="116">
        <f t="shared" si="18"/>
        <v>0</v>
      </c>
      <c r="AI48" s="116">
        <f t="shared" si="18"/>
        <v>0</v>
      </c>
      <c r="AJ48" s="116">
        <f t="shared" si="18"/>
        <v>0</v>
      </c>
      <c r="AK48" s="116">
        <f t="shared" si="18"/>
        <v>0</v>
      </c>
      <c r="AL48" s="116">
        <f t="shared" si="18"/>
        <v>0</v>
      </c>
    </row>
    <row r="49" spans="1:38" ht="13.15" customHeight="1" x14ac:dyDescent="0.2">
      <c r="A49" s="543" t="s">
        <v>226</v>
      </c>
      <c r="B49" s="423" t="s">
        <v>685</v>
      </c>
      <c r="C49" s="116">
        <f t="shared" ref="C49:AL49" si="19">C20*C$37*$C$34*12</f>
        <v>4216.5541862399996</v>
      </c>
      <c r="D49" s="116">
        <f t="shared" si="19"/>
        <v>5408.3697741960314</v>
      </c>
      <c r="E49" s="116">
        <f t="shared" si="19"/>
        <v>5492.174603903507</v>
      </c>
      <c r="F49" s="116">
        <f t="shared" si="19"/>
        <v>5575.9794336109835</v>
      </c>
      <c r="G49" s="116">
        <f t="shared" si="19"/>
        <v>5659.7093707092481</v>
      </c>
      <c r="H49" s="116">
        <f t="shared" si="19"/>
        <v>5743.5142004167228</v>
      </c>
      <c r="I49" s="116">
        <f t="shared" si="19"/>
        <v>5827.3190301241984</v>
      </c>
      <c r="J49" s="116">
        <f t="shared" si="19"/>
        <v>5889.7794662064462</v>
      </c>
      <c r="K49" s="116">
        <f t="shared" si="19"/>
        <v>5952.239902288693</v>
      </c>
      <c r="L49" s="116">
        <f t="shared" si="19"/>
        <v>6014.7003383709398</v>
      </c>
      <c r="M49" s="116">
        <f t="shared" si="19"/>
        <v>6077.1607744531875</v>
      </c>
      <c r="N49" s="116">
        <f t="shared" si="19"/>
        <v>6139.6212105354352</v>
      </c>
      <c r="O49" s="116">
        <f t="shared" si="19"/>
        <v>6184.4069908438087</v>
      </c>
      <c r="P49" s="116">
        <f t="shared" si="19"/>
        <v>6229.1927711521839</v>
      </c>
      <c r="Q49" s="116">
        <f t="shared" si="19"/>
        <v>6273.9785514605583</v>
      </c>
      <c r="R49" s="116">
        <f t="shared" si="19"/>
        <v>6318.7643317689335</v>
      </c>
      <c r="S49" s="116">
        <f t="shared" si="19"/>
        <v>6363.5501120773079</v>
      </c>
      <c r="T49" s="116">
        <f t="shared" si="19"/>
        <v>6389.6127400828482</v>
      </c>
      <c r="U49" s="116">
        <f t="shared" si="19"/>
        <v>6415.6753680883903</v>
      </c>
      <c r="V49" s="116">
        <f t="shared" si="19"/>
        <v>6441.8128887031435</v>
      </c>
      <c r="W49" s="116">
        <f t="shared" si="19"/>
        <v>6467.8755167086856</v>
      </c>
      <c r="X49" s="116">
        <f t="shared" si="19"/>
        <v>6493.9381447142287</v>
      </c>
      <c r="Y49" s="116">
        <f t="shared" si="19"/>
        <v>6503.3746134748562</v>
      </c>
      <c r="Z49" s="116">
        <f t="shared" si="19"/>
        <v>6512.811082235482</v>
      </c>
      <c r="AA49" s="116">
        <f t="shared" si="19"/>
        <v>6522.2475509961096</v>
      </c>
      <c r="AB49" s="116">
        <f t="shared" si="19"/>
        <v>6531.6840197567399</v>
      </c>
      <c r="AC49" s="116">
        <f t="shared" si="19"/>
        <v>6541.0455959081555</v>
      </c>
      <c r="AD49" s="116">
        <f t="shared" si="19"/>
        <v>6534.6048315159815</v>
      </c>
      <c r="AE49" s="116">
        <f t="shared" si="19"/>
        <v>6528.1640671238065</v>
      </c>
      <c r="AF49" s="116">
        <f t="shared" si="19"/>
        <v>6521.7233027316324</v>
      </c>
      <c r="AG49" s="116">
        <f t="shared" si="19"/>
        <v>6515.2076457302464</v>
      </c>
      <c r="AH49" s="116">
        <f t="shared" si="19"/>
        <v>6508.7668813380733</v>
      </c>
      <c r="AI49" s="116">
        <f t="shared" si="19"/>
        <v>6484.2769981259689</v>
      </c>
      <c r="AJ49" s="116">
        <f t="shared" si="19"/>
        <v>6459.7871149138646</v>
      </c>
      <c r="AK49" s="116">
        <f t="shared" si="19"/>
        <v>6435.2223390925492</v>
      </c>
      <c r="AL49" s="116">
        <f t="shared" si="19"/>
        <v>6410.7324558804467</v>
      </c>
    </row>
    <row r="50" spans="1:38" ht="13.15" customHeight="1" x14ac:dyDescent="0.2">
      <c r="A50" s="543" t="s">
        <v>1223</v>
      </c>
      <c r="B50" s="423" t="s">
        <v>687</v>
      </c>
      <c r="C50" s="116">
        <f>C21*C$37*$C$35*12</f>
        <v>0</v>
      </c>
      <c r="D50" s="116">
        <f>D21*D$37*$C$35*12</f>
        <v>0</v>
      </c>
      <c r="E50" s="116">
        <f t="shared" ref="E50:AL50" si="20">E21*E$37*$C$25*12</f>
        <v>0</v>
      </c>
      <c r="F50" s="116">
        <f t="shared" si="20"/>
        <v>0</v>
      </c>
      <c r="G50" s="116">
        <f t="shared" si="20"/>
        <v>0</v>
      </c>
      <c r="H50" s="116">
        <f t="shared" si="20"/>
        <v>0</v>
      </c>
      <c r="I50" s="116">
        <f t="shared" si="20"/>
        <v>0</v>
      </c>
      <c r="J50" s="116">
        <f t="shared" si="20"/>
        <v>0</v>
      </c>
      <c r="K50" s="116">
        <f t="shared" si="20"/>
        <v>0</v>
      </c>
      <c r="L50" s="116">
        <f t="shared" si="20"/>
        <v>0</v>
      </c>
      <c r="M50" s="116">
        <f t="shared" si="20"/>
        <v>0</v>
      </c>
      <c r="N50" s="116">
        <f t="shared" si="20"/>
        <v>0</v>
      </c>
      <c r="O50" s="116">
        <f t="shared" si="20"/>
        <v>0</v>
      </c>
      <c r="P50" s="116">
        <f t="shared" si="20"/>
        <v>0</v>
      </c>
      <c r="Q50" s="116">
        <f t="shared" si="20"/>
        <v>0</v>
      </c>
      <c r="R50" s="116">
        <f t="shared" si="20"/>
        <v>0</v>
      </c>
      <c r="S50" s="116">
        <f t="shared" si="20"/>
        <v>0</v>
      </c>
      <c r="T50" s="116">
        <f t="shared" si="20"/>
        <v>0</v>
      </c>
      <c r="U50" s="116">
        <f t="shared" si="20"/>
        <v>0</v>
      </c>
      <c r="V50" s="116">
        <f t="shared" si="20"/>
        <v>0</v>
      </c>
      <c r="W50" s="116">
        <f t="shared" si="20"/>
        <v>0</v>
      </c>
      <c r="X50" s="116">
        <f t="shared" si="20"/>
        <v>0</v>
      </c>
      <c r="Y50" s="116">
        <f t="shared" si="20"/>
        <v>0</v>
      </c>
      <c r="Z50" s="116">
        <f t="shared" si="20"/>
        <v>0</v>
      </c>
      <c r="AA50" s="116">
        <f t="shared" si="20"/>
        <v>0</v>
      </c>
      <c r="AB50" s="116">
        <f t="shared" si="20"/>
        <v>0</v>
      </c>
      <c r="AC50" s="116">
        <f t="shared" si="20"/>
        <v>0</v>
      </c>
      <c r="AD50" s="116">
        <f t="shared" si="20"/>
        <v>0</v>
      </c>
      <c r="AE50" s="116">
        <f t="shared" si="20"/>
        <v>0</v>
      </c>
      <c r="AF50" s="116">
        <f t="shared" si="20"/>
        <v>0</v>
      </c>
      <c r="AG50" s="116">
        <f t="shared" si="20"/>
        <v>0</v>
      </c>
      <c r="AH50" s="116">
        <f t="shared" si="20"/>
        <v>0</v>
      </c>
      <c r="AI50" s="116">
        <f t="shared" si="20"/>
        <v>0</v>
      </c>
      <c r="AJ50" s="116">
        <f t="shared" si="20"/>
        <v>0</v>
      </c>
      <c r="AK50" s="116">
        <f t="shared" si="20"/>
        <v>0</v>
      </c>
      <c r="AL50" s="116">
        <f t="shared" si="20"/>
        <v>0</v>
      </c>
    </row>
    <row r="51" spans="1:38" ht="13.15" customHeight="1" x14ac:dyDescent="0.2">
      <c r="B51" s="68" t="s">
        <v>71</v>
      </c>
      <c r="C51" s="116">
        <f>SUM(C39:C50)</f>
        <v>27205509.569161627</v>
      </c>
      <c r="D51" s="116">
        <f t="shared" ref="D51:AL51" si="21">SUM(D39:D50)</f>
        <v>34895189.091987103</v>
      </c>
      <c r="E51" s="116">
        <f t="shared" si="21"/>
        <v>35435903.854764007</v>
      </c>
      <c r="F51" s="116">
        <f t="shared" si="21"/>
        <v>35976618.617540911</v>
      </c>
      <c r="G51" s="116">
        <f t="shared" si="21"/>
        <v>36516850.1678399</v>
      </c>
      <c r="H51" s="116">
        <f t="shared" si="21"/>
        <v>37057564.930616803</v>
      </c>
      <c r="I51" s="116">
        <f t="shared" si="21"/>
        <v>37598279.693393692</v>
      </c>
      <c r="J51" s="116">
        <f t="shared" si="21"/>
        <v>38001278.89996735</v>
      </c>
      <c r="K51" s="116">
        <f t="shared" si="21"/>
        <v>38404278.106541023</v>
      </c>
      <c r="L51" s="116">
        <f t="shared" si="21"/>
        <v>38807277.313114673</v>
      </c>
      <c r="M51" s="116">
        <f t="shared" si="21"/>
        <v>39210276.519688345</v>
      </c>
      <c r="N51" s="116">
        <f t="shared" si="21"/>
        <v>39613275.726262003</v>
      </c>
      <c r="O51" s="116">
        <f t="shared" si="21"/>
        <v>39902236.788049847</v>
      </c>
      <c r="P51" s="116">
        <f t="shared" si="21"/>
        <v>40191197.849837683</v>
      </c>
      <c r="Q51" s="116">
        <f t="shared" si="21"/>
        <v>40480158.911625519</v>
      </c>
      <c r="R51" s="116">
        <f t="shared" si="21"/>
        <v>40769119.973413363</v>
      </c>
      <c r="S51" s="116">
        <f t="shared" si="21"/>
        <v>41058081.035201192</v>
      </c>
      <c r="T51" s="116">
        <f t="shared" si="21"/>
        <v>41226238.977512501</v>
      </c>
      <c r="U51" s="116">
        <f t="shared" si="21"/>
        <v>41394396.91982381</v>
      </c>
      <c r="V51" s="116">
        <f t="shared" si="21"/>
        <v>41563038.07461305</v>
      </c>
      <c r="W51" s="116">
        <f t="shared" si="21"/>
        <v>41731196.016924351</v>
      </c>
      <c r="X51" s="116">
        <f t="shared" si="21"/>
        <v>41899353.959235676</v>
      </c>
      <c r="Y51" s="116">
        <f t="shared" si="21"/>
        <v>41960238.731451824</v>
      </c>
      <c r="Z51" s="116">
        <f t="shared" si="21"/>
        <v>42021123.503667995</v>
      </c>
      <c r="AA51" s="116">
        <f t="shared" si="21"/>
        <v>42082008.275884159</v>
      </c>
      <c r="AB51" s="116">
        <f t="shared" si="21"/>
        <v>42142893.048100337</v>
      </c>
      <c r="AC51" s="116">
        <f t="shared" si="21"/>
        <v>42203294.607838593</v>
      </c>
      <c r="AD51" s="116">
        <f t="shared" si="21"/>
        <v>42161738.334738679</v>
      </c>
      <c r="AE51" s="116">
        <f t="shared" si="21"/>
        <v>42120182.061638765</v>
      </c>
      <c r="AF51" s="116">
        <f t="shared" si="21"/>
        <v>42078625.788538836</v>
      </c>
      <c r="AG51" s="116">
        <f t="shared" si="21"/>
        <v>42036586.302960992</v>
      </c>
      <c r="AH51" s="116">
        <f t="shared" si="21"/>
        <v>41995030.02986107</v>
      </c>
      <c r="AI51" s="116">
        <f t="shared" si="21"/>
        <v>41837019.549585789</v>
      </c>
      <c r="AJ51" s="116">
        <f t="shared" si="21"/>
        <v>41679009.069310486</v>
      </c>
      <c r="AK51" s="116">
        <f t="shared" si="21"/>
        <v>41520515.376557313</v>
      </c>
      <c r="AL51" s="116">
        <f t="shared" si="21"/>
        <v>41362504.896282025</v>
      </c>
    </row>
    <row r="53" spans="1:38" ht="13.15" customHeight="1" x14ac:dyDescent="0.2">
      <c r="A53" s="70" t="s">
        <v>1131</v>
      </c>
      <c r="B53" s="703" t="s">
        <v>1234</v>
      </c>
      <c r="C53" s="70" t="s">
        <v>707</v>
      </c>
      <c r="D53" s="70" t="s">
        <v>775</v>
      </c>
      <c r="E53" s="70" t="s">
        <v>776</v>
      </c>
      <c r="F53" s="70" t="s">
        <v>777</v>
      </c>
      <c r="G53" s="70" t="s">
        <v>778</v>
      </c>
      <c r="H53" s="70" t="s">
        <v>779</v>
      </c>
      <c r="I53" s="70" t="s">
        <v>780</v>
      </c>
      <c r="J53" s="70" t="s">
        <v>781</v>
      </c>
      <c r="K53" s="70" t="s">
        <v>782</v>
      </c>
      <c r="L53" s="70" t="s">
        <v>783</v>
      </c>
      <c r="M53" s="70" t="s">
        <v>717</v>
      </c>
      <c r="N53" s="70" t="s">
        <v>718</v>
      </c>
      <c r="O53" s="70" t="s">
        <v>719</v>
      </c>
      <c r="P53" s="70" t="s">
        <v>720</v>
      </c>
      <c r="Q53" s="70" t="s">
        <v>721</v>
      </c>
      <c r="R53" s="70" t="s">
        <v>722</v>
      </c>
      <c r="S53" s="70" t="s">
        <v>723</v>
      </c>
      <c r="T53" s="70" t="s">
        <v>724</v>
      </c>
      <c r="U53" s="70" t="s">
        <v>725</v>
      </c>
      <c r="V53" s="70" t="s">
        <v>726</v>
      </c>
      <c r="W53" s="70" t="s">
        <v>727</v>
      </c>
      <c r="X53" s="70" t="s">
        <v>728</v>
      </c>
      <c r="Y53" s="70" t="s">
        <v>729</v>
      </c>
      <c r="Z53" s="70" t="s">
        <v>730</v>
      </c>
      <c r="AA53" s="70" t="s">
        <v>731</v>
      </c>
      <c r="AB53" s="70" t="s">
        <v>732</v>
      </c>
      <c r="AC53" s="70" t="s">
        <v>733</v>
      </c>
      <c r="AD53" s="70" t="s">
        <v>734</v>
      </c>
      <c r="AE53" s="70" t="s">
        <v>735</v>
      </c>
      <c r="AF53" s="70" t="s">
        <v>736</v>
      </c>
      <c r="AG53" s="70" t="s">
        <v>737</v>
      </c>
      <c r="AH53" s="70" t="s">
        <v>738</v>
      </c>
      <c r="AI53" s="70" t="s">
        <v>739</v>
      </c>
      <c r="AJ53" s="70" t="s">
        <v>740</v>
      </c>
      <c r="AK53" s="70" t="s">
        <v>741</v>
      </c>
      <c r="AL53" s="70" t="s">
        <v>742</v>
      </c>
    </row>
    <row r="54" spans="1:38" ht="13.15" customHeight="1" x14ac:dyDescent="0.2">
      <c r="A54" s="99">
        <v>7</v>
      </c>
      <c r="B54" s="704"/>
      <c r="C54" s="117">
        <f>C51</f>
        <v>27205509.569161627</v>
      </c>
      <c r="D54" s="95">
        <f>D51/1000</f>
        <v>34895.1890919871</v>
      </c>
      <c r="E54" s="95">
        <f t="shared" ref="E54:AG54" si="22">E51/1000</f>
        <v>35435.903854764008</v>
      </c>
      <c r="F54" s="95">
        <f t="shared" si="22"/>
        <v>35976.618617540909</v>
      </c>
      <c r="G54" s="95">
        <f t="shared" si="22"/>
        <v>36516.850167839897</v>
      </c>
      <c r="H54" s="95">
        <f t="shared" si="22"/>
        <v>37057.564930616805</v>
      </c>
      <c r="I54" s="95">
        <f t="shared" si="22"/>
        <v>37598.279693393692</v>
      </c>
      <c r="J54" s="95">
        <f t="shared" si="22"/>
        <v>38001.27889996735</v>
      </c>
      <c r="K54" s="95">
        <f t="shared" si="22"/>
        <v>38404.278106541024</v>
      </c>
      <c r="L54" s="95">
        <f t="shared" si="22"/>
        <v>38807.277313114675</v>
      </c>
      <c r="M54" s="95">
        <f t="shared" si="22"/>
        <v>39210.276519688348</v>
      </c>
      <c r="N54" s="95">
        <f t="shared" si="22"/>
        <v>39613.275726262</v>
      </c>
      <c r="O54" s="95">
        <f t="shared" si="22"/>
        <v>39902.23678804985</v>
      </c>
      <c r="P54" s="95">
        <f t="shared" si="22"/>
        <v>40191.197849837685</v>
      </c>
      <c r="Q54" s="95">
        <f t="shared" si="22"/>
        <v>40480.15891162552</v>
      </c>
      <c r="R54" s="95">
        <f t="shared" si="22"/>
        <v>40769.119973413362</v>
      </c>
      <c r="S54" s="95">
        <f t="shared" si="22"/>
        <v>41058.08103520119</v>
      </c>
      <c r="T54" s="95">
        <f t="shared" si="22"/>
        <v>41226.238977512505</v>
      </c>
      <c r="U54" s="95">
        <f t="shared" si="22"/>
        <v>41394.396919823812</v>
      </c>
      <c r="V54" s="95">
        <f t="shared" si="22"/>
        <v>41563.038074613047</v>
      </c>
      <c r="W54" s="95">
        <f t="shared" si="22"/>
        <v>41731.196016924354</v>
      </c>
      <c r="X54" s="95">
        <f t="shared" si="22"/>
        <v>41899.353959235676</v>
      </c>
      <c r="Y54" s="95">
        <f t="shared" si="22"/>
        <v>41960.238731451827</v>
      </c>
      <c r="Z54" s="95">
        <f t="shared" si="22"/>
        <v>42021.123503667994</v>
      </c>
      <c r="AA54" s="95">
        <f t="shared" si="22"/>
        <v>42082.00827588416</v>
      </c>
      <c r="AB54" s="95">
        <f t="shared" si="22"/>
        <v>42142.893048100341</v>
      </c>
      <c r="AC54" s="95">
        <f t="shared" si="22"/>
        <v>42203.294607838594</v>
      </c>
      <c r="AD54" s="95">
        <f t="shared" si="22"/>
        <v>42161.738334738679</v>
      </c>
      <c r="AE54" s="95">
        <f t="shared" si="22"/>
        <v>42120.182061638763</v>
      </c>
      <c r="AF54" s="95">
        <f t="shared" si="22"/>
        <v>42078.625788538833</v>
      </c>
      <c r="AG54" s="95">
        <f t="shared" si="22"/>
        <v>42036.58630296099</v>
      </c>
      <c r="AH54" s="95">
        <f>AH51/1000</f>
        <v>41995.030029861067</v>
      </c>
      <c r="AI54" s="95">
        <f>AI51/1000</f>
        <v>41837.019549585792</v>
      </c>
      <c r="AJ54" s="95">
        <f>AJ51/1000</f>
        <v>41679.009069310487</v>
      </c>
      <c r="AK54" s="95">
        <f>AK51/1000</f>
        <v>41520.515376557312</v>
      </c>
      <c r="AL54" s="95">
        <f>AL51/1000</f>
        <v>41362.504896282022</v>
      </c>
    </row>
    <row r="55" spans="1:38" ht="13.15" customHeight="1" thickBot="1" x14ac:dyDescent="0.25"/>
    <row r="56" spans="1:38" ht="13.15" customHeight="1" thickBot="1" x14ac:dyDescent="0.25">
      <c r="F56" s="701" t="s">
        <v>1235</v>
      </c>
      <c r="G56" s="699" t="s">
        <v>1236</v>
      </c>
      <c r="H56" s="699"/>
      <c r="I56" s="700"/>
    </row>
    <row r="57" spans="1:38" ht="13.15" customHeight="1" thickBot="1" x14ac:dyDescent="0.25">
      <c r="F57" s="702"/>
      <c r="G57" s="631" t="s">
        <v>1237</v>
      </c>
      <c r="H57" s="632" t="s">
        <v>1238</v>
      </c>
      <c r="I57" s="633" t="s">
        <v>1239</v>
      </c>
    </row>
    <row r="58" spans="1:38" ht="13.15" customHeight="1" x14ac:dyDescent="0.2">
      <c r="F58" s="628" t="s">
        <v>1240</v>
      </c>
      <c r="G58" s="629">
        <f>E24</f>
        <v>62.57</v>
      </c>
      <c r="H58" s="629">
        <f>E25</f>
        <v>31.29</v>
      </c>
      <c r="I58" s="630">
        <f>E26</f>
        <v>27.96</v>
      </c>
    </row>
    <row r="59" spans="1:38" ht="13.15" customHeight="1" x14ac:dyDescent="0.2">
      <c r="F59" s="623" t="s">
        <v>1241</v>
      </c>
      <c r="G59" s="622">
        <f>E27</f>
        <v>65.92</v>
      </c>
      <c r="H59" s="622">
        <f>E28</f>
        <v>32.96</v>
      </c>
      <c r="I59" s="624">
        <f>E29</f>
        <v>29.47</v>
      </c>
    </row>
    <row r="60" spans="1:38" ht="13.15" customHeight="1" x14ac:dyDescent="0.2">
      <c r="F60" s="623" t="s">
        <v>1242</v>
      </c>
      <c r="G60" s="622">
        <f>E30</f>
        <v>60.9</v>
      </c>
      <c r="H60" s="622">
        <f>E31</f>
        <v>30.44</v>
      </c>
      <c r="I60" s="624">
        <f>E32</f>
        <v>27.22</v>
      </c>
    </row>
    <row r="61" spans="1:38" ht="13.15" customHeight="1" thickBot="1" x14ac:dyDescent="0.25">
      <c r="F61" s="625" t="s">
        <v>1243</v>
      </c>
      <c r="G61" s="626">
        <f>E33</f>
        <v>31.28</v>
      </c>
      <c r="H61" s="626">
        <f>E34</f>
        <v>15.65</v>
      </c>
      <c r="I61" s="627">
        <f>E35</f>
        <v>13.98</v>
      </c>
    </row>
  </sheetData>
  <mergeCells count="8">
    <mergeCell ref="G56:I56"/>
    <mergeCell ref="F56:F57"/>
    <mergeCell ref="B53:B54"/>
    <mergeCell ref="I28:J28"/>
    <mergeCell ref="I30:J30"/>
    <mergeCell ref="I32:J32"/>
    <mergeCell ref="I31:J31"/>
    <mergeCell ref="I29:J29"/>
  </mergeCells>
  <pageMargins left="0.511811024" right="0.511811024" top="0.78740157499999996" bottom="0.78740157499999996" header="0.31496062000000002" footer="0.31496062000000002"/>
  <pageSetup paperSize="9" scale="22" orientation="landscape" r:id="rId1"/>
  <ignoredErrors>
    <ignoredError sqref="C41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ilha18"/>
  <dimension ref="A1:AN28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8.28515625" style="20" customWidth="1"/>
    <col min="2" max="2" width="57.42578125" style="20" customWidth="1"/>
    <col min="3" max="4" width="10.42578125" style="20" customWidth="1"/>
    <col min="5" max="5" width="14" style="20" bestFit="1" customWidth="1"/>
    <col min="6" max="23" width="14.28515625" style="20" bestFit="1" customWidth="1"/>
    <col min="24" max="33" width="14" style="20" bestFit="1" customWidth="1"/>
    <col min="34" max="40" width="14.28515625" style="20" bestFit="1" customWidth="1"/>
    <col min="41" max="16384" width="9.28515625" style="20"/>
  </cols>
  <sheetData>
    <row r="1" spans="1:40" ht="13.15" customHeight="1" x14ac:dyDescent="0.2">
      <c r="A1" s="21" t="s">
        <v>0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</row>
    <row r="2" spans="1:40" ht="13.15" customHeight="1" x14ac:dyDescent="0.2">
      <c r="A2" s="21" t="s">
        <v>1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</row>
    <row r="3" spans="1:40" ht="13.15" customHeight="1" x14ac:dyDescent="0.2">
      <c r="A3" s="21" t="s">
        <v>1244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493"/>
      <c r="R3" s="493"/>
      <c r="S3" s="493"/>
      <c r="T3" s="493"/>
      <c r="U3" s="493"/>
      <c r="V3" s="493"/>
      <c r="W3" s="493"/>
      <c r="X3" s="493"/>
      <c r="Y3" s="493"/>
      <c r="Z3" s="493"/>
      <c r="AA3" s="493"/>
      <c r="AB3" s="493"/>
      <c r="AC3" s="493"/>
      <c r="AD3" s="493"/>
      <c r="AE3" s="493"/>
      <c r="AF3" s="493"/>
      <c r="AG3" s="493"/>
      <c r="AH3" s="493"/>
      <c r="AI3" s="493"/>
      <c r="AJ3" s="493"/>
      <c r="AK3" s="493"/>
      <c r="AL3" s="493"/>
      <c r="AM3" s="493"/>
      <c r="AN3" s="493"/>
    </row>
    <row r="5" spans="1:40" ht="13.15" customHeight="1" x14ac:dyDescent="0.2">
      <c r="A5" s="21" t="s">
        <v>1245</v>
      </c>
      <c r="B5" s="493"/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  <c r="Z5" s="493"/>
      <c r="AA5" s="493"/>
      <c r="AB5" s="493"/>
      <c r="AC5" s="493"/>
      <c r="AD5" s="493"/>
      <c r="AE5" s="493"/>
      <c r="AF5" s="493"/>
      <c r="AG5" s="493"/>
      <c r="AH5" s="493"/>
      <c r="AI5" s="493"/>
      <c r="AJ5" s="493"/>
      <c r="AK5" s="493"/>
      <c r="AL5" s="493"/>
      <c r="AM5" s="493"/>
      <c r="AN5" s="493"/>
    </row>
    <row r="6" spans="1:40" ht="13.15" customHeight="1" x14ac:dyDescent="0.2">
      <c r="A6" s="21" t="s">
        <v>1246</v>
      </c>
      <c r="B6" s="493"/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  <c r="Q6" s="493"/>
      <c r="R6" s="493"/>
      <c r="S6" s="493"/>
      <c r="T6" s="493"/>
      <c r="U6" s="493"/>
      <c r="V6" s="493"/>
      <c r="W6" s="493"/>
      <c r="X6" s="493"/>
      <c r="Y6" s="493"/>
      <c r="Z6" s="493"/>
      <c r="AA6" s="493"/>
      <c r="AB6" s="493"/>
      <c r="AC6" s="493"/>
      <c r="AD6" s="493"/>
      <c r="AE6" s="493"/>
      <c r="AF6" s="493"/>
      <c r="AG6" s="493"/>
      <c r="AH6" s="493"/>
      <c r="AI6" s="493"/>
      <c r="AJ6" s="493"/>
      <c r="AK6" s="493"/>
      <c r="AL6" s="493"/>
      <c r="AM6" s="493"/>
      <c r="AN6" s="493"/>
    </row>
    <row r="7" spans="1:40" ht="13.15" customHeight="1" x14ac:dyDescent="0.2">
      <c r="A7" s="21"/>
      <c r="B7" s="493"/>
      <c r="C7" s="493"/>
      <c r="D7" s="493"/>
      <c r="E7" s="493"/>
      <c r="F7" s="493"/>
      <c r="G7" s="493"/>
      <c r="H7" s="493"/>
      <c r="I7" s="493"/>
      <c r="J7" s="493"/>
      <c r="K7" s="493"/>
      <c r="L7" s="493"/>
      <c r="M7" s="493"/>
      <c r="N7" s="493"/>
      <c r="O7" s="493"/>
      <c r="P7" s="493"/>
      <c r="Q7" s="493"/>
      <c r="R7" s="493"/>
      <c r="S7" s="493"/>
      <c r="T7" s="493"/>
      <c r="U7" s="493"/>
      <c r="V7" s="493"/>
      <c r="W7" s="493"/>
      <c r="X7" s="493"/>
      <c r="Y7" s="493"/>
      <c r="Z7" s="493"/>
      <c r="AA7" s="493"/>
      <c r="AB7" s="493"/>
      <c r="AC7" s="493"/>
      <c r="AD7" s="493"/>
      <c r="AE7" s="493"/>
      <c r="AF7" s="493"/>
      <c r="AG7" s="493"/>
      <c r="AH7" s="493"/>
      <c r="AI7" s="493"/>
      <c r="AJ7" s="493"/>
      <c r="AK7" s="493"/>
      <c r="AL7" s="493"/>
      <c r="AM7" s="493"/>
      <c r="AN7" s="493"/>
    </row>
    <row r="8" spans="1:40" ht="13.15" customHeight="1" x14ac:dyDescent="0.2">
      <c r="A8" s="21" t="s">
        <v>1247</v>
      </c>
      <c r="B8" s="493"/>
      <c r="C8" s="493"/>
      <c r="D8" s="493"/>
      <c r="E8" s="493"/>
      <c r="F8" s="493"/>
      <c r="G8" s="493"/>
      <c r="H8" s="493"/>
      <c r="I8" s="493"/>
      <c r="J8" s="493"/>
      <c r="K8" s="493"/>
      <c r="L8" s="493"/>
      <c r="M8" s="493"/>
      <c r="N8" s="493"/>
      <c r="O8" s="493"/>
      <c r="P8" s="493"/>
      <c r="Q8" s="493"/>
      <c r="R8" s="493"/>
      <c r="S8" s="493"/>
      <c r="T8" s="493"/>
      <c r="U8" s="493"/>
      <c r="V8" s="493"/>
      <c r="W8" s="493"/>
      <c r="X8" s="493"/>
      <c r="Y8" s="493"/>
      <c r="Z8" s="493"/>
      <c r="AA8" s="493"/>
      <c r="AB8" s="493"/>
      <c r="AC8" s="493"/>
      <c r="AD8" s="493"/>
      <c r="AE8" s="493"/>
      <c r="AF8" s="493"/>
      <c r="AG8" s="493"/>
      <c r="AH8" s="493"/>
      <c r="AI8" s="493"/>
      <c r="AJ8" s="493"/>
      <c r="AK8" s="493"/>
      <c r="AL8" s="493"/>
      <c r="AM8" s="493"/>
      <c r="AN8" s="493"/>
    </row>
    <row r="9" spans="1:40" ht="13.15" customHeight="1" x14ac:dyDescent="0.2">
      <c r="A9" s="21"/>
      <c r="B9" s="493"/>
      <c r="C9" s="493"/>
      <c r="D9" s="493"/>
      <c r="E9" s="493"/>
      <c r="F9" s="493"/>
      <c r="G9" s="493"/>
      <c r="H9" s="493"/>
      <c r="I9" s="493"/>
      <c r="J9" s="493"/>
      <c r="K9" s="493"/>
      <c r="L9" s="493"/>
      <c r="M9" s="493"/>
      <c r="N9" s="493"/>
      <c r="O9" s="493"/>
      <c r="P9" s="493"/>
      <c r="Q9" s="493"/>
      <c r="R9" s="493"/>
      <c r="S9" s="493"/>
      <c r="T9" s="493"/>
      <c r="U9" s="493"/>
      <c r="V9" s="493"/>
      <c r="W9" s="493"/>
      <c r="X9" s="493"/>
      <c r="Y9" s="493"/>
      <c r="Z9" s="493"/>
      <c r="AA9" s="493"/>
      <c r="AB9" s="493"/>
      <c r="AC9" s="493"/>
      <c r="AD9" s="493"/>
      <c r="AE9" s="493"/>
      <c r="AF9" s="493"/>
      <c r="AG9" s="493"/>
      <c r="AH9" s="493"/>
      <c r="AI9" s="493"/>
      <c r="AJ9" s="493"/>
      <c r="AK9" s="493"/>
      <c r="AL9" s="493"/>
      <c r="AM9" s="493"/>
      <c r="AN9" s="493"/>
    </row>
    <row r="10" spans="1:40" ht="13.15" customHeight="1" x14ac:dyDescent="0.2">
      <c r="A10" s="493"/>
      <c r="B10" s="493"/>
      <c r="C10" s="493"/>
      <c r="D10" s="494"/>
      <c r="E10" s="493"/>
      <c r="F10" s="493"/>
      <c r="G10" s="493"/>
      <c r="H10" s="493"/>
      <c r="I10" s="493"/>
      <c r="J10" s="493"/>
      <c r="K10" s="493"/>
      <c r="L10" s="493"/>
      <c r="M10" s="493"/>
      <c r="N10" s="493"/>
      <c r="O10" s="493"/>
      <c r="P10" s="493"/>
      <c r="Q10" s="493"/>
      <c r="R10" s="493"/>
      <c r="S10" s="493"/>
      <c r="T10" s="493"/>
      <c r="U10" s="493"/>
      <c r="V10" s="493"/>
      <c r="W10" s="493"/>
      <c r="X10" s="493"/>
      <c r="Y10" s="493"/>
      <c r="Z10" s="493"/>
      <c r="AA10" s="493"/>
      <c r="AB10" s="493"/>
      <c r="AC10" s="493"/>
      <c r="AD10" s="493"/>
      <c r="AE10" s="493"/>
      <c r="AF10" s="493"/>
      <c r="AG10" s="493"/>
      <c r="AH10" s="493"/>
      <c r="AI10" s="493"/>
      <c r="AJ10" s="493"/>
      <c r="AK10" s="493"/>
      <c r="AL10" s="493"/>
      <c r="AM10" s="493"/>
      <c r="AN10" s="493"/>
    </row>
    <row r="12" spans="1:40" ht="13.15" customHeight="1" x14ac:dyDescent="0.2">
      <c r="A12" s="695" t="s">
        <v>1131</v>
      </c>
      <c r="B12" s="695" t="s">
        <v>1200</v>
      </c>
      <c r="C12" s="697" t="s">
        <v>1201</v>
      </c>
      <c r="D12" s="698"/>
      <c r="E12" s="70" t="s">
        <v>701</v>
      </c>
      <c r="F12" s="70" t="s">
        <v>775</v>
      </c>
      <c r="G12" s="70" t="s">
        <v>776</v>
      </c>
      <c r="H12" s="70" t="s">
        <v>777</v>
      </c>
      <c r="I12" s="70" t="s">
        <v>778</v>
      </c>
      <c r="J12" s="70" t="s">
        <v>779</v>
      </c>
      <c r="K12" s="70" t="s">
        <v>780</v>
      </c>
      <c r="L12" s="70" t="s">
        <v>781</v>
      </c>
      <c r="M12" s="70" t="s">
        <v>782</v>
      </c>
      <c r="N12" s="70" t="s">
        <v>783</v>
      </c>
      <c r="O12" s="70" t="s">
        <v>717</v>
      </c>
      <c r="P12" s="70" t="s">
        <v>718</v>
      </c>
      <c r="Q12" s="70" t="s">
        <v>719</v>
      </c>
      <c r="R12" s="70" t="s">
        <v>720</v>
      </c>
      <c r="S12" s="70" t="s">
        <v>721</v>
      </c>
      <c r="T12" s="70" t="s">
        <v>722</v>
      </c>
      <c r="U12" s="70" t="s">
        <v>723</v>
      </c>
      <c r="V12" s="70" t="s">
        <v>724</v>
      </c>
      <c r="W12" s="70" t="s">
        <v>725</v>
      </c>
      <c r="X12" s="70" t="s">
        <v>726</v>
      </c>
      <c r="Y12" s="70" t="s">
        <v>727</v>
      </c>
      <c r="Z12" s="70" t="s">
        <v>728</v>
      </c>
      <c r="AA12" s="70" t="s">
        <v>729</v>
      </c>
      <c r="AB12" s="70" t="s">
        <v>730</v>
      </c>
      <c r="AC12" s="70" t="s">
        <v>731</v>
      </c>
      <c r="AD12" s="70" t="s">
        <v>732</v>
      </c>
      <c r="AE12" s="70" t="s">
        <v>733</v>
      </c>
      <c r="AF12" s="70" t="s">
        <v>734</v>
      </c>
      <c r="AG12" s="70" t="s">
        <v>735</v>
      </c>
      <c r="AH12" s="70" t="s">
        <v>736</v>
      </c>
      <c r="AI12" s="70" t="s">
        <v>737</v>
      </c>
      <c r="AJ12" s="70" t="s">
        <v>738</v>
      </c>
      <c r="AK12" s="70" t="s">
        <v>739</v>
      </c>
      <c r="AL12" s="70" t="s">
        <v>740</v>
      </c>
      <c r="AM12" s="70" t="s">
        <v>741</v>
      </c>
      <c r="AN12" s="70" t="s">
        <v>742</v>
      </c>
    </row>
    <row r="13" spans="1:40" ht="13.15" customHeight="1" x14ac:dyDescent="0.2">
      <c r="A13" s="696"/>
      <c r="B13" s="696"/>
      <c r="C13" s="100" t="s">
        <v>75</v>
      </c>
      <c r="D13" s="100" t="s">
        <v>28</v>
      </c>
      <c r="E13" s="100" t="s">
        <v>1202</v>
      </c>
      <c r="F13" s="91">
        <f>F14</f>
        <v>15600</v>
      </c>
      <c r="G13" s="91">
        <f t="shared" ref="G13:AN13" si="0">G14</f>
        <v>15600</v>
      </c>
      <c r="H13" s="91">
        <f t="shared" si="0"/>
        <v>15600</v>
      </c>
      <c r="I13" s="91">
        <f t="shared" si="0"/>
        <v>15600</v>
      </c>
      <c r="J13" s="91">
        <f t="shared" si="0"/>
        <v>15600</v>
      </c>
      <c r="K13" s="91">
        <f t="shared" si="0"/>
        <v>15600</v>
      </c>
      <c r="L13" s="91">
        <f t="shared" si="0"/>
        <v>15600</v>
      </c>
      <c r="M13" s="91">
        <f t="shared" si="0"/>
        <v>15600</v>
      </c>
      <c r="N13" s="91">
        <f t="shared" si="0"/>
        <v>15600</v>
      </c>
      <c r="O13" s="91">
        <f t="shared" si="0"/>
        <v>15600</v>
      </c>
      <c r="P13" s="91">
        <f t="shared" si="0"/>
        <v>15600</v>
      </c>
      <c r="Q13" s="91">
        <f t="shared" si="0"/>
        <v>15600</v>
      </c>
      <c r="R13" s="91">
        <f t="shared" si="0"/>
        <v>15600</v>
      </c>
      <c r="S13" s="91">
        <f t="shared" si="0"/>
        <v>15600</v>
      </c>
      <c r="T13" s="91">
        <f t="shared" si="0"/>
        <v>15600</v>
      </c>
      <c r="U13" s="91">
        <f t="shared" si="0"/>
        <v>15600</v>
      </c>
      <c r="V13" s="91">
        <f t="shared" si="0"/>
        <v>15600</v>
      </c>
      <c r="W13" s="91">
        <f t="shared" si="0"/>
        <v>15600</v>
      </c>
      <c r="X13" s="91">
        <f t="shared" si="0"/>
        <v>15600</v>
      </c>
      <c r="Y13" s="91">
        <f t="shared" si="0"/>
        <v>15600</v>
      </c>
      <c r="Z13" s="91">
        <f t="shared" si="0"/>
        <v>15600</v>
      </c>
      <c r="AA13" s="91">
        <f t="shared" si="0"/>
        <v>15600</v>
      </c>
      <c r="AB13" s="91">
        <f t="shared" si="0"/>
        <v>15600</v>
      </c>
      <c r="AC13" s="91">
        <f t="shared" si="0"/>
        <v>15600</v>
      </c>
      <c r="AD13" s="91">
        <f t="shared" si="0"/>
        <v>15600</v>
      </c>
      <c r="AE13" s="91">
        <f t="shared" si="0"/>
        <v>15600</v>
      </c>
      <c r="AF13" s="91">
        <f t="shared" si="0"/>
        <v>15600</v>
      </c>
      <c r="AG13" s="91">
        <f t="shared" si="0"/>
        <v>15600</v>
      </c>
      <c r="AH13" s="91">
        <f t="shared" si="0"/>
        <v>15600</v>
      </c>
      <c r="AI13" s="91">
        <f t="shared" si="0"/>
        <v>15600</v>
      </c>
      <c r="AJ13" s="91">
        <f t="shared" si="0"/>
        <v>15600</v>
      </c>
      <c r="AK13" s="91">
        <f t="shared" si="0"/>
        <v>15600</v>
      </c>
      <c r="AL13" s="91">
        <f t="shared" si="0"/>
        <v>15600</v>
      </c>
      <c r="AM13" s="91">
        <f t="shared" si="0"/>
        <v>15600</v>
      </c>
      <c r="AN13" s="91">
        <f t="shared" si="0"/>
        <v>15600</v>
      </c>
    </row>
    <row r="14" spans="1:40" ht="13.15" customHeight="1" x14ac:dyDescent="0.2">
      <c r="A14" s="514">
        <v>1</v>
      </c>
      <c r="B14" s="514" t="s">
        <v>1248</v>
      </c>
      <c r="C14" s="514"/>
      <c r="D14" s="514"/>
      <c r="E14" s="514"/>
      <c r="F14" s="544">
        <f>1300*12</f>
        <v>15600</v>
      </c>
      <c r="G14" s="545">
        <f>F14</f>
        <v>15600</v>
      </c>
      <c r="H14" s="545">
        <f t="shared" ref="H14:AN14" si="1">G14</f>
        <v>15600</v>
      </c>
      <c r="I14" s="545">
        <f t="shared" si="1"/>
        <v>15600</v>
      </c>
      <c r="J14" s="545">
        <f t="shared" si="1"/>
        <v>15600</v>
      </c>
      <c r="K14" s="545">
        <f t="shared" si="1"/>
        <v>15600</v>
      </c>
      <c r="L14" s="545">
        <f t="shared" si="1"/>
        <v>15600</v>
      </c>
      <c r="M14" s="545">
        <f t="shared" si="1"/>
        <v>15600</v>
      </c>
      <c r="N14" s="545">
        <f t="shared" si="1"/>
        <v>15600</v>
      </c>
      <c r="O14" s="545">
        <f t="shared" si="1"/>
        <v>15600</v>
      </c>
      <c r="P14" s="545">
        <f t="shared" si="1"/>
        <v>15600</v>
      </c>
      <c r="Q14" s="545">
        <f t="shared" si="1"/>
        <v>15600</v>
      </c>
      <c r="R14" s="545">
        <f t="shared" si="1"/>
        <v>15600</v>
      </c>
      <c r="S14" s="545">
        <f t="shared" si="1"/>
        <v>15600</v>
      </c>
      <c r="T14" s="545">
        <f t="shared" si="1"/>
        <v>15600</v>
      </c>
      <c r="U14" s="545">
        <f t="shared" si="1"/>
        <v>15600</v>
      </c>
      <c r="V14" s="545">
        <f t="shared" si="1"/>
        <v>15600</v>
      </c>
      <c r="W14" s="545">
        <f t="shared" si="1"/>
        <v>15600</v>
      </c>
      <c r="X14" s="545">
        <f t="shared" si="1"/>
        <v>15600</v>
      </c>
      <c r="Y14" s="545">
        <f t="shared" si="1"/>
        <v>15600</v>
      </c>
      <c r="Z14" s="545">
        <f t="shared" si="1"/>
        <v>15600</v>
      </c>
      <c r="AA14" s="545">
        <f t="shared" si="1"/>
        <v>15600</v>
      </c>
      <c r="AB14" s="545">
        <f t="shared" si="1"/>
        <v>15600</v>
      </c>
      <c r="AC14" s="545">
        <f t="shared" si="1"/>
        <v>15600</v>
      </c>
      <c r="AD14" s="545">
        <f t="shared" si="1"/>
        <v>15600</v>
      </c>
      <c r="AE14" s="545">
        <f t="shared" si="1"/>
        <v>15600</v>
      </c>
      <c r="AF14" s="545">
        <f t="shared" si="1"/>
        <v>15600</v>
      </c>
      <c r="AG14" s="545">
        <f t="shared" si="1"/>
        <v>15600</v>
      </c>
      <c r="AH14" s="545">
        <f t="shared" si="1"/>
        <v>15600</v>
      </c>
      <c r="AI14" s="545">
        <f t="shared" si="1"/>
        <v>15600</v>
      </c>
      <c r="AJ14" s="545">
        <f t="shared" si="1"/>
        <v>15600</v>
      </c>
      <c r="AK14" s="545">
        <f t="shared" si="1"/>
        <v>15600</v>
      </c>
      <c r="AL14" s="545">
        <f t="shared" si="1"/>
        <v>15600</v>
      </c>
      <c r="AM14" s="545">
        <f t="shared" si="1"/>
        <v>15600</v>
      </c>
      <c r="AN14" s="545">
        <f t="shared" si="1"/>
        <v>15600</v>
      </c>
    </row>
    <row r="15" spans="1:40" ht="13.15" customHeight="1" x14ac:dyDescent="0.2">
      <c r="A15" s="493"/>
      <c r="B15" s="493"/>
      <c r="C15" s="493"/>
      <c r="D15" s="493"/>
      <c r="E15" s="493"/>
      <c r="F15" s="66"/>
      <c r="G15" s="494"/>
      <c r="H15" s="493"/>
      <c r="I15" s="493"/>
      <c r="J15" s="493"/>
      <c r="K15" s="493"/>
      <c r="L15" s="493"/>
      <c r="M15" s="493"/>
      <c r="N15" s="493"/>
      <c r="O15" s="493"/>
      <c r="P15" s="493"/>
      <c r="Q15" s="493"/>
      <c r="R15" s="493"/>
      <c r="S15" s="493"/>
      <c r="T15" s="493"/>
      <c r="U15" s="493"/>
      <c r="V15" s="493"/>
      <c r="W15" s="493"/>
      <c r="X15" s="493"/>
      <c r="Y15" s="493"/>
      <c r="Z15" s="493"/>
      <c r="AA15" s="493"/>
      <c r="AB15" s="493"/>
      <c r="AC15" s="493"/>
      <c r="AD15" s="493"/>
      <c r="AE15" s="493"/>
      <c r="AF15" s="493"/>
      <c r="AG15" s="493"/>
      <c r="AH15" s="493"/>
      <c r="AI15" s="493"/>
      <c r="AJ15" s="493"/>
      <c r="AK15" s="493"/>
      <c r="AL15" s="493"/>
      <c r="AM15" s="493"/>
      <c r="AN15" s="493"/>
    </row>
    <row r="16" spans="1:40" ht="13.15" customHeight="1" x14ac:dyDescent="0.2">
      <c r="A16" s="493"/>
      <c r="B16" s="493"/>
      <c r="C16" s="493"/>
      <c r="D16" s="493"/>
      <c r="E16" s="493"/>
      <c r="F16" s="546">
        <f>'31 - Fluxo de Caixa'!B42</f>
        <v>9.2790132245242463E-2</v>
      </c>
      <c r="G16" s="494"/>
      <c r="H16" s="493"/>
      <c r="I16" s="493"/>
      <c r="J16" s="493"/>
      <c r="K16" s="493"/>
      <c r="L16" s="493"/>
      <c r="M16" s="493"/>
      <c r="N16" s="493"/>
      <c r="O16" s="493"/>
      <c r="P16" s="493"/>
      <c r="Q16" s="493"/>
      <c r="R16" s="493"/>
      <c r="S16" s="493"/>
      <c r="T16" s="493"/>
      <c r="U16" s="493"/>
      <c r="V16" s="493"/>
      <c r="W16" s="493"/>
      <c r="X16" s="493"/>
      <c r="Y16" s="493"/>
      <c r="Z16" s="493"/>
      <c r="AA16" s="493"/>
      <c r="AB16" s="493"/>
      <c r="AC16" s="493"/>
      <c r="AD16" s="493"/>
      <c r="AE16" s="493"/>
      <c r="AF16" s="493"/>
      <c r="AG16" s="493"/>
      <c r="AH16" s="493"/>
      <c r="AI16" s="493"/>
      <c r="AJ16" s="493"/>
      <c r="AK16" s="493"/>
      <c r="AL16" s="493"/>
      <c r="AM16" s="493"/>
      <c r="AN16" s="493"/>
    </row>
    <row r="26" spans="6:6" ht="13.15" customHeight="1" x14ac:dyDescent="0.2">
      <c r="F26" s="493"/>
    </row>
    <row r="27" spans="6:6" ht="13.15" customHeight="1" x14ac:dyDescent="0.2">
      <c r="F27" s="493"/>
    </row>
    <row r="28" spans="6:6" ht="13.15" customHeight="1" x14ac:dyDescent="0.2">
      <c r="F28" s="493"/>
    </row>
  </sheetData>
  <mergeCells count="3">
    <mergeCell ref="A12:A13"/>
    <mergeCell ref="B12:B13"/>
    <mergeCell ref="C12:D12"/>
  </mergeCells>
  <phoneticPr fontId="8" type="noConversion"/>
  <pageMargins left="0.511811024" right="0.511811024" top="0.78740157499999996" bottom="0.78740157499999996" header="0.31496062000000002" footer="0.31496062000000002"/>
  <pageSetup paperSize="9" scale="2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ilha19"/>
  <dimension ref="A1:AK14"/>
  <sheetViews>
    <sheetView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45.7109375" style="68" customWidth="1"/>
    <col min="2" max="2" width="11.28515625" style="68" bestFit="1" customWidth="1"/>
    <col min="3" max="22" width="12.7109375" style="68" bestFit="1" customWidth="1"/>
    <col min="23" max="32" width="14.28515625" style="68" bestFit="1" customWidth="1"/>
    <col min="33" max="37" width="10.42578125" style="68" bestFit="1" customWidth="1"/>
    <col min="38" max="16384" width="9.28515625" style="68"/>
  </cols>
  <sheetData>
    <row r="1" spans="1:37" ht="13.15" customHeight="1" x14ac:dyDescent="0.2">
      <c r="A1" s="21" t="s">
        <v>0</v>
      </c>
    </row>
    <row r="2" spans="1:37" ht="13.15" customHeight="1" x14ac:dyDescent="0.2">
      <c r="A2" s="21" t="s">
        <v>1</v>
      </c>
    </row>
    <row r="3" spans="1:37" ht="13.15" customHeight="1" x14ac:dyDescent="0.2">
      <c r="A3" s="21" t="s">
        <v>1249</v>
      </c>
    </row>
    <row r="5" spans="1:37" ht="13.15" customHeight="1" x14ac:dyDescent="0.2">
      <c r="A5" s="21" t="s">
        <v>1250</v>
      </c>
    </row>
    <row r="7" spans="1:37" ht="13.15" customHeight="1" x14ac:dyDescent="0.2">
      <c r="A7" s="21"/>
    </row>
    <row r="8" spans="1:37" s="80" customFormat="1" ht="13.15" customHeight="1" x14ac:dyDescent="0.2">
      <c r="A8" s="81" t="s">
        <v>1251</v>
      </c>
      <c r="B8" s="81" t="s">
        <v>5</v>
      </c>
      <c r="C8" s="81" t="s">
        <v>775</v>
      </c>
      <c r="D8" s="81" t="s">
        <v>776</v>
      </c>
      <c r="E8" s="81" t="s">
        <v>777</v>
      </c>
      <c r="F8" s="81" t="s">
        <v>778</v>
      </c>
      <c r="G8" s="81" t="s">
        <v>779</v>
      </c>
      <c r="H8" s="81" t="s">
        <v>780</v>
      </c>
      <c r="I8" s="81" t="s">
        <v>781</v>
      </c>
      <c r="J8" s="81" t="s">
        <v>782</v>
      </c>
      <c r="K8" s="81" t="s">
        <v>783</v>
      </c>
      <c r="L8" s="81" t="s">
        <v>717</v>
      </c>
      <c r="M8" s="81" t="s">
        <v>718</v>
      </c>
      <c r="N8" s="81" t="s">
        <v>719</v>
      </c>
      <c r="O8" s="81" t="s">
        <v>720</v>
      </c>
      <c r="P8" s="81" t="s">
        <v>721</v>
      </c>
      <c r="Q8" s="81" t="s">
        <v>722</v>
      </c>
      <c r="R8" s="81" t="s">
        <v>723</v>
      </c>
      <c r="S8" s="81" t="s">
        <v>724</v>
      </c>
      <c r="T8" s="81" t="s">
        <v>725</v>
      </c>
      <c r="U8" s="81" t="s">
        <v>726</v>
      </c>
      <c r="V8" s="81" t="s">
        <v>727</v>
      </c>
      <c r="W8" s="81" t="s">
        <v>728</v>
      </c>
      <c r="X8" s="81" t="s">
        <v>729</v>
      </c>
      <c r="Y8" s="81" t="s">
        <v>730</v>
      </c>
      <c r="Z8" s="81" t="s">
        <v>731</v>
      </c>
      <c r="AA8" s="81" t="s">
        <v>732</v>
      </c>
      <c r="AB8" s="81" t="s">
        <v>733</v>
      </c>
      <c r="AC8" s="81" t="s">
        <v>734</v>
      </c>
      <c r="AD8" s="81" t="s">
        <v>735</v>
      </c>
      <c r="AE8" s="81" t="s">
        <v>736</v>
      </c>
      <c r="AF8" s="81" t="s">
        <v>737</v>
      </c>
      <c r="AG8" s="81" t="s">
        <v>738</v>
      </c>
      <c r="AH8" s="81" t="s">
        <v>739</v>
      </c>
      <c r="AI8" s="81" t="s">
        <v>740</v>
      </c>
      <c r="AJ8" s="81" t="s">
        <v>741</v>
      </c>
      <c r="AK8" s="81" t="s">
        <v>742</v>
      </c>
    </row>
    <row r="9" spans="1:37" s="20" customFormat="1" ht="13.15" customHeight="1" x14ac:dyDescent="0.2">
      <c r="A9" s="514" t="s">
        <v>1252</v>
      </c>
      <c r="B9" s="547" t="s">
        <v>1202</v>
      </c>
      <c r="C9" s="516">
        <f>'18 - Tarifa - RSU'!D54</f>
        <v>34895.1890919871</v>
      </c>
      <c r="D9" s="516">
        <f>'18 - Tarifa - RSU'!E54</f>
        <v>35435.903854764008</v>
      </c>
      <c r="E9" s="516">
        <f>'18 - Tarifa - RSU'!F54</f>
        <v>35976.618617540909</v>
      </c>
      <c r="F9" s="516">
        <f>'18 - Tarifa - RSU'!G54</f>
        <v>36516.850167839897</v>
      </c>
      <c r="G9" s="516">
        <f>'18 - Tarifa - RSU'!H54</f>
        <v>37057.564930616805</v>
      </c>
      <c r="H9" s="516">
        <f>'18 - Tarifa - RSU'!I54</f>
        <v>37598.279693393692</v>
      </c>
      <c r="I9" s="516">
        <f>'18 - Tarifa - RSU'!J54</f>
        <v>38001.27889996735</v>
      </c>
      <c r="J9" s="516">
        <f>'18 - Tarifa - RSU'!K54</f>
        <v>38404.278106541024</v>
      </c>
      <c r="K9" s="516">
        <f>'18 - Tarifa - RSU'!L54</f>
        <v>38807.277313114675</v>
      </c>
      <c r="L9" s="516">
        <f>'18 - Tarifa - RSU'!M54</f>
        <v>39210.276519688348</v>
      </c>
      <c r="M9" s="516">
        <f>'18 - Tarifa - RSU'!N54</f>
        <v>39613.275726262</v>
      </c>
      <c r="N9" s="516">
        <f>'18 - Tarifa - RSU'!O54</f>
        <v>39902.23678804985</v>
      </c>
      <c r="O9" s="516">
        <f>'18 - Tarifa - RSU'!P54</f>
        <v>40191.197849837685</v>
      </c>
      <c r="P9" s="516">
        <f>'18 - Tarifa - RSU'!Q54</f>
        <v>40480.15891162552</v>
      </c>
      <c r="Q9" s="516">
        <f>'18 - Tarifa - RSU'!R54</f>
        <v>40769.119973413362</v>
      </c>
      <c r="R9" s="516">
        <f>'18 - Tarifa - RSU'!S54</f>
        <v>41058.08103520119</v>
      </c>
      <c r="S9" s="516">
        <f>'18 - Tarifa - RSU'!T54</f>
        <v>41226.238977512505</v>
      </c>
      <c r="T9" s="516">
        <f>'18 - Tarifa - RSU'!U54</f>
        <v>41394.396919823812</v>
      </c>
      <c r="U9" s="516">
        <f>'18 - Tarifa - RSU'!V54</f>
        <v>41563.038074613047</v>
      </c>
      <c r="V9" s="516">
        <f>'18 - Tarifa - RSU'!W54</f>
        <v>41731.196016924354</v>
      </c>
      <c r="W9" s="516">
        <f>'18 - Tarifa - RSU'!X54</f>
        <v>41899.353959235676</v>
      </c>
      <c r="X9" s="516">
        <f>'18 - Tarifa - RSU'!Y54</f>
        <v>41960.238731451827</v>
      </c>
      <c r="Y9" s="516">
        <f>'18 - Tarifa - RSU'!Z54</f>
        <v>42021.123503667994</v>
      </c>
      <c r="Z9" s="516">
        <f>'18 - Tarifa - RSU'!AA54</f>
        <v>42082.00827588416</v>
      </c>
      <c r="AA9" s="516">
        <f>'18 - Tarifa - RSU'!AB54</f>
        <v>42142.893048100341</v>
      </c>
      <c r="AB9" s="516">
        <f>'18 - Tarifa - RSU'!AC54</f>
        <v>42203.294607838594</v>
      </c>
      <c r="AC9" s="516">
        <f>'18 - Tarifa - RSU'!AD54</f>
        <v>42161.738334738679</v>
      </c>
      <c r="AD9" s="516">
        <f>'18 - Tarifa - RSU'!AE54</f>
        <v>42120.182061638763</v>
      </c>
      <c r="AE9" s="516">
        <f>'18 - Tarifa - RSU'!AF54</f>
        <v>42078.625788538833</v>
      </c>
      <c r="AF9" s="516">
        <f>'18 - Tarifa - RSU'!AG54</f>
        <v>42036.58630296099</v>
      </c>
      <c r="AG9" s="516">
        <f>'18 - Tarifa - RSU'!AH54</f>
        <v>41995.030029861067</v>
      </c>
      <c r="AH9" s="516">
        <f>'18 - Tarifa - RSU'!AI54</f>
        <v>41837.019549585792</v>
      </c>
      <c r="AI9" s="516">
        <f>'18 - Tarifa - RSU'!AJ54</f>
        <v>41679.009069310487</v>
      </c>
      <c r="AJ9" s="516">
        <f>'18 - Tarifa - RSU'!AK54</f>
        <v>41520.515376557312</v>
      </c>
      <c r="AK9" s="516">
        <f>'18 - Tarifa - RSU'!AL54</f>
        <v>41362.504896282022</v>
      </c>
    </row>
    <row r="10" spans="1:37" ht="13.15" customHeight="1" x14ac:dyDescent="0.2">
      <c r="A10" s="548" t="s">
        <v>1253</v>
      </c>
      <c r="B10" s="547" t="s">
        <v>28</v>
      </c>
      <c r="C10" s="347">
        <v>0.03</v>
      </c>
      <c r="D10" s="347">
        <f t="shared" ref="D10:AK10" si="0">C10</f>
        <v>0.03</v>
      </c>
      <c r="E10" s="347">
        <f t="shared" si="0"/>
        <v>0.03</v>
      </c>
      <c r="F10" s="347">
        <f t="shared" si="0"/>
        <v>0.03</v>
      </c>
      <c r="G10" s="347">
        <f t="shared" si="0"/>
        <v>0.03</v>
      </c>
      <c r="H10" s="347">
        <f t="shared" si="0"/>
        <v>0.03</v>
      </c>
      <c r="I10" s="347">
        <f t="shared" si="0"/>
        <v>0.03</v>
      </c>
      <c r="J10" s="347">
        <f t="shared" si="0"/>
        <v>0.03</v>
      </c>
      <c r="K10" s="347">
        <f t="shared" si="0"/>
        <v>0.03</v>
      </c>
      <c r="L10" s="347">
        <f t="shared" si="0"/>
        <v>0.03</v>
      </c>
      <c r="M10" s="347">
        <f t="shared" si="0"/>
        <v>0.03</v>
      </c>
      <c r="N10" s="347">
        <f t="shared" si="0"/>
        <v>0.03</v>
      </c>
      <c r="O10" s="347">
        <f t="shared" si="0"/>
        <v>0.03</v>
      </c>
      <c r="P10" s="347">
        <f t="shared" si="0"/>
        <v>0.03</v>
      </c>
      <c r="Q10" s="347">
        <f t="shared" si="0"/>
        <v>0.03</v>
      </c>
      <c r="R10" s="347">
        <f t="shared" si="0"/>
        <v>0.03</v>
      </c>
      <c r="S10" s="347">
        <f t="shared" si="0"/>
        <v>0.03</v>
      </c>
      <c r="T10" s="347">
        <f t="shared" si="0"/>
        <v>0.03</v>
      </c>
      <c r="U10" s="347">
        <f t="shared" si="0"/>
        <v>0.03</v>
      </c>
      <c r="V10" s="347">
        <f t="shared" si="0"/>
        <v>0.03</v>
      </c>
      <c r="W10" s="347">
        <f t="shared" si="0"/>
        <v>0.03</v>
      </c>
      <c r="X10" s="347">
        <f t="shared" si="0"/>
        <v>0.03</v>
      </c>
      <c r="Y10" s="347">
        <f t="shared" si="0"/>
        <v>0.03</v>
      </c>
      <c r="Z10" s="347">
        <f t="shared" si="0"/>
        <v>0.03</v>
      </c>
      <c r="AA10" s="347">
        <f t="shared" si="0"/>
        <v>0.03</v>
      </c>
      <c r="AB10" s="347">
        <f t="shared" si="0"/>
        <v>0.03</v>
      </c>
      <c r="AC10" s="347">
        <f t="shared" si="0"/>
        <v>0.03</v>
      </c>
      <c r="AD10" s="347">
        <f t="shared" si="0"/>
        <v>0.03</v>
      </c>
      <c r="AE10" s="347">
        <f t="shared" si="0"/>
        <v>0.03</v>
      </c>
      <c r="AF10" s="347">
        <f t="shared" si="0"/>
        <v>0.03</v>
      </c>
      <c r="AG10" s="347">
        <f t="shared" si="0"/>
        <v>0.03</v>
      </c>
      <c r="AH10" s="347">
        <f t="shared" si="0"/>
        <v>0.03</v>
      </c>
      <c r="AI10" s="347">
        <f t="shared" si="0"/>
        <v>0.03</v>
      </c>
      <c r="AJ10" s="347">
        <f t="shared" si="0"/>
        <v>0.03</v>
      </c>
      <c r="AK10" s="347">
        <f t="shared" si="0"/>
        <v>0.03</v>
      </c>
    </row>
    <row r="11" spans="1:37" ht="13.15" customHeight="1" x14ac:dyDescent="0.2">
      <c r="A11" s="548" t="s">
        <v>1254</v>
      </c>
      <c r="B11" s="547" t="s">
        <v>1202</v>
      </c>
      <c r="C11" s="97">
        <f t="shared" ref="C11:AK11" si="1">C10*SUM(C9:C9)</f>
        <v>1046.8556727596131</v>
      </c>
      <c r="D11" s="97">
        <f t="shared" si="1"/>
        <v>1063.0771156429203</v>
      </c>
      <c r="E11" s="97">
        <f t="shared" si="1"/>
        <v>1079.2985585262272</v>
      </c>
      <c r="F11" s="97">
        <f t="shared" si="1"/>
        <v>1095.5055050351968</v>
      </c>
      <c r="G11" s="97">
        <f t="shared" si="1"/>
        <v>1111.726947918504</v>
      </c>
      <c r="H11" s="97">
        <f t="shared" si="1"/>
        <v>1127.9483908018108</v>
      </c>
      <c r="I11" s="97">
        <f t="shared" si="1"/>
        <v>1140.0383669990204</v>
      </c>
      <c r="J11" s="97">
        <f t="shared" si="1"/>
        <v>1152.1283431962306</v>
      </c>
      <c r="K11" s="97">
        <f t="shared" si="1"/>
        <v>1164.2183193934402</v>
      </c>
      <c r="L11" s="97">
        <f t="shared" si="1"/>
        <v>1176.3082955906505</v>
      </c>
      <c r="M11" s="97">
        <f t="shared" si="1"/>
        <v>1188.39827178786</v>
      </c>
      <c r="N11" s="97">
        <f t="shared" si="1"/>
        <v>1197.0671036414954</v>
      </c>
      <c r="O11" s="97">
        <f t="shared" si="1"/>
        <v>1205.7359354951304</v>
      </c>
      <c r="P11" s="97">
        <f t="shared" si="1"/>
        <v>1214.4047673487655</v>
      </c>
      <c r="Q11" s="97">
        <f t="shared" si="1"/>
        <v>1223.0735992024008</v>
      </c>
      <c r="R11" s="97">
        <f t="shared" si="1"/>
        <v>1231.7424310560357</v>
      </c>
      <c r="S11" s="97">
        <f t="shared" si="1"/>
        <v>1236.7871693253751</v>
      </c>
      <c r="T11" s="97">
        <f t="shared" si="1"/>
        <v>1241.8319075947143</v>
      </c>
      <c r="U11" s="97">
        <f t="shared" si="1"/>
        <v>1246.8911422383915</v>
      </c>
      <c r="V11" s="97">
        <f t="shared" si="1"/>
        <v>1251.9358805077306</v>
      </c>
      <c r="W11" s="97">
        <f t="shared" si="1"/>
        <v>1256.9806187770703</v>
      </c>
      <c r="X11" s="97">
        <f t="shared" si="1"/>
        <v>1258.8071619435548</v>
      </c>
      <c r="Y11" s="97">
        <f t="shared" si="1"/>
        <v>1260.6337051100397</v>
      </c>
      <c r="Z11" s="97">
        <f t="shared" si="1"/>
        <v>1262.4602482765247</v>
      </c>
      <c r="AA11" s="97">
        <f t="shared" si="1"/>
        <v>1264.2867914430101</v>
      </c>
      <c r="AB11" s="97">
        <f t="shared" si="1"/>
        <v>1266.0988382351577</v>
      </c>
      <c r="AC11" s="97">
        <f t="shared" si="1"/>
        <v>1264.8521500421602</v>
      </c>
      <c r="AD11" s="97">
        <f t="shared" si="1"/>
        <v>1263.6054618491628</v>
      </c>
      <c r="AE11" s="97">
        <f t="shared" si="1"/>
        <v>1262.3587736561649</v>
      </c>
      <c r="AF11" s="97">
        <f t="shared" si="1"/>
        <v>1261.0975890888296</v>
      </c>
      <c r="AG11" s="97">
        <f t="shared" si="1"/>
        <v>1259.850900895832</v>
      </c>
      <c r="AH11" s="97">
        <f t="shared" si="1"/>
        <v>1255.1105864875738</v>
      </c>
      <c r="AI11" s="97">
        <f t="shared" si="1"/>
        <v>1250.3702720793146</v>
      </c>
      <c r="AJ11" s="97">
        <f t="shared" si="1"/>
        <v>1245.6154612967193</v>
      </c>
      <c r="AK11" s="97">
        <f t="shared" si="1"/>
        <v>1240.8751468884607</v>
      </c>
    </row>
    <row r="12" spans="1:37" s="20" customFormat="1" ht="13.15" customHeight="1" x14ac:dyDescent="0.2">
      <c r="A12" s="514" t="s">
        <v>1255</v>
      </c>
      <c r="B12" s="549" t="s">
        <v>28</v>
      </c>
      <c r="C12" s="550">
        <v>0</v>
      </c>
      <c r="D12" s="550">
        <v>0</v>
      </c>
      <c r="E12" s="550">
        <v>0</v>
      </c>
      <c r="F12" s="550">
        <v>0</v>
      </c>
      <c r="G12" s="550">
        <v>0</v>
      </c>
      <c r="H12" s="550">
        <v>0</v>
      </c>
      <c r="I12" s="550">
        <v>0</v>
      </c>
      <c r="J12" s="550">
        <v>0</v>
      </c>
      <c r="K12" s="550">
        <v>0</v>
      </c>
      <c r="L12" s="550">
        <v>0</v>
      </c>
      <c r="M12" s="550">
        <v>0</v>
      </c>
      <c r="N12" s="550">
        <v>0</v>
      </c>
      <c r="O12" s="550">
        <v>0</v>
      </c>
      <c r="P12" s="550">
        <v>0</v>
      </c>
      <c r="Q12" s="550">
        <v>0</v>
      </c>
      <c r="R12" s="550">
        <v>0</v>
      </c>
      <c r="S12" s="550">
        <v>0</v>
      </c>
      <c r="T12" s="550">
        <v>0</v>
      </c>
      <c r="U12" s="550">
        <v>0</v>
      </c>
      <c r="V12" s="550">
        <v>0</v>
      </c>
      <c r="W12" s="550">
        <v>0</v>
      </c>
      <c r="X12" s="550">
        <v>0</v>
      </c>
      <c r="Y12" s="550">
        <v>0</v>
      </c>
      <c r="Z12" s="550">
        <v>0</v>
      </c>
      <c r="AA12" s="550">
        <v>0</v>
      </c>
      <c r="AB12" s="550">
        <v>0</v>
      </c>
      <c r="AC12" s="550">
        <v>0</v>
      </c>
      <c r="AD12" s="550">
        <v>0</v>
      </c>
      <c r="AE12" s="550">
        <v>0</v>
      </c>
      <c r="AF12" s="550">
        <v>0</v>
      </c>
      <c r="AG12" s="550">
        <v>0</v>
      </c>
      <c r="AH12" s="550">
        <v>0</v>
      </c>
      <c r="AI12" s="550">
        <v>0</v>
      </c>
      <c r="AJ12" s="550">
        <v>0</v>
      </c>
      <c r="AK12" s="550">
        <v>0</v>
      </c>
    </row>
    <row r="13" spans="1:37" ht="13.15" customHeight="1" x14ac:dyDescent="0.2">
      <c r="A13" s="548" t="s">
        <v>1256</v>
      </c>
      <c r="B13" s="547" t="s">
        <v>1202</v>
      </c>
      <c r="C13" s="65">
        <v>0</v>
      </c>
      <c r="D13" s="65">
        <f>SUM(A11:C11)*D12</f>
        <v>0</v>
      </c>
      <c r="E13" s="65">
        <f t="shared" ref="E13:K13" si="2">E12*D11</f>
        <v>0</v>
      </c>
      <c r="F13" s="65">
        <f t="shared" si="2"/>
        <v>0</v>
      </c>
      <c r="G13" s="65">
        <f t="shared" si="2"/>
        <v>0</v>
      </c>
      <c r="H13" s="65">
        <f t="shared" si="2"/>
        <v>0</v>
      </c>
      <c r="I13" s="65">
        <f t="shared" si="2"/>
        <v>0</v>
      </c>
      <c r="J13" s="65">
        <f t="shared" si="2"/>
        <v>0</v>
      </c>
      <c r="K13" s="65">
        <f t="shared" si="2"/>
        <v>0</v>
      </c>
      <c r="L13" s="65">
        <f t="shared" ref="L13:AF13" si="3">L12*K11</f>
        <v>0</v>
      </c>
      <c r="M13" s="65">
        <f t="shared" si="3"/>
        <v>0</v>
      </c>
      <c r="N13" s="65">
        <f t="shared" si="3"/>
        <v>0</v>
      </c>
      <c r="O13" s="65">
        <f t="shared" si="3"/>
        <v>0</v>
      </c>
      <c r="P13" s="65">
        <f t="shared" si="3"/>
        <v>0</v>
      </c>
      <c r="Q13" s="65">
        <f t="shared" si="3"/>
        <v>0</v>
      </c>
      <c r="R13" s="65">
        <f t="shared" si="3"/>
        <v>0</v>
      </c>
      <c r="S13" s="65">
        <f t="shared" si="3"/>
        <v>0</v>
      </c>
      <c r="T13" s="65">
        <f t="shared" si="3"/>
        <v>0</v>
      </c>
      <c r="U13" s="65">
        <f t="shared" si="3"/>
        <v>0</v>
      </c>
      <c r="V13" s="65">
        <f t="shared" si="3"/>
        <v>0</v>
      </c>
      <c r="W13" s="65">
        <f t="shared" si="3"/>
        <v>0</v>
      </c>
      <c r="X13" s="65">
        <f t="shared" si="3"/>
        <v>0</v>
      </c>
      <c r="Y13" s="65">
        <f t="shared" si="3"/>
        <v>0</v>
      </c>
      <c r="Z13" s="65">
        <f t="shared" si="3"/>
        <v>0</v>
      </c>
      <c r="AA13" s="65">
        <f t="shared" si="3"/>
        <v>0</v>
      </c>
      <c r="AB13" s="65">
        <f t="shared" si="3"/>
        <v>0</v>
      </c>
      <c r="AC13" s="65">
        <f t="shared" si="3"/>
        <v>0</v>
      </c>
      <c r="AD13" s="65">
        <f t="shared" si="3"/>
        <v>0</v>
      </c>
      <c r="AE13" s="65">
        <f t="shared" si="3"/>
        <v>0</v>
      </c>
      <c r="AF13" s="65">
        <f t="shared" si="3"/>
        <v>0</v>
      </c>
      <c r="AG13" s="65">
        <f>AG12*AF11</f>
        <v>0</v>
      </c>
      <c r="AH13" s="65">
        <f>AH12*AG11</f>
        <v>0</v>
      </c>
      <c r="AI13" s="65">
        <f>AI12*AH11</f>
        <v>0</v>
      </c>
      <c r="AJ13" s="65">
        <f>AJ12*AI11</f>
        <v>0</v>
      </c>
      <c r="AK13" s="65">
        <f>AK12*AJ11</f>
        <v>0</v>
      </c>
    </row>
    <row r="14" spans="1:37" ht="13.15" customHeight="1" x14ac:dyDescent="0.2">
      <c r="A14" s="710" t="s">
        <v>1257</v>
      </c>
      <c r="B14" s="711"/>
      <c r="C14" s="87">
        <f t="shared" ref="C14:AK14" si="4">SUM(C9:C9)*C10-C13</f>
        <v>1046.8556727596131</v>
      </c>
      <c r="D14" s="87">
        <f t="shared" si="4"/>
        <v>1063.0771156429203</v>
      </c>
      <c r="E14" s="87">
        <f t="shared" si="4"/>
        <v>1079.2985585262272</v>
      </c>
      <c r="F14" s="87">
        <f t="shared" si="4"/>
        <v>1095.5055050351968</v>
      </c>
      <c r="G14" s="87">
        <f t="shared" si="4"/>
        <v>1111.726947918504</v>
      </c>
      <c r="H14" s="87">
        <f t="shared" si="4"/>
        <v>1127.9483908018108</v>
      </c>
      <c r="I14" s="87">
        <f t="shared" si="4"/>
        <v>1140.0383669990204</v>
      </c>
      <c r="J14" s="87">
        <f t="shared" si="4"/>
        <v>1152.1283431962306</v>
      </c>
      <c r="K14" s="87">
        <f t="shared" si="4"/>
        <v>1164.2183193934402</v>
      </c>
      <c r="L14" s="87">
        <f t="shared" si="4"/>
        <v>1176.3082955906505</v>
      </c>
      <c r="M14" s="87">
        <f t="shared" si="4"/>
        <v>1188.39827178786</v>
      </c>
      <c r="N14" s="87">
        <f t="shared" si="4"/>
        <v>1197.0671036414954</v>
      </c>
      <c r="O14" s="87">
        <f t="shared" si="4"/>
        <v>1205.7359354951304</v>
      </c>
      <c r="P14" s="87">
        <f t="shared" si="4"/>
        <v>1214.4047673487655</v>
      </c>
      <c r="Q14" s="87">
        <f t="shared" si="4"/>
        <v>1223.0735992024008</v>
      </c>
      <c r="R14" s="87">
        <f t="shared" si="4"/>
        <v>1231.7424310560357</v>
      </c>
      <c r="S14" s="87">
        <f t="shared" si="4"/>
        <v>1236.7871693253751</v>
      </c>
      <c r="T14" s="87">
        <f t="shared" si="4"/>
        <v>1241.8319075947143</v>
      </c>
      <c r="U14" s="87">
        <f t="shared" si="4"/>
        <v>1246.8911422383915</v>
      </c>
      <c r="V14" s="87">
        <f t="shared" si="4"/>
        <v>1251.9358805077306</v>
      </c>
      <c r="W14" s="87">
        <f t="shared" si="4"/>
        <v>1256.9806187770703</v>
      </c>
      <c r="X14" s="87">
        <f t="shared" si="4"/>
        <v>1258.8071619435548</v>
      </c>
      <c r="Y14" s="87">
        <f t="shared" si="4"/>
        <v>1260.6337051100397</v>
      </c>
      <c r="Z14" s="87">
        <f t="shared" si="4"/>
        <v>1262.4602482765247</v>
      </c>
      <c r="AA14" s="87">
        <f t="shared" si="4"/>
        <v>1264.2867914430101</v>
      </c>
      <c r="AB14" s="87">
        <f t="shared" si="4"/>
        <v>1266.0988382351577</v>
      </c>
      <c r="AC14" s="87">
        <f t="shared" si="4"/>
        <v>1264.8521500421602</v>
      </c>
      <c r="AD14" s="87">
        <f t="shared" si="4"/>
        <v>1263.6054618491628</v>
      </c>
      <c r="AE14" s="87">
        <f t="shared" si="4"/>
        <v>1262.3587736561649</v>
      </c>
      <c r="AF14" s="87">
        <f t="shared" si="4"/>
        <v>1261.0975890888296</v>
      </c>
      <c r="AG14" s="87">
        <f t="shared" si="4"/>
        <v>1259.850900895832</v>
      </c>
      <c r="AH14" s="87">
        <f t="shared" si="4"/>
        <v>1255.1105864875738</v>
      </c>
      <c r="AI14" s="87">
        <f t="shared" si="4"/>
        <v>1250.3702720793146</v>
      </c>
      <c r="AJ14" s="87">
        <f t="shared" si="4"/>
        <v>1245.6154612967193</v>
      </c>
      <c r="AK14" s="87">
        <f t="shared" si="4"/>
        <v>1240.8751468884607</v>
      </c>
    </row>
  </sheetData>
  <mergeCells count="1">
    <mergeCell ref="A14:B14"/>
  </mergeCells>
  <phoneticPr fontId="8" type="noConversion"/>
  <pageMargins left="0.511811024" right="0.511811024" top="0.78740157499999996" bottom="0.78740157499999996" header="0.31496062000000002" footer="0.31496062000000002"/>
  <pageSetup paperSize="9" scale="27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ilha23"/>
  <dimension ref="B3:AF36"/>
  <sheetViews>
    <sheetView showGridLines="0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8.7109375" style="158"/>
    <col min="2" max="2" width="39.7109375" style="158" bestFit="1" customWidth="1"/>
    <col min="3" max="3" width="12.42578125" style="158" bestFit="1" customWidth="1"/>
    <col min="4" max="5" width="9.7109375" style="158" bestFit="1" customWidth="1"/>
    <col min="6" max="12" width="6.28515625" style="158" bestFit="1" customWidth="1"/>
    <col min="13" max="13" width="7" style="158" bestFit="1" customWidth="1"/>
    <col min="14" max="22" width="6.28515625" style="158" bestFit="1" customWidth="1"/>
    <col min="23" max="23" width="7" style="158" bestFit="1" customWidth="1"/>
    <col min="24" max="32" width="6.28515625" style="158" bestFit="1" customWidth="1"/>
    <col min="33" max="16384" width="8.7109375" style="158"/>
  </cols>
  <sheetData>
    <row r="3" spans="2:5" ht="13.15" customHeight="1" x14ac:dyDescent="0.2">
      <c r="B3" s="656" t="s">
        <v>1258</v>
      </c>
      <c r="C3" s="656"/>
      <c r="D3" s="403"/>
      <c r="E3" s="403"/>
    </row>
    <row r="4" spans="2:5" ht="13.15" customHeight="1" x14ac:dyDescent="0.2">
      <c r="B4" s="286" t="s">
        <v>1259</v>
      </c>
      <c r="C4" s="287" t="s">
        <v>4</v>
      </c>
      <c r="D4" s="403"/>
      <c r="E4" s="403"/>
    </row>
    <row r="5" spans="2:5" ht="13.15" customHeight="1" x14ac:dyDescent="0.2">
      <c r="B5" s="423" t="s">
        <v>1260</v>
      </c>
      <c r="C5" s="551">
        <v>5000</v>
      </c>
      <c r="D5" s="403"/>
      <c r="E5" s="403"/>
    </row>
    <row r="6" spans="2:5" ht="13.15" customHeight="1" x14ac:dyDescent="0.2">
      <c r="B6" s="423" t="s">
        <v>1261</v>
      </c>
      <c r="C6" s="552">
        <v>1E-3</v>
      </c>
      <c r="D6" s="403"/>
      <c r="E6" s="403"/>
    </row>
    <row r="7" spans="2:5" ht="13.15" customHeight="1" x14ac:dyDescent="0.2">
      <c r="B7" s="423" t="s">
        <v>1262</v>
      </c>
      <c r="C7" s="553">
        <f>(C5*C6)</f>
        <v>5</v>
      </c>
      <c r="D7" s="403"/>
      <c r="E7" s="403"/>
    </row>
    <row r="10" spans="2:5" ht="13.15" customHeight="1" x14ac:dyDescent="0.2">
      <c r="B10" s="8" t="s">
        <v>1263</v>
      </c>
      <c r="C10" s="288"/>
      <c r="D10" s="403"/>
      <c r="E10" s="554"/>
    </row>
    <row r="11" spans="2:5" ht="13.15" customHeight="1" x14ac:dyDescent="0.2">
      <c r="B11" s="8"/>
      <c r="C11" s="403"/>
      <c r="D11" s="403"/>
      <c r="E11" s="554"/>
    </row>
    <row r="12" spans="2:5" ht="13.15" customHeight="1" x14ac:dyDescent="0.2">
      <c r="B12" s="656" t="s">
        <v>1264</v>
      </c>
      <c r="C12" s="656"/>
      <c r="D12" s="403"/>
      <c r="E12" s="8"/>
    </row>
    <row r="13" spans="2:5" ht="13.15" customHeight="1" x14ac:dyDescent="0.2">
      <c r="B13" s="423" t="s">
        <v>1260</v>
      </c>
      <c r="C13" s="551">
        <v>10000</v>
      </c>
      <c r="D13" s="403"/>
      <c r="E13" s="555"/>
    </row>
    <row r="14" spans="2:5" ht="13.15" customHeight="1" x14ac:dyDescent="0.2">
      <c r="B14" s="423" t="s">
        <v>1265</v>
      </c>
      <c r="C14" s="556">
        <v>5.4999999999999997E-3</v>
      </c>
      <c r="D14" s="403"/>
      <c r="E14" s="554"/>
    </row>
    <row r="15" spans="2:5" ht="13.15" customHeight="1" x14ac:dyDescent="0.2">
      <c r="B15" s="423" t="s">
        <v>1266</v>
      </c>
      <c r="C15" s="553">
        <f>C13*C14</f>
        <v>55</v>
      </c>
      <c r="D15" s="289"/>
      <c r="E15" s="555"/>
    </row>
    <row r="17" spans="2:6" ht="13.15" customHeight="1" x14ac:dyDescent="0.2">
      <c r="B17" s="423"/>
      <c r="C17" s="290">
        <v>2024</v>
      </c>
      <c r="D17" s="290">
        <f>C17+1</f>
        <v>2025</v>
      </c>
      <c r="E17" s="290">
        <f>D17+1</f>
        <v>2026</v>
      </c>
      <c r="F17" s="290">
        <f>E17+1</f>
        <v>2027</v>
      </c>
    </row>
    <row r="18" spans="2:6" ht="13.15" customHeight="1" x14ac:dyDescent="0.2">
      <c r="B18" s="423" t="s">
        <v>1267</v>
      </c>
      <c r="C18" s="557">
        <v>1</v>
      </c>
      <c r="D18" s="557">
        <v>1</v>
      </c>
      <c r="E18" s="557">
        <v>1</v>
      </c>
      <c r="F18" s="558">
        <v>0</v>
      </c>
    </row>
    <row r="19" spans="2:6" ht="13.15" customHeight="1" x14ac:dyDescent="0.2">
      <c r="B19" s="423" t="s">
        <v>1268</v>
      </c>
      <c r="C19" s="553">
        <f>C18*$C$15</f>
        <v>55</v>
      </c>
      <c r="D19" s="553">
        <f>D18*$C$15</f>
        <v>55</v>
      </c>
      <c r="E19" s="553">
        <f>E18*$C$15</f>
        <v>55</v>
      </c>
      <c r="F19" s="559">
        <f>F18*$C$15</f>
        <v>0</v>
      </c>
    </row>
    <row r="20" spans="2:6" ht="13.15" customHeight="1" x14ac:dyDescent="0.2">
      <c r="B20" s="403"/>
      <c r="C20" s="403"/>
      <c r="D20" s="403"/>
      <c r="E20" s="554"/>
      <c r="F20" s="403"/>
    </row>
    <row r="21" spans="2:6" ht="13.15" customHeight="1" x14ac:dyDescent="0.2">
      <c r="B21" s="403"/>
      <c r="C21" s="403"/>
      <c r="D21" s="403"/>
      <c r="E21" s="554"/>
      <c r="F21" s="403"/>
    </row>
    <row r="22" spans="2:6" ht="13.15" customHeight="1" x14ac:dyDescent="0.2">
      <c r="B22" s="656" t="s">
        <v>1269</v>
      </c>
      <c r="C22" s="656"/>
      <c r="D22" s="403"/>
      <c r="E22" s="291"/>
      <c r="F22" s="403"/>
    </row>
    <row r="23" spans="2:6" ht="13.15" customHeight="1" x14ac:dyDescent="0.2">
      <c r="B23" s="423" t="s">
        <v>1270</v>
      </c>
      <c r="C23" s="551">
        <f>'14 - Investimentos'!D4*5%</f>
        <v>7168.5217623000008</v>
      </c>
      <c r="D23" s="403"/>
      <c r="E23" s="554"/>
      <c r="F23" s="403"/>
    </row>
    <row r="24" spans="2:6" ht="13.15" customHeight="1" x14ac:dyDescent="0.2">
      <c r="B24" s="423" t="s">
        <v>1265</v>
      </c>
      <c r="C24" s="556">
        <v>7.4999999999999997E-3</v>
      </c>
      <c r="D24" s="403"/>
      <c r="E24" s="554"/>
      <c r="F24" s="403"/>
    </row>
    <row r="25" spans="2:6" ht="13.15" customHeight="1" x14ac:dyDescent="0.2">
      <c r="B25" s="423" t="s">
        <v>1266</v>
      </c>
      <c r="C25" s="553">
        <f>C23*C24</f>
        <v>53.763913217250007</v>
      </c>
      <c r="D25" s="289"/>
      <c r="E25" s="555"/>
      <c r="F25" s="403"/>
    </row>
    <row r="26" spans="2:6" ht="13.15" customHeight="1" x14ac:dyDescent="0.2">
      <c r="B26" s="403"/>
      <c r="C26" s="403"/>
      <c r="D26" s="403"/>
      <c r="E26" s="554"/>
      <c r="F26" s="403"/>
    </row>
    <row r="27" spans="2:6" ht="13.15" customHeight="1" x14ac:dyDescent="0.2">
      <c r="B27" s="423"/>
      <c r="C27" s="290" t="s">
        <v>1271</v>
      </c>
      <c r="D27" s="403"/>
      <c r="E27" s="403"/>
      <c r="F27" s="403"/>
    </row>
    <row r="28" spans="2:6" ht="13.15" customHeight="1" x14ac:dyDescent="0.2">
      <c r="B28" s="423" t="s">
        <v>1272</v>
      </c>
      <c r="C28" s="553">
        <v>1</v>
      </c>
      <c r="D28" s="403"/>
      <c r="E28" s="403"/>
      <c r="F28" s="403"/>
    </row>
    <row r="29" spans="2:6" ht="13.15" customHeight="1" x14ac:dyDescent="0.2">
      <c r="B29" s="423" t="s">
        <v>1273</v>
      </c>
      <c r="C29" s="553">
        <f>C25/C28</f>
        <v>53.763913217250007</v>
      </c>
      <c r="D29" s="403"/>
      <c r="E29" s="403"/>
      <c r="F29" s="403"/>
    </row>
    <row r="33" spans="2:32" ht="13.15" customHeight="1" x14ac:dyDescent="0.2">
      <c r="B33" s="163" t="s">
        <v>1274</v>
      </c>
      <c r="C33" s="403"/>
      <c r="D33" s="403"/>
      <c r="E33" s="554"/>
      <c r="F33" s="403"/>
      <c r="G33" s="560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3"/>
      <c r="S33" s="403"/>
      <c r="T33" s="403"/>
      <c r="U33" s="403"/>
      <c r="V33" s="403"/>
      <c r="W33" s="403"/>
      <c r="X33" s="403"/>
      <c r="Y33" s="403"/>
      <c r="Z33" s="403"/>
      <c r="AA33" s="403"/>
      <c r="AB33" s="403"/>
      <c r="AC33" s="403"/>
      <c r="AD33" s="403"/>
      <c r="AE33" s="403"/>
      <c r="AF33" s="403"/>
    </row>
    <row r="34" spans="2:32" ht="13.15" customHeight="1" x14ac:dyDescent="0.2">
      <c r="B34" s="292" t="s">
        <v>1275</v>
      </c>
      <c r="C34" s="290">
        <v>2024</v>
      </c>
      <c r="D34" s="290">
        <v>2025</v>
      </c>
      <c r="E34" s="290">
        <v>2026</v>
      </c>
      <c r="F34" s="290">
        <v>2027</v>
      </c>
      <c r="G34" s="290">
        <v>2028</v>
      </c>
      <c r="H34" s="290">
        <v>2029</v>
      </c>
      <c r="I34" s="290">
        <v>2030</v>
      </c>
      <c r="J34" s="290">
        <v>2031</v>
      </c>
      <c r="K34" s="290">
        <v>2032</v>
      </c>
      <c r="L34" s="290">
        <v>2033</v>
      </c>
      <c r="M34" s="290">
        <v>2034</v>
      </c>
      <c r="N34" s="290">
        <v>2035</v>
      </c>
      <c r="O34" s="290">
        <v>2036</v>
      </c>
      <c r="P34" s="290">
        <v>2037</v>
      </c>
      <c r="Q34" s="290">
        <v>2038</v>
      </c>
      <c r="R34" s="290">
        <v>2039</v>
      </c>
      <c r="S34" s="290">
        <v>2040</v>
      </c>
      <c r="T34" s="290">
        <v>2041</v>
      </c>
      <c r="U34" s="290">
        <v>2042</v>
      </c>
      <c r="V34" s="290">
        <v>2043</v>
      </c>
      <c r="W34" s="290">
        <v>2044</v>
      </c>
      <c r="X34" s="290">
        <v>2045</v>
      </c>
      <c r="Y34" s="290">
        <v>2046</v>
      </c>
      <c r="Z34" s="290">
        <v>2047</v>
      </c>
      <c r="AA34" s="290">
        <v>2048</v>
      </c>
      <c r="AB34" s="290">
        <v>2049</v>
      </c>
      <c r="AC34" s="290">
        <v>2050</v>
      </c>
      <c r="AD34" s="290">
        <v>2051</v>
      </c>
      <c r="AE34" s="290">
        <v>2052</v>
      </c>
      <c r="AF34" s="290">
        <v>2053</v>
      </c>
    </row>
    <row r="35" spans="2:32" ht="13.15" customHeight="1" x14ac:dyDescent="0.2">
      <c r="B35" s="597" t="str">
        <f>'14 - Investimentos'!A22</f>
        <v>Ponto de Entrega Voluntário PEV e Ecoponto</v>
      </c>
      <c r="C35" s="402">
        <f>'14 - Investimentos'!E22/1000</f>
        <v>1047.9334766666666</v>
      </c>
      <c r="D35" s="402">
        <f>'14 - Investimentos'!F22/1000</f>
        <v>87.962963333333335</v>
      </c>
      <c r="E35" s="402">
        <f>'14 - Investimentos'!G22/1000</f>
        <v>87.962963333333335</v>
      </c>
      <c r="F35" s="402">
        <f>'14 - Investimentos'!H22/1000</f>
        <v>0</v>
      </c>
      <c r="G35" s="402">
        <f>'14 - Investimentos'!I22/1000</f>
        <v>87.962963333333335</v>
      </c>
      <c r="H35" s="402">
        <f>'14 - Investimentos'!J22/1000</f>
        <v>29.292586666666665</v>
      </c>
      <c r="I35" s="402">
        <f>'14 - Investimentos'!K22/1000</f>
        <v>87.962963333333335</v>
      </c>
      <c r="J35" s="402">
        <f>'14 - Investimentos'!L22/1000</f>
        <v>87.962963333333335</v>
      </c>
      <c r="K35" s="402">
        <f>'14 - Investimentos'!M22/1000</f>
        <v>0</v>
      </c>
      <c r="L35" s="402">
        <f>'14 - Investimentos'!N22/1000</f>
        <v>87.962963333333335</v>
      </c>
      <c r="M35" s="402">
        <f>'14 - Investimentos'!O22/1000</f>
        <v>856.04529866666678</v>
      </c>
      <c r="N35" s="402">
        <f>'14 - Investimentos'!P22/1000</f>
        <v>87.962963333333335</v>
      </c>
      <c r="O35" s="402">
        <f>'14 - Investimentos'!Q22/1000</f>
        <v>87.962963333333335</v>
      </c>
      <c r="P35" s="402">
        <f>'14 - Investimentos'!R22/1000</f>
        <v>0</v>
      </c>
      <c r="Q35" s="402">
        <f>'14 - Investimentos'!S22/1000</f>
        <v>87.962963333333335</v>
      </c>
      <c r="R35" s="402">
        <f>'14 - Investimentos'!T22/1000</f>
        <v>29.292586666666665</v>
      </c>
      <c r="S35" s="402">
        <f>'14 - Investimentos'!U22/1000</f>
        <v>87.962963333333335</v>
      </c>
      <c r="T35" s="402">
        <f>'14 - Investimentos'!V22/1000</f>
        <v>87.962963333333335</v>
      </c>
      <c r="U35" s="402">
        <f>'14 - Investimentos'!W22/1000</f>
        <v>0</v>
      </c>
      <c r="V35" s="402">
        <f>'14 - Investimentos'!X22/1000</f>
        <v>87.962963333333335</v>
      </c>
      <c r="W35" s="402">
        <f>'14 - Investimentos'!Y22/1000</f>
        <v>856.04529866666678</v>
      </c>
      <c r="X35" s="402">
        <f>'14 - Investimentos'!Z22/1000</f>
        <v>87.962963333333335</v>
      </c>
      <c r="Y35" s="402">
        <f>'14 - Investimentos'!AA22/1000</f>
        <v>87.962963333333335</v>
      </c>
      <c r="Z35" s="402">
        <f>'14 - Investimentos'!AB22/1000</f>
        <v>0</v>
      </c>
      <c r="AA35" s="402">
        <f>'14 - Investimentos'!AC22/1000</f>
        <v>87.962963333333335</v>
      </c>
      <c r="AB35" s="402">
        <f>'14 - Investimentos'!AD22/1000</f>
        <v>29.292586666666665</v>
      </c>
      <c r="AC35" s="402">
        <f>'14 - Investimentos'!AE22/1000</f>
        <v>87.962963333333335</v>
      </c>
      <c r="AD35" s="402">
        <f>'14 - Investimentos'!AF22/1000</f>
        <v>87.962963333333335</v>
      </c>
      <c r="AE35" s="402">
        <f>'14 - Investimentos'!AG22/1000</f>
        <v>0</v>
      </c>
      <c r="AF35" s="402">
        <f>'14 - Investimentos'!AH22/1000</f>
        <v>87.962963333333335</v>
      </c>
    </row>
    <row r="36" spans="2:32" ht="13.15" customHeight="1" x14ac:dyDescent="0.2">
      <c r="B36" s="561">
        <v>3.5000000000000001E-3</v>
      </c>
      <c r="C36" s="553">
        <f t="shared" ref="C36:AF36" si="0">SUM(C35:C35)*$B$36</f>
        <v>3.667767168333333</v>
      </c>
      <c r="D36" s="553">
        <f t="shared" si="0"/>
        <v>0.3078703716666667</v>
      </c>
      <c r="E36" s="553">
        <f t="shared" si="0"/>
        <v>0.3078703716666667</v>
      </c>
      <c r="F36" s="553">
        <f t="shared" si="0"/>
        <v>0</v>
      </c>
      <c r="G36" s="553">
        <f t="shared" si="0"/>
        <v>0.3078703716666667</v>
      </c>
      <c r="H36" s="553">
        <f t="shared" si="0"/>
        <v>0.10252405333333332</v>
      </c>
      <c r="I36" s="553">
        <f t="shared" si="0"/>
        <v>0.3078703716666667</v>
      </c>
      <c r="J36" s="553">
        <f t="shared" si="0"/>
        <v>0.3078703716666667</v>
      </c>
      <c r="K36" s="553">
        <f t="shared" si="0"/>
        <v>0</v>
      </c>
      <c r="L36" s="553">
        <f t="shared" si="0"/>
        <v>0.3078703716666667</v>
      </c>
      <c r="M36" s="553">
        <f t="shared" si="0"/>
        <v>2.9961585453333339</v>
      </c>
      <c r="N36" s="553">
        <f t="shared" si="0"/>
        <v>0.3078703716666667</v>
      </c>
      <c r="O36" s="553">
        <f t="shared" si="0"/>
        <v>0.3078703716666667</v>
      </c>
      <c r="P36" s="553">
        <f t="shared" si="0"/>
        <v>0</v>
      </c>
      <c r="Q36" s="553">
        <f t="shared" si="0"/>
        <v>0.3078703716666667</v>
      </c>
      <c r="R36" s="553">
        <f t="shared" si="0"/>
        <v>0.10252405333333332</v>
      </c>
      <c r="S36" s="553">
        <f t="shared" si="0"/>
        <v>0.3078703716666667</v>
      </c>
      <c r="T36" s="553">
        <f t="shared" si="0"/>
        <v>0.3078703716666667</v>
      </c>
      <c r="U36" s="553">
        <f t="shared" si="0"/>
        <v>0</v>
      </c>
      <c r="V36" s="553">
        <f t="shared" si="0"/>
        <v>0.3078703716666667</v>
      </c>
      <c r="W36" s="553">
        <f t="shared" si="0"/>
        <v>2.9961585453333339</v>
      </c>
      <c r="X36" s="553">
        <f t="shared" si="0"/>
        <v>0.3078703716666667</v>
      </c>
      <c r="Y36" s="553">
        <f t="shared" si="0"/>
        <v>0.3078703716666667</v>
      </c>
      <c r="Z36" s="553">
        <f t="shared" si="0"/>
        <v>0</v>
      </c>
      <c r="AA36" s="553">
        <f t="shared" si="0"/>
        <v>0.3078703716666667</v>
      </c>
      <c r="AB36" s="553">
        <f t="shared" si="0"/>
        <v>0.10252405333333332</v>
      </c>
      <c r="AC36" s="553">
        <f t="shared" si="0"/>
        <v>0.3078703716666667</v>
      </c>
      <c r="AD36" s="553">
        <f t="shared" si="0"/>
        <v>0.3078703716666667</v>
      </c>
      <c r="AE36" s="553">
        <f t="shared" si="0"/>
        <v>0</v>
      </c>
      <c r="AF36" s="553">
        <f t="shared" si="0"/>
        <v>0.3078703716666667</v>
      </c>
    </row>
  </sheetData>
  <mergeCells count="3">
    <mergeCell ref="B3:C3"/>
    <mergeCell ref="B12:C12"/>
    <mergeCell ref="B22:C22"/>
  </mergeCells>
  <pageMargins left="0.7" right="0.7" top="0.75" bottom="0.75" header="0.3" footer="0.3"/>
  <pageSetup paperSize="9" scale="5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Planilha24"/>
  <dimension ref="B2:AM47"/>
  <sheetViews>
    <sheetView showGridLines="0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3.7109375" style="158" customWidth="1"/>
    <col min="2" max="2" width="110.42578125" style="158" bestFit="1" customWidth="1"/>
    <col min="3" max="3" width="4" style="7" bestFit="1" customWidth="1"/>
    <col min="4" max="4" width="6.7109375" style="297" bestFit="1" customWidth="1"/>
    <col min="5" max="13" width="5.5703125" style="297" bestFit="1" customWidth="1"/>
    <col min="14" max="39" width="6.42578125" style="297" bestFit="1" customWidth="1"/>
    <col min="40" max="16384" width="8.7109375" style="158"/>
  </cols>
  <sheetData>
    <row r="2" spans="2:9" ht="13.15" customHeight="1" x14ac:dyDescent="0.2">
      <c r="B2" s="35" t="s">
        <v>1276</v>
      </c>
      <c r="C2" s="293"/>
      <c r="D2" s="294"/>
      <c r="E2" s="294"/>
      <c r="F2" s="295"/>
      <c r="G2" s="294"/>
      <c r="H2" s="296"/>
      <c r="I2" s="294"/>
    </row>
    <row r="3" spans="2:9" ht="13.15" customHeight="1" x14ac:dyDescent="0.2">
      <c r="B3" s="152"/>
      <c r="C3" s="298"/>
      <c r="D3" s="294"/>
      <c r="E3" s="294"/>
      <c r="F3" s="295"/>
      <c r="G3" s="294"/>
      <c r="H3" s="296"/>
      <c r="I3" s="294"/>
    </row>
    <row r="4" spans="2:9" ht="13.15" customHeight="1" x14ac:dyDescent="0.2">
      <c r="B4" s="35" t="s">
        <v>1277</v>
      </c>
      <c r="C4" s="293"/>
      <c r="D4" s="294"/>
      <c r="E4" s="294"/>
      <c r="F4" s="295"/>
      <c r="G4" s="712"/>
      <c r="H4" s="712"/>
      <c r="I4" s="712"/>
    </row>
    <row r="5" spans="2:9" ht="13.15" customHeight="1" x14ac:dyDescent="0.2">
      <c r="B5" s="403"/>
      <c r="C5" s="411"/>
      <c r="D5" s="294"/>
      <c r="E5" s="294"/>
      <c r="F5" s="295"/>
      <c r="G5" s="712"/>
      <c r="H5" s="712"/>
      <c r="I5" s="712"/>
    </row>
    <row r="6" spans="2:9" ht="13.15" customHeight="1" x14ac:dyDescent="0.2">
      <c r="B6" s="35" t="s">
        <v>1278</v>
      </c>
      <c r="C6" s="293"/>
      <c r="D6" s="294"/>
      <c r="E6" s="294"/>
      <c r="F6" s="295"/>
      <c r="G6" s="712"/>
      <c r="H6" s="712"/>
      <c r="I6" s="712"/>
    </row>
    <row r="7" spans="2:9" ht="13.15" customHeight="1" x14ac:dyDescent="0.2">
      <c r="B7" s="152" t="s">
        <v>1279</v>
      </c>
      <c r="C7" s="298"/>
      <c r="D7" s="294"/>
      <c r="E7" s="294"/>
      <c r="F7" s="295"/>
      <c r="G7" s="712"/>
      <c r="H7" s="712"/>
      <c r="I7" s="712"/>
    </row>
    <row r="8" spans="2:9" ht="13.15" customHeight="1" x14ac:dyDescent="0.2">
      <c r="B8" s="152" t="s">
        <v>1280</v>
      </c>
      <c r="C8" s="298"/>
      <c r="D8" s="294"/>
      <c r="E8" s="294"/>
      <c r="F8" s="295"/>
      <c r="G8" s="712"/>
      <c r="H8" s="712"/>
      <c r="I8" s="712"/>
    </row>
    <row r="9" spans="2:9" ht="13.15" customHeight="1" x14ac:dyDescent="0.2">
      <c r="B9" s="152" t="s">
        <v>1281</v>
      </c>
      <c r="C9" s="298"/>
      <c r="D9" s="294"/>
      <c r="E9" s="294"/>
      <c r="F9" s="295"/>
      <c r="G9" s="712"/>
      <c r="H9" s="712"/>
      <c r="I9" s="712"/>
    </row>
    <row r="10" spans="2:9" ht="13.15" customHeight="1" x14ac:dyDescent="0.2">
      <c r="B10" s="152" t="s">
        <v>1282</v>
      </c>
      <c r="C10" s="298"/>
      <c r="D10" s="294"/>
      <c r="E10" s="294"/>
      <c r="F10" s="295"/>
      <c r="G10" s="712"/>
      <c r="H10" s="712"/>
      <c r="I10" s="712"/>
    </row>
    <row r="11" spans="2:9" ht="13.15" customHeight="1" x14ac:dyDescent="0.2">
      <c r="B11" s="152"/>
      <c r="C11" s="298"/>
      <c r="D11" s="294"/>
      <c r="E11" s="294"/>
      <c r="F11" s="295"/>
      <c r="G11" s="294"/>
      <c r="H11" s="296"/>
      <c r="I11" s="294"/>
    </row>
    <row r="12" spans="2:9" ht="13.15" customHeight="1" x14ac:dyDescent="0.2">
      <c r="B12" s="35" t="s">
        <v>1283</v>
      </c>
      <c r="C12" s="293"/>
      <c r="D12" s="294"/>
      <c r="E12" s="294"/>
      <c r="F12" s="295"/>
      <c r="G12" s="294"/>
      <c r="H12" s="296"/>
      <c r="I12" s="294"/>
    </row>
    <row r="13" spans="2:9" ht="13.15" customHeight="1" x14ac:dyDescent="0.2">
      <c r="B13" s="152" t="s">
        <v>1284</v>
      </c>
      <c r="C13" s="298"/>
      <c r="D13" s="294"/>
      <c r="E13" s="294"/>
      <c r="F13" s="295"/>
      <c r="G13" s="294"/>
      <c r="H13" s="296"/>
      <c r="I13" s="294"/>
    </row>
    <row r="14" spans="2:9" ht="13.15" customHeight="1" x14ac:dyDescent="0.2">
      <c r="B14" s="152" t="s">
        <v>1285</v>
      </c>
      <c r="C14" s="298"/>
      <c r="D14" s="294"/>
      <c r="E14" s="294"/>
      <c r="F14" s="295"/>
      <c r="G14" s="294"/>
      <c r="H14" s="296"/>
      <c r="I14" s="294"/>
    </row>
    <row r="15" spans="2:9" ht="13.15" customHeight="1" x14ac:dyDescent="0.2">
      <c r="B15" s="152" t="s">
        <v>1281</v>
      </c>
      <c r="C15" s="298"/>
      <c r="D15" s="294"/>
      <c r="E15" s="294"/>
      <c r="F15" s="295"/>
      <c r="G15" s="294"/>
      <c r="H15" s="296"/>
      <c r="I15" s="294"/>
    </row>
    <row r="16" spans="2:9" ht="13.15" customHeight="1" x14ac:dyDescent="0.2">
      <c r="B16" s="152" t="s">
        <v>1286</v>
      </c>
      <c r="C16" s="298"/>
      <c r="D16" s="294"/>
      <c r="E16" s="294"/>
      <c r="F16" s="295"/>
      <c r="G16" s="294"/>
      <c r="H16" s="296"/>
      <c r="I16" s="294"/>
    </row>
    <row r="18" spans="2:2" ht="13.15" customHeight="1" x14ac:dyDescent="0.2">
      <c r="B18" s="35" t="s">
        <v>1287</v>
      </c>
    </row>
    <row r="19" spans="2:2" ht="13.15" customHeight="1" x14ac:dyDescent="0.2">
      <c r="B19" s="152" t="s">
        <v>1288</v>
      </c>
    </row>
    <row r="20" spans="2:2" ht="13.15" customHeight="1" x14ac:dyDescent="0.2">
      <c r="B20" s="152" t="s">
        <v>1289</v>
      </c>
    </row>
    <row r="21" spans="2:2" ht="13.15" customHeight="1" x14ac:dyDescent="0.2">
      <c r="B21" s="152" t="s">
        <v>1281</v>
      </c>
    </row>
    <row r="22" spans="2:2" ht="13.15" customHeight="1" x14ac:dyDescent="0.2">
      <c r="B22" s="152" t="s">
        <v>1290</v>
      </c>
    </row>
    <row r="23" spans="2:2" ht="13.15" customHeight="1" x14ac:dyDescent="0.2">
      <c r="B23" s="152"/>
    </row>
    <row r="24" spans="2:2" ht="13.15" customHeight="1" x14ac:dyDescent="0.2">
      <c r="B24" s="35" t="s">
        <v>1291</v>
      </c>
    </row>
    <row r="25" spans="2:2" ht="13.15" customHeight="1" x14ac:dyDescent="0.2">
      <c r="B25" s="152" t="s">
        <v>1292</v>
      </c>
    </row>
    <row r="26" spans="2:2" ht="13.15" customHeight="1" x14ac:dyDescent="0.2">
      <c r="B26" s="152" t="s">
        <v>1293</v>
      </c>
    </row>
    <row r="27" spans="2:2" ht="13.15" customHeight="1" x14ac:dyDescent="0.2">
      <c r="B27" s="152" t="s">
        <v>1281</v>
      </c>
    </row>
    <row r="28" spans="2:2" ht="13.15" customHeight="1" x14ac:dyDescent="0.2">
      <c r="B28" s="152" t="s">
        <v>1294</v>
      </c>
    </row>
    <row r="30" spans="2:2" ht="13.15" customHeight="1" x14ac:dyDescent="0.2">
      <c r="B30" s="713" t="s">
        <v>1295</v>
      </c>
    </row>
    <row r="31" spans="2:2" ht="13.15" customHeight="1" x14ac:dyDescent="0.2">
      <c r="B31" s="713"/>
    </row>
    <row r="32" spans="2:2" ht="13.15" customHeight="1" x14ac:dyDescent="0.2">
      <c r="B32" s="713"/>
    </row>
    <row r="38" spans="2:39" ht="13.15" customHeight="1" x14ac:dyDescent="0.2">
      <c r="B38" s="403"/>
      <c r="C38" s="411"/>
      <c r="D38" s="9" t="s">
        <v>71</v>
      </c>
      <c r="E38" s="9" t="s">
        <v>1005</v>
      </c>
      <c r="F38" s="9" t="s">
        <v>1006</v>
      </c>
      <c r="G38" s="9" t="s">
        <v>1007</v>
      </c>
      <c r="H38" s="9" t="s">
        <v>1008</v>
      </c>
      <c r="I38" s="9" t="s">
        <v>1009</v>
      </c>
      <c r="J38" s="9" t="s">
        <v>1010</v>
      </c>
      <c r="K38" s="9" t="s">
        <v>1011</v>
      </c>
      <c r="L38" s="9" t="s">
        <v>1012</v>
      </c>
      <c r="M38" s="9" t="s">
        <v>1013</v>
      </c>
      <c r="N38" s="9" t="s">
        <v>1014</v>
      </c>
      <c r="O38" s="9" t="s">
        <v>1015</v>
      </c>
      <c r="P38" s="9" t="s">
        <v>1016</v>
      </c>
      <c r="Q38" s="9" t="s">
        <v>1017</v>
      </c>
      <c r="R38" s="9" t="s">
        <v>1018</v>
      </c>
      <c r="S38" s="9" t="s">
        <v>1019</v>
      </c>
      <c r="T38" s="9" t="s">
        <v>1020</v>
      </c>
      <c r="U38" s="9" t="s">
        <v>1021</v>
      </c>
      <c r="V38" s="9" t="s">
        <v>1022</v>
      </c>
      <c r="W38" s="9" t="s">
        <v>1023</v>
      </c>
      <c r="X38" s="9" t="s">
        <v>1024</v>
      </c>
      <c r="Y38" s="9" t="s">
        <v>1025</v>
      </c>
      <c r="Z38" s="9" t="s">
        <v>1026</v>
      </c>
      <c r="AA38" s="9" t="s">
        <v>1027</v>
      </c>
      <c r="AB38" s="9" t="s">
        <v>1028</v>
      </c>
      <c r="AC38" s="9" t="s">
        <v>1029</v>
      </c>
      <c r="AD38" s="9" t="s">
        <v>1030</v>
      </c>
      <c r="AE38" s="9" t="s">
        <v>1031</v>
      </c>
      <c r="AF38" s="9" t="s">
        <v>1032</v>
      </c>
      <c r="AG38" s="9" t="s">
        <v>1033</v>
      </c>
      <c r="AH38" s="9" t="s">
        <v>1034</v>
      </c>
      <c r="AI38" s="9" t="s">
        <v>1035</v>
      </c>
      <c r="AJ38" s="9" t="s">
        <v>1036</v>
      </c>
      <c r="AK38" s="9" t="s">
        <v>1037</v>
      </c>
      <c r="AL38" s="9" t="s">
        <v>1038</v>
      </c>
      <c r="AM38" s="9" t="s">
        <v>1039</v>
      </c>
    </row>
    <row r="39" spans="2:39" s="200" customFormat="1" ht="13.15" customHeight="1" x14ac:dyDescent="0.2">
      <c r="B39" s="152" t="s">
        <v>1280</v>
      </c>
      <c r="C39" s="298">
        <v>0.02</v>
      </c>
      <c r="D39" s="564">
        <f>SUM(E39:AM39)</f>
        <v>1681.7466269304514</v>
      </c>
      <c r="E39" s="564">
        <f>(($C$39*'02 - Evolução Populacional'!B47)/1000)*12</f>
        <v>45.624000000000002</v>
      </c>
      <c r="F39" s="564">
        <f>(($C$39*'02 - Evolução Populacional'!C47)/1000)*12</f>
        <v>45.970320000000001</v>
      </c>
      <c r="G39" s="564">
        <f>(($C$39*'02 - Evolução Populacional'!D47)/1000)*12</f>
        <v>46.316640000000007</v>
      </c>
      <c r="H39" s="564">
        <f>(($C$39*'02 - Evolução Populacional'!E47)/1000)*12</f>
        <v>46.662959999999998</v>
      </c>
      <c r="I39" s="564">
        <f>(($C$39*'02 - Evolução Populacional'!F47)/1000)*12</f>
        <v>47.009280000000004</v>
      </c>
      <c r="J39" s="564">
        <f>(($C$39*'02 - Evolução Populacional'!G47)/1000)*12</f>
        <v>47.355600000000003</v>
      </c>
      <c r="K39" s="564">
        <f>(($C$39*'02 - Evolução Populacional'!H47)/1000)*12</f>
        <v>47.565840000000001</v>
      </c>
      <c r="L39" s="564">
        <f>(($C$39*'02 - Evolução Populacional'!I47)/1000)*12</f>
        <v>47.776080000000007</v>
      </c>
      <c r="M39" s="564">
        <f>(($C$39*'02 - Evolução Populacional'!J47)/1000)*12</f>
        <v>47.986080000000001</v>
      </c>
      <c r="N39" s="564">
        <f>(($C$39*'02 - Evolução Populacional'!K47)/1000)*12</f>
        <v>48.19632</v>
      </c>
      <c r="O39" s="564">
        <f>(($C$39*'02 - Evolução Populacional'!L47)/1000)*12</f>
        <v>48.406559999999999</v>
      </c>
      <c r="P39" s="564">
        <f>(($C$39*'02 - Evolução Populacional'!M47)/1000)*12</f>
        <v>48.519600000000004</v>
      </c>
      <c r="Q39" s="564">
        <f>(($C$39*'02 - Evolução Populacional'!N47)/1000)*12</f>
        <v>48.632639999999995</v>
      </c>
      <c r="R39" s="564">
        <f>(($C$39*'02 - Evolução Populacional'!O47)/1000)*12</f>
        <v>48.745680000000007</v>
      </c>
      <c r="S39" s="564">
        <f>(($C$39*'02 - Evolução Populacional'!P47)/1000)*12</f>
        <v>48.858719999999998</v>
      </c>
      <c r="T39" s="564">
        <f>(($C$39*'02 - Evolução Populacional'!Q47)/1000)*12</f>
        <v>48.971760000000003</v>
      </c>
      <c r="U39" s="564">
        <f>(($C$39*'02 - Evolução Populacional'!R47)/1000)*12</f>
        <v>48.981120000000004</v>
      </c>
      <c r="V39" s="564">
        <f>(($C$39*'02 - Evolução Populacional'!S47)/1000)*12</f>
        <v>48.990719999999996</v>
      </c>
      <c r="W39" s="564">
        <f>(($C$39*'02 - Evolução Populacional'!T47)/1000)*12</f>
        <v>49.000079999999997</v>
      </c>
      <c r="X39" s="564">
        <f>(($C$39*'02 - Evolução Populacional'!U47)/1000)*12</f>
        <v>49.009439999999998</v>
      </c>
      <c r="Y39" s="564">
        <f>(($C$39*'02 - Evolução Populacional'!V47)/1000)*12</f>
        <v>49.019040000000004</v>
      </c>
      <c r="Z39" s="564">
        <f>(($C$39*'02 - Evolução Populacional'!W47)/1000)*12</f>
        <v>48.939120000000003</v>
      </c>
      <c r="AA39" s="564">
        <f>(($C$39*'02 - Evolução Populacional'!X47)/1000)*12</f>
        <v>48.859200000000001</v>
      </c>
      <c r="AB39" s="564">
        <f>(($C$39*'02 - Evolução Populacional'!Y47)/1000)*12</f>
        <v>48.77928</v>
      </c>
      <c r="AC39" s="564">
        <f>(($C$39*'02 - Evolução Populacional'!Z47)/1000)*12</f>
        <v>48.699120000000008</v>
      </c>
      <c r="AD39" s="564">
        <f>(($C$39*'02 - Evolução Populacional'!AA47)/1000)*12</f>
        <v>48.619199999999992</v>
      </c>
      <c r="AE39" s="564">
        <f>(($C$39*'02 - Evolução Populacional'!AB47)/1000)*12</f>
        <v>48.452159999999999</v>
      </c>
      <c r="AF39" s="564">
        <f>(($C$39*'02 - Evolução Populacional'!AC47)/1000)*12</f>
        <v>48.285120000000006</v>
      </c>
      <c r="AG39" s="564">
        <f>(($C$39*'02 - Evolução Populacional'!AD47)/1000)*12</f>
        <v>48.118080000000006</v>
      </c>
      <c r="AH39" s="564">
        <f>(($C$39*'02 - Evolução Populacional'!AE47)/1000)*12</f>
        <v>47.951279999999997</v>
      </c>
      <c r="AI39" s="564">
        <f>(($C$39*'02 - Evolução Populacional'!AF47)/1000)*12</f>
        <v>47.951168712492027</v>
      </c>
      <c r="AJ39" s="564">
        <f>(($C$39*'02 - Evolução Populacional'!AG47)/1000)*12</f>
        <v>47.784138081457463</v>
      </c>
      <c r="AK39" s="564">
        <f>(($C$39*'02 - Evolução Populacional'!AH47)/1000)*12</f>
        <v>47.51044906347898</v>
      </c>
      <c r="AL39" s="564">
        <f>(($C$39*'02 - Evolução Populacional'!AI47)/1000)*12</f>
        <v>47.236760045500496</v>
      </c>
      <c r="AM39" s="564">
        <f>(($C$39*'02 - Evolução Populacional'!AJ47)/1000)*12</f>
        <v>46.963071027522034</v>
      </c>
    </row>
    <row r="40" spans="2:39" s="200" customFormat="1" ht="13.15" customHeight="1" x14ac:dyDescent="0.2">
      <c r="B40" s="152"/>
      <c r="C40" s="298"/>
      <c r="D40" s="564"/>
      <c r="E40" s="564"/>
      <c r="F40" s="564"/>
      <c r="G40" s="564"/>
      <c r="H40" s="564"/>
      <c r="I40" s="564"/>
      <c r="J40" s="564"/>
      <c r="K40" s="564"/>
      <c r="L40" s="564"/>
      <c r="M40" s="564"/>
      <c r="N40" s="564"/>
      <c r="O40" s="564"/>
      <c r="P40" s="564"/>
      <c r="Q40" s="564"/>
      <c r="R40" s="564"/>
      <c r="S40" s="564"/>
      <c r="T40" s="564"/>
      <c r="U40" s="564"/>
      <c r="V40" s="564"/>
      <c r="W40" s="564"/>
      <c r="X40" s="564"/>
      <c r="Y40" s="564"/>
      <c r="Z40" s="564"/>
      <c r="AA40" s="564"/>
      <c r="AB40" s="564"/>
      <c r="AC40" s="564"/>
      <c r="AD40" s="564"/>
      <c r="AE40" s="564"/>
      <c r="AF40" s="564"/>
      <c r="AG40" s="564"/>
      <c r="AH40" s="564"/>
      <c r="AI40" s="564"/>
      <c r="AJ40" s="564"/>
      <c r="AK40" s="564"/>
      <c r="AL40" s="564"/>
      <c r="AM40" s="564"/>
    </row>
    <row r="41" spans="2:39" s="200" customFormat="1" ht="13.15" customHeight="1" x14ac:dyDescent="0.2">
      <c r="B41" s="152" t="s">
        <v>1285</v>
      </c>
      <c r="C41" s="298">
        <v>0.03</v>
      </c>
      <c r="D41" s="564">
        <f>SUM(E41:AM41)</f>
        <v>2522.6199403956766</v>
      </c>
      <c r="E41" s="564">
        <f>(($C$41*'02 - Evolução Populacional'!B47)/1000)*12</f>
        <v>68.436000000000007</v>
      </c>
      <c r="F41" s="564">
        <f>(($C$41*'02 - Evolução Populacional'!C47)/1000)*12</f>
        <v>68.955479999999994</v>
      </c>
      <c r="G41" s="564">
        <f>(($C$41*'02 - Evolução Populacional'!D47)/1000)*12</f>
        <v>69.474959999999996</v>
      </c>
      <c r="H41" s="564">
        <f>(($C$41*'02 - Evolução Populacional'!E47)/1000)*12</f>
        <v>69.994439999999997</v>
      </c>
      <c r="I41" s="564">
        <f>(($C$41*'02 - Evolução Populacional'!F47)/1000)*12</f>
        <v>70.513919999999999</v>
      </c>
      <c r="J41" s="564">
        <f>(($C$41*'02 - Evolução Populacional'!G47)/1000)*12</f>
        <v>71.0334</v>
      </c>
      <c r="K41" s="564">
        <f>(($C$41*'02 - Evolução Populacional'!H47)/1000)*12</f>
        <v>71.348759999999999</v>
      </c>
      <c r="L41" s="564">
        <f>(($C$41*'02 - Evolução Populacional'!I47)/1000)*12</f>
        <v>71.664119999999997</v>
      </c>
      <c r="M41" s="564">
        <f>(($C$41*'02 - Evolução Populacional'!J47)/1000)*12</f>
        <v>71.979119999999995</v>
      </c>
      <c r="N41" s="564">
        <f>(($C$41*'02 - Evolução Populacional'!K47)/1000)*12</f>
        <v>72.294479999999993</v>
      </c>
      <c r="O41" s="564">
        <f>(($C$41*'02 - Evolução Populacional'!L47)/1000)*12</f>
        <v>72.609839999999991</v>
      </c>
      <c r="P41" s="564">
        <f>(($C$41*'02 - Evolução Populacional'!M47)/1000)*12</f>
        <v>72.779399999999995</v>
      </c>
      <c r="Q41" s="564">
        <f>(($C$41*'02 - Evolução Populacional'!N47)/1000)*12</f>
        <v>72.94896</v>
      </c>
      <c r="R41" s="564">
        <f>(($C$41*'02 - Evolução Populacional'!O47)/1000)*12</f>
        <v>73.118520000000004</v>
      </c>
      <c r="S41" s="564">
        <f>(($C$41*'02 - Evolução Populacional'!P47)/1000)*12</f>
        <v>73.288079999999994</v>
      </c>
      <c r="T41" s="564">
        <f>(($C$41*'02 - Evolução Populacional'!Q47)/1000)*12</f>
        <v>73.457639999999998</v>
      </c>
      <c r="U41" s="564">
        <f>(($C$41*'02 - Evolução Populacional'!R47)/1000)*12</f>
        <v>73.471679999999992</v>
      </c>
      <c r="V41" s="564">
        <f>(($C$41*'02 - Evolução Populacional'!S47)/1000)*12</f>
        <v>73.486080000000001</v>
      </c>
      <c r="W41" s="564">
        <f>(($C$41*'02 - Evolução Populacional'!T47)/1000)*12</f>
        <v>73.50012000000001</v>
      </c>
      <c r="X41" s="564">
        <f>(($C$41*'02 - Evolução Populacional'!U47)/1000)*12</f>
        <v>73.514160000000004</v>
      </c>
      <c r="Y41" s="564">
        <f>(($C$41*'02 - Evolução Populacional'!V47)/1000)*12</f>
        <v>73.528559999999999</v>
      </c>
      <c r="Z41" s="564">
        <f>(($C$41*'02 - Evolução Populacional'!W47)/1000)*12</f>
        <v>73.40867999999999</v>
      </c>
      <c r="AA41" s="564">
        <f>(($C$41*'02 - Evolução Populacional'!X47)/1000)*12</f>
        <v>73.288799999999995</v>
      </c>
      <c r="AB41" s="564">
        <f>(($C$41*'02 - Evolução Populacional'!Y47)/1000)*12</f>
        <v>73.16892</v>
      </c>
      <c r="AC41" s="564">
        <f>(($C$41*'02 - Evolução Populacional'!Z47)/1000)*12</f>
        <v>73.04867999999999</v>
      </c>
      <c r="AD41" s="564">
        <f>(($C$41*'02 - Evolução Populacional'!AA47)/1000)*12</f>
        <v>72.928799999999995</v>
      </c>
      <c r="AE41" s="564">
        <f>(($C$41*'02 - Evolução Populacional'!AB47)/1000)*12</f>
        <v>72.678240000000002</v>
      </c>
      <c r="AF41" s="564">
        <f>(($C$41*'02 - Evolução Populacional'!AC47)/1000)*12</f>
        <v>72.427679999999981</v>
      </c>
      <c r="AG41" s="564">
        <f>(($C$41*'02 - Evolução Populacional'!AD47)/1000)*12</f>
        <v>72.177120000000002</v>
      </c>
      <c r="AH41" s="564">
        <f>(($C$41*'02 - Evolução Populacional'!AE47)/1000)*12</f>
        <v>71.926919999999996</v>
      </c>
      <c r="AI41" s="564">
        <f>(($C$41*'02 - Evolução Populacional'!AF47)/1000)*12</f>
        <v>71.926753068738037</v>
      </c>
      <c r="AJ41" s="564">
        <f>(($C$41*'02 - Evolução Populacional'!AG47)/1000)*12</f>
        <v>71.676207122186185</v>
      </c>
      <c r="AK41" s="564">
        <f>(($C$41*'02 - Evolução Populacional'!AH47)/1000)*12</f>
        <v>71.265673595218473</v>
      </c>
      <c r="AL41" s="564">
        <f>(($C$41*'02 - Evolução Populacional'!AI47)/1000)*12</f>
        <v>70.855140068250762</v>
      </c>
      <c r="AM41" s="564">
        <f>(($C$41*'02 - Evolução Populacional'!AJ47)/1000)*12</f>
        <v>70.444606541283051</v>
      </c>
    </row>
    <row r="42" spans="2:39" s="200" customFormat="1" ht="13.15" customHeight="1" x14ac:dyDescent="0.2">
      <c r="B42" s="152"/>
      <c r="C42" s="298"/>
      <c r="D42" s="564"/>
      <c r="E42" s="564"/>
      <c r="F42" s="564"/>
      <c r="G42" s="564"/>
      <c r="H42" s="564"/>
      <c r="I42" s="564"/>
      <c r="J42" s="564"/>
      <c r="K42" s="564"/>
      <c r="L42" s="564"/>
      <c r="M42" s="564"/>
      <c r="N42" s="564"/>
      <c r="O42" s="564"/>
      <c r="P42" s="564"/>
      <c r="Q42" s="564"/>
      <c r="R42" s="564"/>
      <c r="S42" s="564"/>
      <c r="T42" s="564"/>
      <c r="U42" s="564"/>
      <c r="V42" s="564"/>
      <c r="W42" s="564"/>
      <c r="X42" s="564"/>
      <c r="Y42" s="564"/>
      <c r="Z42" s="564"/>
      <c r="AA42" s="564"/>
      <c r="AB42" s="564"/>
      <c r="AC42" s="564"/>
      <c r="AD42" s="564"/>
      <c r="AE42" s="564"/>
      <c r="AF42" s="564"/>
      <c r="AG42" s="564"/>
      <c r="AH42" s="564"/>
      <c r="AI42" s="564"/>
      <c r="AJ42" s="564"/>
      <c r="AK42" s="564"/>
      <c r="AL42" s="564"/>
      <c r="AM42" s="564"/>
    </row>
    <row r="43" spans="2:39" s="200" customFormat="1" ht="13.15" customHeight="1" x14ac:dyDescent="0.2">
      <c r="B43" s="152" t="s">
        <v>1289</v>
      </c>
      <c r="C43" s="298">
        <v>0.01</v>
      </c>
      <c r="D43" s="564">
        <f>SUM(E43:AM43)</f>
        <v>840.87331346522569</v>
      </c>
      <c r="E43" s="564">
        <f>(($C$43*'02 - Evolução Populacional'!B47)/1000)*12</f>
        <v>22.812000000000001</v>
      </c>
      <c r="F43" s="564">
        <f>(($C$43*'02 - Evolução Populacional'!C47)/1000)*12</f>
        <v>22.98516</v>
      </c>
      <c r="G43" s="564">
        <f>(($C$43*'02 - Evolução Populacional'!D47)/1000)*12</f>
        <v>23.158320000000003</v>
      </c>
      <c r="H43" s="564">
        <f>(($C$43*'02 - Evolução Populacional'!E47)/1000)*12</f>
        <v>23.331479999999999</v>
      </c>
      <c r="I43" s="564">
        <f>(($C$43*'02 - Evolução Populacional'!F47)/1000)*12</f>
        <v>23.504640000000002</v>
      </c>
      <c r="J43" s="564">
        <f>(($C$43*'02 - Evolução Populacional'!G47)/1000)*12</f>
        <v>23.677800000000001</v>
      </c>
      <c r="K43" s="564">
        <f>(($C$43*'02 - Evolução Populacional'!H47)/1000)*12</f>
        <v>23.782920000000001</v>
      </c>
      <c r="L43" s="564">
        <f>(($C$43*'02 - Evolução Populacional'!I47)/1000)*12</f>
        <v>23.888040000000004</v>
      </c>
      <c r="M43" s="564">
        <f>(($C$43*'02 - Evolução Populacional'!J47)/1000)*12</f>
        <v>23.993040000000001</v>
      </c>
      <c r="N43" s="564">
        <f>(($C$43*'02 - Evolução Populacional'!K47)/1000)*12</f>
        <v>24.09816</v>
      </c>
      <c r="O43" s="564">
        <f>(($C$43*'02 - Evolução Populacional'!L47)/1000)*12</f>
        <v>24.203279999999999</v>
      </c>
      <c r="P43" s="564">
        <f>(($C$43*'02 - Evolução Populacional'!M47)/1000)*12</f>
        <v>24.259800000000002</v>
      </c>
      <c r="Q43" s="564">
        <f>(($C$43*'02 - Evolução Populacional'!N47)/1000)*12</f>
        <v>24.316319999999997</v>
      </c>
      <c r="R43" s="564">
        <f>(($C$43*'02 - Evolução Populacional'!O47)/1000)*12</f>
        <v>24.372840000000004</v>
      </c>
      <c r="S43" s="564">
        <f>(($C$43*'02 - Evolução Populacional'!P47)/1000)*12</f>
        <v>24.429359999999999</v>
      </c>
      <c r="T43" s="564">
        <f>(($C$43*'02 - Evolução Populacional'!Q47)/1000)*12</f>
        <v>24.485880000000002</v>
      </c>
      <c r="U43" s="564">
        <f>(($C$43*'02 - Evolução Populacional'!R47)/1000)*12</f>
        <v>24.490560000000002</v>
      </c>
      <c r="V43" s="564">
        <f>(($C$43*'02 - Evolução Populacional'!S47)/1000)*12</f>
        <v>24.495359999999998</v>
      </c>
      <c r="W43" s="564">
        <f>(($C$43*'02 - Evolução Populacional'!T47)/1000)*12</f>
        <v>24.500039999999998</v>
      </c>
      <c r="X43" s="564">
        <f>(($C$43*'02 - Evolução Populacional'!U47)/1000)*12</f>
        <v>24.504719999999999</v>
      </c>
      <c r="Y43" s="564">
        <f>(($C$43*'02 - Evolução Populacional'!V47)/1000)*12</f>
        <v>24.509520000000002</v>
      </c>
      <c r="Z43" s="564">
        <f>(($C$43*'02 - Evolução Populacional'!W47)/1000)*12</f>
        <v>24.469560000000001</v>
      </c>
      <c r="AA43" s="564">
        <f>(($C$43*'02 - Evolução Populacional'!X47)/1000)*12</f>
        <v>24.429600000000001</v>
      </c>
      <c r="AB43" s="564">
        <f>(($C$43*'02 - Evolução Populacional'!Y47)/1000)*12</f>
        <v>24.38964</v>
      </c>
      <c r="AC43" s="564">
        <f>(($C$43*'02 - Evolução Populacional'!Z47)/1000)*12</f>
        <v>24.349560000000004</v>
      </c>
      <c r="AD43" s="564">
        <f>(($C$43*'02 - Evolução Populacional'!AA47)/1000)*12</f>
        <v>24.309599999999996</v>
      </c>
      <c r="AE43" s="564">
        <f>(($C$43*'02 - Evolução Populacional'!AB47)/1000)*12</f>
        <v>24.22608</v>
      </c>
      <c r="AF43" s="564">
        <f>(($C$43*'02 - Evolução Populacional'!AC47)/1000)*12</f>
        <v>24.142560000000003</v>
      </c>
      <c r="AG43" s="564">
        <f>(($C$43*'02 - Evolução Populacional'!AD47)/1000)*12</f>
        <v>24.059040000000003</v>
      </c>
      <c r="AH43" s="564">
        <f>(($C$43*'02 - Evolução Populacional'!AE47)/1000)*12</f>
        <v>23.975639999999999</v>
      </c>
      <c r="AI43" s="564">
        <f>(($C$43*'02 - Evolução Populacional'!AF47)/1000)*12</f>
        <v>23.975584356246014</v>
      </c>
      <c r="AJ43" s="564">
        <f>(($C$43*'02 - Evolução Populacional'!AG47)/1000)*12</f>
        <v>23.892069040728732</v>
      </c>
      <c r="AK43" s="564">
        <f>(($C$43*'02 - Evolução Populacional'!AH47)/1000)*12</f>
        <v>23.75522453173949</v>
      </c>
      <c r="AL43" s="564">
        <f>(($C$43*'02 - Evolução Populacional'!AI47)/1000)*12</f>
        <v>23.618380022750248</v>
      </c>
      <c r="AM43" s="564">
        <f>(($C$43*'02 - Evolução Populacional'!AJ47)/1000)*12</f>
        <v>23.481535513761017</v>
      </c>
    </row>
    <row r="44" spans="2:39" s="200" customFormat="1" ht="13.15" customHeight="1" x14ac:dyDescent="0.2">
      <c r="B44" s="152"/>
      <c r="C44" s="298"/>
      <c r="D44" s="564"/>
      <c r="E44" s="564"/>
      <c r="F44" s="564"/>
      <c r="G44" s="564"/>
      <c r="H44" s="564"/>
      <c r="I44" s="564"/>
      <c r="J44" s="564"/>
      <c r="K44" s="564"/>
      <c r="L44" s="564"/>
      <c r="M44" s="564"/>
      <c r="N44" s="564"/>
      <c r="O44" s="564"/>
      <c r="P44" s="564"/>
      <c r="Q44" s="564"/>
      <c r="R44" s="564"/>
      <c r="S44" s="564"/>
      <c r="T44" s="564"/>
      <c r="U44" s="564"/>
      <c r="V44" s="564"/>
      <c r="W44" s="564"/>
      <c r="X44" s="564"/>
      <c r="Y44" s="564"/>
      <c r="Z44" s="564"/>
      <c r="AA44" s="564"/>
      <c r="AB44" s="564"/>
      <c r="AC44" s="564"/>
      <c r="AD44" s="564"/>
      <c r="AE44" s="564"/>
      <c r="AF44" s="564"/>
      <c r="AG44" s="564"/>
      <c r="AH44" s="564"/>
      <c r="AI44" s="564"/>
      <c r="AJ44" s="564"/>
      <c r="AK44" s="564"/>
      <c r="AL44" s="564"/>
      <c r="AM44" s="564"/>
    </row>
    <row r="45" spans="2:39" s="200" customFormat="1" ht="13.15" customHeight="1" x14ac:dyDescent="0.2">
      <c r="B45" s="152" t="s">
        <v>1293</v>
      </c>
      <c r="C45" s="298">
        <v>0.03</v>
      </c>
      <c r="D45" s="564">
        <f>SUM(E45:AM45)</f>
        <v>2522.6199403956766</v>
      </c>
      <c r="E45" s="564">
        <f>(($C$45*'02 - Evolução Populacional'!B47)/1000)*12</f>
        <v>68.436000000000007</v>
      </c>
      <c r="F45" s="564">
        <f>(($C$45*'02 - Evolução Populacional'!C47)/1000)*12</f>
        <v>68.955479999999994</v>
      </c>
      <c r="G45" s="564">
        <f>(($C$45*'02 - Evolução Populacional'!D47)/1000)*12</f>
        <v>69.474959999999996</v>
      </c>
      <c r="H45" s="564">
        <f>(($C$45*'02 - Evolução Populacional'!E47)/1000)*12</f>
        <v>69.994439999999997</v>
      </c>
      <c r="I45" s="564">
        <f>(($C$45*'02 - Evolução Populacional'!F47)/1000)*12</f>
        <v>70.513919999999999</v>
      </c>
      <c r="J45" s="564">
        <f>(($C$45*'02 - Evolução Populacional'!G47)/1000)*12</f>
        <v>71.0334</v>
      </c>
      <c r="K45" s="564">
        <f>(($C$45*'02 - Evolução Populacional'!H47)/1000)*12</f>
        <v>71.348759999999999</v>
      </c>
      <c r="L45" s="564">
        <f>(($C$45*'02 - Evolução Populacional'!I47)/1000)*12</f>
        <v>71.664119999999997</v>
      </c>
      <c r="M45" s="564">
        <f>(($C$45*'02 - Evolução Populacional'!J47)/1000)*12</f>
        <v>71.979119999999995</v>
      </c>
      <c r="N45" s="564">
        <f>(($C$45*'02 - Evolução Populacional'!K47)/1000)*12</f>
        <v>72.294479999999993</v>
      </c>
      <c r="O45" s="564">
        <f>(($C$45*'02 - Evolução Populacional'!L47)/1000)*12</f>
        <v>72.609839999999991</v>
      </c>
      <c r="P45" s="564">
        <f>(($C$45*'02 - Evolução Populacional'!M47)/1000)*12</f>
        <v>72.779399999999995</v>
      </c>
      <c r="Q45" s="564">
        <f>(($C$45*'02 - Evolução Populacional'!N47)/1000)*12</f>
        <v>72.94896</v>
      </c>
      <c r="R45" s="564">
        <f>(($C$45*'02 - Evolução Populacional'!O47)/1000)*12</f>
        <v>73.118520000000004</v>
      </c>
      <c r="S45" s="564">
        <f>(($C$45*'02 - Evolução Populacional'!P47)/1000)*12</f>
        <v>73.288079999999994</v>
      </c>
      <c r="T45" s="564">
        <f>(($C$45*'02 - Evolução Populacional'!Q47)/1000)*12</f>
        <v>73.457639999999998</v>
      </c>
      <c r="U45" s="564">
        <f>(($C$45*'02 - Evolução Populacional'!R47)/1000)*12</f>
        <v>73.471679999999992</v>
      </c>
      <c r="V45" s="564">
        <f>(($C$45*'02 - Evolução Populacional'!S47)/1000)*12</f>
        <v>73.486080000000001</v>
      </c>
      <c r="W45" s="564">
        <f>(($C$45*'02 - Evolução Populacional'!T47)/1000)*12</f>
        <v>73.50012000000001</v>
      </c>
      <c r="X45" s="564">
        <f>(($C$45*'02 - Evolução Populacional'!U47)/1000)*12</f>
        <v>73.514160000000004</v>
      </c>
      <c r="Y45" s="564">
        <f>(($C$45*'02 - Evolução Populacional'!V47)/1000)*12</f>
        <v>73.528559999999999</v>
      </c>
      <c r="Z45" s="564">
        <f>(($C$45*'02 - Evolução Populacional'!W47)/1000)*12</f>
        <v>73.40867999999999</v>
      </c>
      <c r="AA45" s="564">
        <f>(($C$45*'02 - Evolução Populacional'!X47)/1000)*12</f>
        <v>73.288799999999995</v>
      </c>
      <c r="AB45" s="564">
        <f>(($C$45*'02 - Evolução Populacional'!Y47)/1000)*12</f>
        <v>73.16892</v>
      </c>
      <c r="AC45" s="564">
        <f>(($C$45*'02 - Evolução Populacional'!Z47)/1000)*12</f>
        <v>73.04867999999999</v>
      </c>
      <c r="AD45" s="564">
        <f>(($C$45*'02 - Evolução Populacional'!AA47)/1000)*12</f>
        <v>72.928799999999995</v>
      </c>
      <c r="AE45" s="564">
        <f>(($C$45*'02 - Evolução Populacional'!AB47)/1000)*12</f>
        <v>72.678240000000002</v>
      </c>
      <c r="AF45" s="564">
        <f>(($C$45*'02 - Evolução Populacional'!AC47)/1000)*12</f>
        <v>72.427679999999981</v>
      </c>
      <c r="AG45" s="564">
        <f>(($C$45*'02 - Evolução Populacional'!AD47)/1000)*12</f>
        <v>72.177120000000002</v>
      </c>
      <c r="AH45" s="564">
        <f>(($C$45*'02 - Evolução Populacional'!AE47)/1000)*12</f>
        <v>71.926919999999996</v>
      </c>
      <c r="AI45" s="564">
        <f>(($C$45*'02 - Evolução Populacional'!AF47)/1000)*12</f>
        <v>71.926753068738037</v>
      </c>
      <c r="AJ45" s="564">
        <f>(($C$45*'02 - Evolução Populacional'!AG47)/1000)*12</f>
        <v>71.676207122186185</v>
      </c>
      <c r="AK45" s="564">
        <f>(($C$45*'02 - Evolução Populacional'!AH47)/1000)*12</f>
        <v>71.265673595218473</v>
      </c>
      <c r="AL45" s="564">
        <f>(($C$45*'02 - Evolução Populacional'!AI47)/1000)*12</f>
        <v>70.855140068250762</v>
      </c>
      <c r="AM45" s="564">
        <f>(($C$45*'02 - Evolução Populacional'!AJ47)/1000)*12</f>
        <v>70.444606541283051</v>
      </c>
    </row>
    <row r="47" spans="2:39" ht="13.15" customHeight="1" x14ac:dyDescent="0.2">
      <c r="B47" s="403"/>
      <c r="C47" s="411"/>
      <c r="D47" s="565">
        <f t="shared" ref="D47:AL47" si="0">SUM(D39:D45)</f>
        <v>7567.8598211870303</v>
      </c>
      <c r="E47" s="565">
        <f t="shared" si="0"/>
        <v>205.30800000000002</v>
      </c>
      <c r="F47" s="565">
        <f t="shared" si="0"/>
        <v>206.86643999999998</v>
      </c>
      <c r="G47" s="565">
        <f t="shared" si="0"/>
        <v>208.42488000000003</v>
      </c>
      <c r="H47" s="565">
        <f t="shared" si="0"/>
        <v>209.98331999999999</v>
      </c>
      <c r="I47" s="565">
        <f t="shared" si="0"/>
        <v>211.54176000000001</v>
      </c>
      <c r="J47" s="565">
        <f t="shared" si="0"/>
        <v>213.1002</v>
      </c>
      <c r="K47" s="565">
        <f t="shared" si="0"/>
        <v>214.04628</v>
      </c>
      <c r="L47" s="565">
        <f t="shared" si="0"/>
        <v>214.99235999999999</v>
      </c>
      <c r="M47" s="565">
        <f t="shared" si="0"/>
        <v>215.93735999999998</v>
      </c>
      <c r="N47" s="565">
        <f t="shared" si="0"/>
        <v>216.88343999999998</v>
      </c>
      <c r="O47" s="565">
        <f t="shared" si="0"/>
        <v>217.82951999999997</v>
      </c>
      <c r="P47" s="565">
        <f t="shared" si="0"/>
        <v>218.33820000000003</v>
      </c>
      <c r="Q47" s="565">
        <f t="shared" si="0"/>
        <v>218.84688</v>
      </c>
      <c r="R47" s="565">
        <f t="shared" si="0"/>
        <v>219.35556000000003</v>
      </c>
      <c r="S47" s="565">
        <f t="shared" si="0"/>
        <v>219.86424</v>
      </c>
      <c r="T47" s="565">
        <f t="shared" si="0"/>
        <v>220.37291999999999</v>
      </c>
      <c r="U47" s="565">
        <f t="shared" si="0"/>
        <v>220.41503999999998</v>
      </c>
      <c r="V47" s="565">
        <f t="shared" si="0"/>
        <v>220.45823999999999</v>
      </c>
      <c r="W47" s="565">
        <f t="shared" si="0"/>
        <v>220.50036000000003</v>
      </c>
      <c r="X47" s="565">
        <f t="shared" si="0"/>
        <v>220.54248000000001</v>
      </c>
      <c r="Y47" s="565">
        <f t="shared" si="0"/>
        <v>220.58568</v>
      </c>
      <c r="Z47" s="565">
        <f t="shared" si="0"/>
        <v>220.22604000000001</v>
      </c>
      <c r="AA47" s="565">
        <f t="shared" si="0"/>
        <v>219.8664</v>
      </c>
      <c r="AB47" s="565">
        <f t="shared" si="0"/>
        <v>219.50675999999999</v>
      </c>
      <c r="AC47" s="565">
        <f t="shared" si="0"/>
        <v>219.14604</v>
      </c>
      <c r="AD47" s="565">
        <f t="shared" si="0"/>
        <v>218.78639999999999</v>
      </c>
      <c r="AE47" s="565">
        <f t="shared" si="0"/>
        <v>218.03471999999999</v>
      </c>
      <c r="AF47" s="565">
        <f t="shared" si="0"/>
        <v>217.28303999999997</v>
      </c>
      <c r="AG47" s="565">
        <f t="shared" si="0"/>
        <v>216.53136000000001</v>
      </c>
      <c r="AH47" s="565">
        <f t="shared" si="0"/>
        <v>215.78075999999999</v>
      </c>
      <c r="AI47" s="565">
        <f t="shared" si="0"/>
        <v>215.78025920621411</v>
      </c>
      <c r="AJ47" s="565">
        <f t="shared" si="0"/>
        <v>215.02862136655855</v>
      </c>
      <c r="AK47" s="565">
        <f t="shared" si="0"/>
        <v>213.79702078565543</v>
      </c>
      <c r="AL47" s="565">
        <f t="shared" si="0"/>
        <v>212.56542020475226</v>
      </c>
      <c r="AM47" s="565">
        <f>SUM(AM39:AM45)</f>
        <v>211.33381962384914</v>
      </c>
    </row>
  </sheetData>
  <mergeCells count="2">
    <mergeCell ref="G4:I10"/>
    <mergeCell ref="B30:B32"/>
  </mergeCells>
  <pageMargins left="0.7" right="0.7" top="0.75" bottom="0.75" header="0.3" footer="0.3"/>
  <pageSetup paperSize="9" scale="39" orientation="landscape" r:id="rId1"/>
  <colBreaks count="1" manualBreakCount="1">
    <brk id="3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Planilha21"/>
  <dimension ref="B2:G53"/>
  <sheetViews>
    <sheetView showGridLines="0" tabSelected="1" zoomScale="160" zoomScaleNormal="160" workbookViewId="0">
      <selection activeCell="B11" sqref="B11:F11"/>
    </sheetView>
  </sheetViews>
  <sheetFormatPr defaultRowHeight="13.15" customHeight="1" x14ac:dyDescent="0.2"/>
  <cols>
    <col min="1" max="1" width="13.42578125" bestFit="1" customWidth="1"/>
    <col min="2" max="2" width="5" bestFit="1" customWidth="1"/>
    <col min="3" max="3" width="42.7109375" bestFit="1" customWidth="1"/>
    <col min="4" max="4" width="8.7109375" bestFit="1" customWidth="1"/>
    <col min="5" max="5" width="11.7109375" bestFit="1" customWidth="1"/>
    <col min="6" max="6" width="18.7109375" bestFit="1" customWidth="1"/>
    <col min="7" max="7" width="18" customWidth="1"/>
    <col min="9" max="9" width="8.7109375" customWidth="1"/>
    <col min="10" max="12" width="9.28515625" bestFit="1" customWidth="1"/>
    <col min="13" max="14" width="15.28515625" customWidth="1"/>
    <col min="15" max="18" width="8.7109375" customWidth="1"/>
  </cols>
  <sheetData>
    <row r="2" spans="2:7" ht="13.15" customHeight="1" thickBot="1" x14ac:dyDescent="0.25">
      <c r="B2" s="725" t="s">
        <v>1296</v>
      </c>
      <c r="C2" s="726"/>
      <c r="D2" s="726"/>
      <c r="E2" s="726"/>
      <c r="F2" s="726"/>
      <c r="G2" s="727"/>
    </row>
    <row r="3" spans="2:7" ht="13.15" customHeight="1" thickBot="1" x14ac:dyDescent="0.25">
      <c r="B3" s="175" t="s">
        <v>1131</v>
      </c>
      <c r="C3" s="175" t="s">
        <v>1132</v>
      </c>
      <c r="D3" s="176" t="s">
        <v>1133</v>
      </c>
      <c r="E3" s="176" t="s">
        <v>1134</v>
      </c>
      <c r="F3" s="176" t="s">
        <v>1135</v>
      </c>
      <c r="G3" s="177" t="s">
        <v>1136</v>
      </c>
    </row>
    <row r="4" spans="2:7" ht="13.15" customHeight="1" x14ac:dyDescent="0.2">
      <c r="B4" s="728" t="s">
        <v>1297</v>
      </c>
      <c r="C4" s="729"/>
      <c r="D4" s="729"/>
      <c r="E4" s="729"/>
      <c r="F4" s="729"/>
      <c r="G4" s="730"/>
    </row>
    <row r="5" spans="2:7" ht="13.15" customHeight="1" x14ac:dyDescent="0.2">
      <c r="B5" s="178" t="s">
        <v>1139</v>
      </c>
      <c r="C5" s="731" t="s">
        <v>1140</v>
      </c>
      <c r="D5" s="732"/>
      <c r="E5" s="732"/>
      <c r="F5" s="732"/>
      <c r="G5" s="733"/>
    </row>
    <row r="6" spans="2:7" ht="13.15" customHeight="1" x14ac:dyDescent="0.2">
      <c r="B6" s="179" t="s">
        <v>7</v>
      </c>
      <c r="C6" s="180" t="s">
        <v>1580</v>
      </c>
      <c r="D6" s="181" t="s">
        <v>1298</v>
      </c>
      <c r="E6" s="182">
        <v>120</v>
      </c>
      <c r="F6" s="183">
        <v>210</v>
      </c>
      <c r="G6" s="184">
        <f>E6*F6</f>
        <v>25200</v>
      </c>
    </row>
    <row r="7" spans="2:7" ht="13.15" customHeight="1" x14ac:dyDescent="0.2">
      <c r="B7" s="179" t="s">
        <v>11</v>
      </c>
      <c r="C7" s="180" t="s">
        <v>1581</v>
      </c>
      <c r="D7" s="181" t="s">
        <v>1298</v>
      </c>
      <c r="E7" s="182">
        <v>160</v>
      </c>
      <c r="F7" s="183">
        <v>110</v>
      </c>
      <c r="G7" s="184">
        <f>E7*F7</f>
        <v>17600</v>
      </c>
    </row>
    <row r="8" spans="2:7" ht="13.15" customHeight="1" x14ac:dyDescent="0.2">
      <c r="B8" s="179" t="s">
        <v>15</v>
      </c>
      <c r="C8" s="180" t="s">
        <v>867</v>
      </c>
      <c r="D8" s="181" t="s">
        <v>1298</v>
      </c>
      <c r="E8" s="182">
        <v>160</v>
      </c>
      <c r="F8" s="183">
        <v>77</v>
      </c>
      <c r="G8" s="184">
        <f>E8*F8</f>
        <v>12320</v>
      </c>
    </row>
    <row r="9" spans="2:7" ht="13.15" customHeight="1" x14ac:dyDescent="0.2">
      <c r="B9" s="179" t="s">
        <v>18</v>
      </c>
      <c r="C9" s="180" t="s">
        <v>1582</v>
      </c>
      <c r="D9" s="181" t="s">
        <v>1298</v>
      </c>
      <c r="E9" s="182">
        <v>40</v>
      </c>
      <c r="F9" s="183">
        <v>14</v>
      </c>
      <c r="G9" s="184">
        <f>E9*F9</f>
        <v>560</v>
      </c>
    </row>
    <row r="10" spans="2:7" ht="13.15" customHeight="1" x14ac:dyDescent="0.2">
      <c r="B10" s="179" t="s">
        <v>20</v>
      </c>
      <c r="C10" s="180" t="s">
        <v>1299</v>
      </c>
      <c r="D10" s="181" t="s">
        <v>1298</v>
      </c>
      <c r="E10" s="182">
        <v>160</v>
      </c>
      <c r="F10" s="183">
        <v>77</v>
      </c>
      <c r="G10" s="184">
        <f>E10*F10</f>
        <v>12320</v>
      </c>
    </row>
    <row r="11" spans="2:7" ht="13.15" customHeight="1" x14ac:dyDescent="0.2">
      <c r="B11" s="714" t="s">
        <v>1152</v>
      </c>
      <c r="C11" s="715"/>
      <c r="D11" s="715"/>
      <c r="E11" s="715"/>
      <c r="F11" s="715"/>
      <c r="G11" s="185">
        <f>SUM(G6:G10)</f>
        <v>68000</v>
      </c>
    </row>
    <row r="12" spans="2:7" ht="13.15" customHeight="1" x14ac:dyDescent="0.2">
      <c r="B12" s="716" t="s">
        <v>1154</v>
      </c>
      <c r="C12" s="717"/>
      <c r="D12" s="717"/>
      <c r="E12" s="717"/>
      <c r="F12" s="717"/>
      <c r="G12" s="718"/>
    </row>
    <row r="13" spans="2:7" ht="13.15" customHeight="1" x14ac:dyDescent="0.2">
      <c r="B13" s="186" t="s">
        <v>55</v>
      </c>
      <c r="C13" s="722" t="s">
        <v>1300</v>
      </c>
      <c r="D13" s="723"/>
      <c r="E13" s="724"/>
      <c r="F13" s="187">
        <v>0</v>
      </c>
      <c r="G13" s="184"/>
    </row>
    <row r="14" spans="2:7" ht="13.15" customHeight="1" x14ac:dyDescent="0.2">
      <c r="B14" s="714" t="s">
        <v>1158</v>
      </c>
      <c r="C14" s="715"/>
      <c r="D14" s="715"/>
      <c r="E14" s="715"/>
      <c r="F14" s="715"/>
      <c r="G14" s="185">
        <f>G13</f>
        <v>0</v>
      </c>
    </row>
    <row r="15" spans="2:7" ht="13.15" customHeight="1" x14ac:dyDescent="0.2">
      <c r="B15" s="716" t="s">
        <v>1301</v>
      </c>
      <c r="C15" s="717"/>
      <c r="D15" s="717"/>
      <c r="E15" s="717"/>
      <c r="F15" s="717"/>
      <c r="G15" s="718"/>
    </row>
    <row r="16" spans="2:7" ht="13.15" customHeight="1" x14ac:dyDescent="0.2">
      <c r="B16" s="186" t="s">
        <v>73</v>
      </c>
      <c r="C16" s="722" t="s">
        <v>1302</v>
      </c>
      <c r="D16" s="723"/>
      <c r="E16" s="724"/>
      <c r="F16" s="187">
        <v>0.1</v>
      </c>
      <c r="G16" s="184">
        <f>ROUND(G11*F16,2)</f>
        <v>6800</v>
      </c>
    </row>
    <row r="17" spans="2:7" ht="13.15" customHeight="1" x14ac:dyDescent="0.2">
      <c r="B17" s="714" t="s">
        <v>1165</v>
      </c>
      <c r="C17" s="715"/>
      <c r="D17" s="715"/>
      <c r="E17" s="715"/>
      <c r="F17" s="715"/>
      <c r="G17" s="185">
        <f>G16</f>
        <v>6800</v>
      </c>
    </row>
    <row r="18" spans="2:7" ht="13.15" customHeight="1" x14ac:dyDescent="0.2">
      <c r="B18" s="716" t="s">
        <v>1303</v>
      </c>
      <c r="C18" s="717"/>
      <c r="D18" s="717"/>
      <c r="E18" s="717"/>
      <c r="F18" s="717"/>
      <c r="G18" s="718"/>
    </row>
    <row r="19" spans="2:7" ht="13.15" customHeight="1" x14ac:dyDescent="0.2">
      <c r="B19" s="186" t="s">
        <v>91</v>
      </c>
      <c r="C19" s="188" t="s">
        <v>1304</v>
      </c>
      <c r="D19" s="181" t="s">
        <v>1305</v>
      </c>
      <c r="E19" s="189">
        <f>50*22</f>
        <v>1100</v>
      </c>
      <c r="F19" s="183">
        <f>2</f>
        <v>2</v>
      </c>
      <c r="G19" s="184">
        <f>E19*F19</f>
        <v>2200</v>
      </c>
    </row>
    <row r="20" spans="2:7" ht="13.15" customHeight="1" x14ac:dyDescent="0.2">
      <c r="B20" s="186" t="s">
        <v>94</v>
      </c>
      <c r="C20" s="188" t="s">
        <v>1306</v>
      </c>
      <c r="D20" s="181" t="s">
        <v>1307</v>
      </c>
      <c r="E20" s="190"/>
      <c r="F20" s="183"/>
      <c r="G20" s="184"/>
    </row>
    <row r="21" spans="2:7" ht="13.15" customHeight="1" x14ac:dyDescent="0.2">
      <c r="B21" s="186" t="s">
        <v>96</v>
      </c>
      <c r="C21" s="188" t="s">
        <v>1308</v>
      </c>
      <c r="D21" s="181" t="s">
        <v>1309</v>
      </c>
      <c r="E21" s="190"/>
      <c r="F21" s="183"/>
      <c r="G21" s="184"/>
    </row>
    <row r="22" spans="2:7" ht="13.15" customHeight="1" x14ac:dyDescent="0.2">
      <c r="B22" s="186" t="s">
        <v>1169</v>
      </c>
      <c r="C22" s="188" t="s">
        <v>1310</v>
      </c>
      <c r="D22" s="181"/>
      <c r="E22" s="190"/>
      <c r="F22" s="183"/>
      <c r="G22" s="184"/>
    </row>
    <row r="23" spans="2:7" ht="13.15" customHeight="1" x14ac:dyDescent="0.2">
      <c r="B23" s="714" t="s">
        <v>1171</v>
      </c>
      <c r="C23" s="715"/>
      <c r="D23" s="715"/>
      <c r="E23" s="715"/>
      <c r="F23" s="715"/>
      <c r="G23" s="185">
        <f>SUM(G19:G22)</f>
        <v>2200</v>
      </c>
    </row>
    <row r="24" spans="2:7" ht="13.15" customHeight="1" x14ac:dyDescent="0.2">
      <c r="B24" s="716" t="s">
        <v>1311</v>
      </c>
      <c r="C24" s="717"/>
      <c r="D24" s="717"/>
      <c r="E24" s="717"/>
      <c r="F24" s="717"/>
      <c r="G24" s="718"/>
    </row>
    <row r="25" spans="2:7" ht="13.15" customHeight="1" x14ac:dyDescent="0.2">
      <c r="B25" s="179" t="s">
        <v>176</v>
      </c>
      <c r="C25" s="191" t="s">
        <v>1312</v>
      </c>
      <c r="D25" s="181" t="s">
        <v>1185</v>
      </c>
      <c r="E25" s="190">
        <v>1</v>
      </c>
      <c r="F25" s="183">
        <v>3000</v>
      </c>
      <c r="G25" s="184">
        <f>E25*F25</f>
        <v>3000</v>
      </c>
    </row>
    <row r="26" spans="2:7" ht="13.15" customHeight="1" x14ac:dyDescent="0.2">
      <c r="B26" s="714" t="s">
        <v>1180</v>
      </c>
      <c r="C26" s="715"/>
      <c r="D26" s="715"/>
      <c r="E26" s="715"/>
      <c r="F26" s="715"/>
      <c r="G26" s="185">
        <f>SUM(G25:G25)</f>
        <v>3000</v>
      </c>
    </row>
    <row r="27" spans="2:7" ht="13.15" customHeight="1" x14ac:dyDescent="0.2">
      <c r="B27" s="716" t="s">
        <v>1313</v>
      </c>
      <c r="C27" s="717"/>
      <c r="D27" s="717"/>
      <c r="E27" s="717"/>
      <c r="F27" s="717"/>
      <c r="G27" s="718"/>
    </row>
    <row r="28" spans="2:7" ht="13.15" customHeight="1" x14ac:dyDescent="0.2">
      <c r="B28" s="186" t="s">
        <v>205</v>
      </c>
      <c r="C28" s="188" t="s">
        <v>1314</v>
      </c>
      <c r="D28" s="181" t="s">
        <v>1185</v>
      </c>
      <c r="E28" s="190"/>
      <c r="F28" s="183">
        <v>0</v>
      </c>
      <c r="G28" s="184">
        <f>E28*F28</f>
        <v>0</v>
      </c>
    </row>
    <row r="29" spans="2:7" ht="13.15" customHeight="1" x14ac:dyDescent="0.2">
      <c r="B29" s="186" t="s">
        <v>208</v>
      </c>
      <c r="C29" s="188" t="s">
        <v>1186</v>
      </c>
      <c r="D29" s="181" t="s">
        <v>1185</v>
      </c>
      <c r="E29" s="190"/>
      <c r="F29" s="183">
        <v>300</v>
      </c>
      <c r="G29" s="184">
        <f>E29*F29</f>
        <v>0</v>
      </c>
    </row>
    <row r="30" spans="2:7" ht="13.15" customHeight="1" x14ac:dyDescent="0.2">
      <c r="B30" s="186" t="s">
        <v>210</v>
      </c>
      <c r="C30" s="188" t="s">
        <v>1315</v>
      </c>
      <c r="D30" s="181" t="s">
        <v>1185</v>
      </c>
      <c r="E30" s="190"/>
      <c r="F30" s="183">
        <v>350</v>
      </c>
      <c r="G30" s="184">
        <f>E30*F30</f>
        <v>0</v>
      </c>
    </row>
    <row r="31" spans="2:7" ht="13.15" customHeight="1" x14ac:dyDescent="0.2">
      <c r="B31" s="714" t="s">
        <v>1316</v>
      </c>
      <c r="C31" s="715"/>
      <c r="D31" s="715"/>
      <c r="E31" s="715"/>
      <c r="F31" s="715"/>
      <c r="G31" s="185">
        <f>SUM(G28:G30)</f>
        <v>0</v>
      </c>
    </row>
    <row r="32" spans="2:7" ht="13.15" customHeight="1" x14ac:dyDescent="0.2">
      <c r="B32" s="716" t="s">
        <v>1317</v>
      </c>
      <c r="C32" s="717"/>
      <c r="D32" s="717"/>
      <c r="E32" s="717"/>
      <c r="F32" s="717"/>
      <c r="G32" s="718"/>
    </row>
    <row r="33" spans="2:7" ht="13.15" customHeight="1" x14ac:dyDescent="0.2">
      <c r="B33" s="186" t="s">
        <v>229</v>
      </c>
      <c r="C33" s="188" t="s">
        <v>1318</v>
      </c>
      <c r="D33" s="181" t="s">
        <v>1185</v>
      </c>
      <c r="E33" s="190">
        <v>1</v>
      </c>
      <c r="F33" s="183">
        <v>0</v>
      </c>
      <c r="G33" s="184">
        <f>E33*F33</f>
        <v>0</v>
      </c>
    </row>
    <row r="34" spans="2:7" ht="13.15" customHeight="1" x14ac:dyDescent="0.2">
      <c r="B34" s="714" t="s">
        <v>1192</v>
      </c>
      <c r="C34" s="715"/>
      <c r="D34" s="715"/>
      <c r="E34" s="715"/>
      <c r="F34" s="715"/>
      <c r="G34" s="185">
        <f>SUM(G33:G33)</f>
        <v>0</v>
      </c>
    </row>
    <row r="35" spans="2:7" ht="13.15" customHeight="1" x14ac:dyDescent="0.2">
      <c r="B35" s="716" t="s">
        <v>1319</v>
      </c>
      <c r="C35" s="717"/>
      <c r="D35" s="717"/>
      <c r="E35" s="717"/>
      <c r="F35" s="717"/>
      <c r="G35" s="718"/>
    </row>
    <row r="36" spans="2:7" ht="13.15" customHeight="1" x14ac:dyDescent="0.2">
      <c r="B36" s="186" t="s">
        <v>309</v>
      </c>
      <c r="C36" s="188" t="s">
        <v>1320</v>
      </c>
      <c r="D36" s="181" t="s">
        <v>1321</v>
      </c>
      <c r="E36" s="190">
        <f>69000*12</f>
        <v>828000</v>
      </c>
      <c r="F36" s="183">
        <v>0</v>
      </c>
      <c r="G36" s="184">
        <f>E36*F36/12</f>
        <v>0</v>
      </c>
    </row>
    <row r="37" spans="2:7" ht="13.15" customHeight="1" x14ac:dyDescent="0.2">
      <c r="B37" s="186" t="s">
        <v>356</v>
      </c>
      <c r="C37" s="188"/>
      <c r="D37" s="181" t="s">
        <v>1321</v>
      </c>
      <c r="E37" s="190">
        <v>1</v>
      </c>
      <c r="F37" s="183"/>
      <c r="G37" s="184">
        <f>E37*F37</f>
        <v>0</v>
      </c>
    </row>
    <row r="38" spans="2:7" ht="13.15" customHeight="1" x14ac:dyDescent="0.2">
      <c r="B38" s="186" t="s">
        <v>417</v>
      </c>
      <c r="C38" s="188"/>
      <c r="D38" s="181" t="s">
        <v>1321</v>
      </c>
      <c r="E38" s="190">
        <v>1</v>
      </c>
      <c r="F38" s="183"/>
      <c r="G38" s="184">
        <f>E38*F38</f>
        <v>0</v>
      </c>
    </row>
    <row r="39" spans="2:7" ht="13.15" customHeight="1" x14ac:dyDescent="0.2">
      <c r="B39" s="714" t="s">
        <v>1195</v>
      </c>
      <c r="C39" s="715"/>
      <c r="D39" s="715"/>
      <c r="E39" s="715"/>
      <c r="F39" s="715"/>
      <c r="G39" s="185">
        <f>SUM(G36:G38)</f>
        <v>0</v>
      </c>
    </row>
    <row r="40" spans="2:7" ht="13.15" customHeight="1" x14ac:dyDescent="0.2">
      <c r="B40" s="714" t="s">
        <v>1322</v>
      </c>
      <c r="C40" s="715"/>
      <c r="D40" s="715"/>
      <c r="E40" s="715"/>
      <c r="F40" s="715"/>
      <c r="G40" s="185">
        <f>G11+G14+G17+G23+G26+G31+G34+G39</f>
        <v>80000</v>
      </c>
    </row>
    <row r="41" spans="2:7" ht="13.15" customHeight="1" x14ac:dyDescent="0.2">
      <c r="B41" s="716" t="s">
        <v>1323</v>
      </c>
      <c r="C41" s="717"/>
      <c r="D41" s="717"/>
      <c r="E41" s="717"/>
      <c r="F41" s="717"/>
      <c r="G41" s="718"/>
    </row>
    <row r="42" spans="2:7" ht="13.15" customHeight="1" x14ac:dyDescent="0.2">
      <c r="B42" s="186" t="s">
        <v>610</v>
      </c>
      <c r="C42" s="719" t="s">
        <v>1324</v>
      </c>
      <c r="D42" s="720"/>
      <c r="E42" s="721"/>
      <c r="F42" s="187">
        <v>0.15</v>
      </c>
      <c r="G42" s="184">
        <f>ROUND(G40*F42,2)</f>
        <v>12000</v>
      </c>
    </row>
    <row r="43" spans="2:7" ht="13.15" customHeight="1" x14ac:dyDescent="0.2">
      <c r="B43" s="186" t="s">
        <v>610</v>
      </c>
      <c r="C43" s="719"/>
      <c r="D43" s="720"/>
      <c r="E43" s="721"/>
      <c r="F43" s="187"/>
      <c r="G43" s="184"/>
    </row>
    <row r="44" spans="2:7" ht="13.15" customHeight="1" x14ac:dyDescent="0.2">
      <c r="B44" s="714" t="s">
        <v>1195</v>
      </c>
      <c r="C44" s="715"/>
      <c r="D44" s="715"/>
      <c r="E44" s="715"/>
      <c r="F44" s="715"/>
      <c r="G44" s="185">
        <f>G42+G43</f>
        <v>12000</v>
      </c>
    </row>
    <row r="45" spans="2:7" ht="13.15" customHeight="1" x14ac:dyDescent="0.2">
      <c r="B45" s="714" t="s">
        <v>1322</v>
      </c>
      <c r="C45" s="715"/>
      <c r="D45" s="715"/>
      <c r="E45" s="715"/>
      <c r="F45" s="715"/>
      <c r="G45" s="185">
        <f>G40+G44</f>
        <v>92000</v>
      </c>
    </row>
    <row r="46" spans="2:7" ht="13.15" customHeight="1" x14ac:dyDescent="0.2">
      <c r="B46" s="716" t="s">
        <v>1325</v>
      </c>
      <c r="C46" s="717"/>
      <c r="D46" s="717"/>
      <c r="E46" s="717"/>
      <c r="F46" s="717"/>
      <c r="G46" s="718"/>
    </row>
    <row r="47" spans="2:7" ht="13.15" customHeight="1" x14ac:dyDescent="0.2">
      <c r="B47" s="186" t="s">
        <v>637</v>
      </c>
      <c r="C47" s="722" t="s">
        <v>1326</v>
      </c>
      <c r="D47" s="723"/>
      <c r="E47" s="724"/>
      <c r="F47" s="187"/>
      <c r="G47" s="184">
        <f>(G45*((1/(1-F47))-1))</f>
        <v>0</v>
      </c>
    </row>
    <row r="48" spans="2:7" ht="13.15" customHeight="1" x14ac:dyDescent="0.2">
      <c r="B48" s="714" t="s">
        <v>1327</v>
      </c>
      <c r="C48" s="715"/>
      <c r="D48" s="715"/>
      <c r="E48" s="715"/>
      <c r="F48" s="715"/>
      <c r="G48" s="185">
        <f>G47</f>
        <v>0</v>
      </c>
    </row>
    <row r="49" spans="2:7" ht="13.15" customHeight="1" x14ac:dyDescent="0.2">
      <c r="B49" s="714" t="s">
        <v>1196</v>
      </c>
      <c r="C49" s="715"/>
      <c r="D49" s="715"/>
      <c r="E49" s="715"/>
      <c r="F49" s="715"/>
      <c r="G49" s="185">
        <f>ROUND(G45+G48,0)</f>
        <v>92000</v>
      </c>
    </row>
    <row r="50" spans="2:7" ht="13.15" customHeight="1" x14ac:dyDescent="0.2">
      <c r="B50" s="403"/>
      <c r="C50" s="403"/>
      <c r="D50" s="403"/>
      <c r="E50" s="566"/>
      <c r="F50" s="403"/>
      <c r="G50" s="403"/>
    </row>
    <row r="51" spans="2:7" ht="13.15" customHeight="1" x14ac:dyDescent="0.25">
      <c r="B51" s="403"/>
      <c r="C51" s="192"/>
      <c r="D51" s="403"/>
      <c r="E51" s="193"/>
      <c r="F51" s="194" t="s">
        <v>1197</v>
      </c>
      <c r="G51" s="195">
        <f>G49</f>
        <v>92000</v>
      </c>
    </row>
    <row r="52" spans="2:7" ht="13.15" customHeight="1" x14ac:dyDescent="0.25">
      <c r="B52" s="403"/>
      <c r="C52" s="403"/>
      <c r="D52" s="403"/>
      <c r="E52" s="196"/>
      <c r="F52" s="194"/>
      <c r="G52" s="195"/>
    </row>
    <row r="53" spans="2:7" ht="13.15" customHeight="1" x14ac:dyDescent="0.25">
      <c r="B53" s="403"/>
      <c r="C53" s="403"/>
      <c r="D53" s="403"/>
      <c r="E53" s="403"/>
      <c r="F53" s="192" t="s">
        <v>1198</v>
      </c>
      <c r="G53" s="195">
        <f>G51*12</f>
        <v>1104000</v>
      </c>
    </row>
  </sheetData>
  <mergeCells count="30">
    <mergeCell ref="C13:E13"/>
    <mergeCell ref="B2:G2"/>
    <mergeCell ref="B4:G4"/>
    <mergeCell ref="C5:G5"/>
    <mergeCell ref="B11:F11"/>
    <mergeCell ref="B12:G12"/>
    <mergeCell ref="B34:F34"/>
    <mergeCell ref="B14:F14"/>
    <mergeCell ref="B15:G15"/>
    <mergeCell ref="C16:E16"/>
    <mergeCell ref="B17:F17"/>
    <mergeCell ref="B18:G18"/>
    <mergeCell ref="B23:F23"/>
    <mergeCell ref="B24:G24"/>
    <mergeCell ref="B26:F26"/>
    <mergeCell ref="B27:G27"/>
    <mergeCell ref="B31:F31"/>
    <mergeCell ref="B32:G32"/>
    <mergeCell ref="B49:F49"/>
    <mergeCell ref="B35:G35"/>
    <mergeCell ref="B39:F39"/>
    <mergeCell ref="B40:F40"/>
    <mergeCell ref="B41:G41"/>
    <mergeCell ref="C42:E42"/>
    <mergeCell ref="C43:E43"/>
    <mergeCell ref="B44:F44"/>
    <mergeCell ref="B45:F45"/>
    <mergeCell ref="B46:G46"/>
    <mergeCell ref="C47:E47"/>
    <mergeCell ref="B48:F48"/>
  </mergeCells>
  <pageMargins left="0.7" right="0.7" top="0.75" bottom="0.75" header="0.3" footer="0.3"/>
  <pageSetup paperSize="9" scale="5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Planilha25"/>
  <dimension ref="B2:AN200"/>
  <sheetViews>
    <sheetView showGridLines="0" zoomScale="85" zoomScaleNormal="85" workbookViewId="0">
      <selection activeCell="B4" sqref="B4"/>
    </sheetView>
  </sheetViews>
  <sheetFormatPr defaultColWidth="8.7109375" defaultRowHeight="13.15" customHeight="1" outlineLevelRow="1" x14ac:dyDescent="0.2"/>
  <cols>
    <col min="1" max="1" width="3.7109375" style="403" customWidth="1"/>
    <col min="2" max="2" width="64.7109375" style="403" bestFit="1" customWidth="1"/>
    <col min="3" max="3" width="11.28515625" style="419" customWidth="1"/>
    <col min="4" max="4" width="11.28515625" style="403" bestFit="1" customWidth="1"/>
    <col min="5" max="5" width="12.28515625" style="403" bestFit="1" customWidth="1"/>
    <col min="6" max="6" width="11.5703125" style="403" bestFit="1" customWidth="1"/>
    <col min="7" max="10" width="10.5703125" style="403" bestFit="1" customWidth="1"/>
    <col min="11" max="14" width="10.7109375" style="403" bestFit="1" customWidth="1"/>
    <col min="15" max="40" width="10.5703125" style="403" bestFit="1" customWidth="1"/>
    <col min="41" max="16384" width="8.7109375" style="403"/>
  </cols>
  <sheetData>
    <row r="2" spans="2:40" s="8" customFormat="1" ht="13.15" customHeight="1" x14ac:dyDescent="0.2">
      <c r="B2" s="385" t="s">
        <v>1328</v>
      </c>
      <c r="C2" s="169" t="s">
        <v>1329</v>
      </c>
      <c r="D2" s="169" t="s">
        <v>1330</v>
      </c>
      <c r="E2" s="169" t="s">
        <v>71</v>
      </c>
      <c r="F2" s="169" t="s">
        <v>1005</v>
      </c>
      <c r="G2" s="169" t="s">
        <v>1006</v>
      </c>
      <c r="H2" s="169" t="s">
        <v>1007</v>
      </c>
      <c r="I2" s="169" t="s">
        <v>1008</v>
      </c>
      <c r="J2" s="169" t="s">
        <v>1009</v>
      </c>
      <c r="K2" s="169" t="s">
        <v>1010</v>
      </c>
      <c r="L2" s="169" t="s">
        <v>1011</v>
      </c>
      <c r="M2" s="169" t="s">
        <v>1012</v>
      </c>
      <c r="N2" s="169" t="s">
        <v>1013</v>
      </c>
      <c r="O2" s="169" t="s">
        <v>1014</v>
      </c>
      <c r="P2" s="169" t="s">
        <v>1015</v>
      </c>
      <c r="Q2" s="169" t="s">
        <v>1016</v>
      </c>
      <c r="R2" s="169" t="s">
        <v>1017</v>
      </c>
      <c r="S2" s="169" t="s">
        <v>1018</v>
      </c>
      <c r="T2" s="169" t="s">
        <v>1019</v>
      </c>
      <c r="U2" s="169" t="s">
        <v>1020</v>
      </c>
      <c r="V2" s="169" t="s">
        <v>1021</v>
      </c>
      <c r="W2" s="169" t="s">
        <v>1022</v>
      </c>
      <c r="X2" s="169" t="s">
        <v>1023</v>
      </c>
      <c r="Y2" s="169" t="s">
        <v>1024</v>
      </c>
      <c r="Z2" s="169" t="s">
        <v>1025</v>
      </c>
      <c r="AA2" s="169" t="s">
        <v>1026</v>
      </c>
      <c r="AB2" s="169" t="s">
        <v>1027</v>
      </c>
      <c r="AC2" s="169" t="s">
        <v>1028</v>
      </c>
      <c r="AD2" s="169" t="s">
        <v>1029</v>
      </c>
      <c r="AE2" s="169" t="s">
        <v>1030</v>
      </c>
      <c r="AF2" s="169" t="s">
        <v>1031</v>
      </c>
      <c r="AG2" s="169" t="s">
        <v>1032</v>
      </c>
      <c r="AH2" s="169" t="s">
        <v>1033</v>
      </c>
      <c r="AI2" s="169" t="s">
        <v>1034</v>
      </c>
      <c r="AJ2" s="169" t="s">
        <v>1035</v>
      </c>
      <c r="AK2" s="169" t="s">
        <v>1036</v>
      </c>
      <c r="AL2" s="169" t="s">
        <v>1037</v>
      </c>
      <c r="AM2" s="169" t="s">
        <v>1038</v>
      </c>
      <c r="AN2" s="169" t="s">
        <v>1039</v>
      </c>
    </row>
    <row r="3" spans="2:40" s="8" customFormat="1" ht="13.15" customHeight="1" x14ac:dyDescent="0.2">
      <c r="B3" s="323" t="s">
        <v>1331</v>
      </c>
      <c r="C3" s="418"/>
      <c r="D3" s="386"/>
      <c r="E3" s="387">
        <f>SUM(E4:E12)</f>
        <v>5053520.7725</v>
      </c>
      <c r="F3" s="387">
        <f>SUM(F4:F12)</f>
        <v>815933.08349999983</v>
      </c>
      <c r="G3" s="387">
        <f t="shared" ref="G3:AN3" si="0">SUM(G4:G12)</f>
        <v>0</v>
      </c>
      <c r="H3" s="387">
        <f t="shared" si="0"/>
        <v>35563.031000000003</v>
      </c>
      <c r="I3" s="387">
        <f t="shared" si="0"/>
        <v>0</v>
      </c>
      <c r="J3" s="387">
        <f t="shared" si="0"/>
        <v>41391.493000000002</v>
      </c>
      <c r="K3" s="387">
        <f t="shared" si="0"/>
        <v>113967.7885</v>
      </c>
      <c r="L3" s="387">
        <f t="shared" si="0"/>
        <v>0</v>
      </c>
      <c r="M3" s="387">
        <f t="shared" si="0"/>
        <v>805024.18849999993</v>
      </c>
      <c r="N3" s="387">
        <f t="shared" si="0"/>
        <v>10908.895</v>
      </c>
      <c r="O3" s="387">
        <f t="shared" si="0"/>
        <v>32066.105499999998</v>
      </c>
      <c r="P3" s="387">
        <f t="shared" si="0"/>
        <v>35563.030999999995</v>
      </c>
      <c r="Q3" s="387">
        <f t="shared" si="0"/>
        <v>0</v>
      </c>
      <c r="R3" s="387">
        <f t="shared" si="0"/>
        <v>123293.17600000001</v>
      </c>
      <c r="S3" s="387">
        <f t="shared" si="0"/>
        <v>1583.5074999999999</v>
      </c>
      <c r="T3" s="387">
        <f t="shared" si="0"/>
        <v>799943.75549999997</v>
      </c>
      <c r="U3" s="387">
        <f t="shared" si="0"/>
        <v>35563.030999999995</v>
      </c>
      <c r="V3" s="387">
        <f t="shared" si="0"/>
        <v>10908.895</v>
      </c>
      <c r="W3" s="387">
        <f t="shared" si="0"/>
        <v>37146.538500000002</v>
      </c>
      <c r="X3" s="387">
        <f t="shared" si="0"/>
        <v>0</v>
      </c>
      <c r="Y3" s="387">
        <f t="shared" si="0"/>
        <v>107303.848</v>
      </c>
      <c r="Z3" s="387">
        <f t="shared" si="0"/>
        <v>46471.925999999992</v>
      </c>
      <c r="AA3" s="387">
        <f t="shared" si="0"/>
        <v>771044.66499999992</v>
      </c>
      <c r="AB3" s="387">
        <f t="shared" si="0"/>
        <v>35563.031000000003</v>
      </c>
      <c r="AC3" s="387">
        <f t="shared" si="0"/>
        <v>0</v>
      </c>
      <c r="AD3" s="387">
        <f t="shared" si="0"/>
        <v>41391.493000000002</v>
      </c>
      <c r="AE3" s="387">
        <f t="shared" si="0"/>
        <v>37146.538499999995</v>
      </c>
      <c r="AF3" s="387">
        <f t="shared" si="0"/>
        <v>76821.25</v>
      </c>
      <c r="AG3" s="387">
        <f t="shared" si="0"/>
        <v>35563.031000000003</v>
      </c>
      <c r="AH3" s="387">
        <f t="shared" si="0"/>
        <v>780370.05249999987</v>
      </c>
      <c r="AI3" s="387">
        <f t="shared" si="0"/>
        <v>32066.105499999998</v>
      </c>
      <c r="AJ3" s="387">
        <f t="shared" si="0"/>
        <v>35563.030999999995</v>
      </c>
      <c r="AK3" s="387">
        <f t="shared" si="0"/>
        <v>0</v>
      </c>
      <c r="AL3" s="387">
        <f t="shared" si="0"/>
        <v>46471.926000000007</v>
      </c>
      <c r="AM3" s="387">
        <f t="shared" si="0"/>
        <v>78404.757500000007</v>
      </c>
      <c r="AN3" s="387">
        <f t="shared" si="0"/>
        <v>30482.597999999998</v>
      </c>
    </row>
    <row r="4" spans="2:40" ht="13.15" customHeight="1" outlineLevel="1" x14ac:dyDescent="0.2">
      <c r="B4" s="400" t="s">
        <v>1332</v>
      </c>
      <c r="C4" s="418">
        <v>1</v>
      </c>
      <c r="D4" s="401" t="s">
        <v>1333</v>
      </c>
      <c r="E4" s="402">
        <f t="shared" ref="E4:E61" si="1">SUM(F4:AN4)</f>
        <v>1878906.25</v>
      </c>
      <c r="F4" s="402">
        <f>IF($D4="Sim",'14 - Investimentos'!E6*9.25%,0)</f>
        <v>300625</v>
      </c>
      <c r="G4" s="402">
        <f>IF($D4="Sim",'14 - Investimentos'!F6*9.25%,0)</f>
        <v>0</v>
      </c>
      <c r="H4" s="402">
        <f>IF($D4="Sim",'14 - Investimentos'!G6*9.25%,0)</f>
        <v>0</v>
      </c>
      <c r="I4" s="402">
        <f>IF($D4="Sim",'14 - Investimentos'!H6*9.25%,0)</f>
        <v>0</v>
      </c>
      <c r="J4" s="402">
        <f>IF($D4="Sim",'14 - Investimentos'!I6*9.25%,0)</f>
        <v>0</v>
      </c>
      <c r="K4" s="402">
        <f>IF($D4="Sim",'14 - Investimentos'!J6*9.25%,0)</f>
        <v>75156.25</v>
      </c>
      <c r="L4" s="402">
        <f>IF($D4="Sim",'14 - Investimentos'!K6*9.25%,0)</f>
        <v>0</v>
      </c>
      <c r="M4" s="402">
        <f>IF($D4="Sim",'14 - Investimentos'!L6*9.25%,0)</f>
        <v>300625</v>
      </c>
      <c r="N4" s="402">
        <f>IF($D4="Sim",'14 - Investimentos'!M6*9.25%,0)</f>
        <v>0</v>
      </c>
      <c r="O4" s="402">
        <f>IF($D4="Sim",'14 - Investimentos'!N6*9.25%,0)</f>
        <v>0</v>
      </c>
      <c r="P4" s="402">
        <f>IF($D4="Sim",'14 - Investimentos'!O6*9.25%,0)</f>
        <v>0</v>
      </c>
      <c r="Q4" s="402">
        <f>IF($D4="Sim",'14 - Investimentos'!P6*9.25%,0)</f>
        <v>0</v>
      </c>
      <c r="R4" s="402">
        <f>IF($D4="Sim",'14 - Investimentos'!Q6*9.25%,0)</f>
        <v>75156.25</v>
      </c>
      <c r="S4" s="402">
        <f>IF($D4="Sim",'14 - Investimentos'!R6*9.25%,0)</f>
        <v>0</v>
      </c>
      <c r="T4" s="402">
        <f>IF($D4="Sim",'14 - Investimentos'!S6*9.25%,0)</f>
        <v>300625</v>
      </c>
      <c r="U4" s="402">
        <f>IF($D4="Sim",'14 - Investimentos'!T6*9.25%,0)</f>
        <v>0</v>
      </c>
      <c r="V4" s="402">
        <f>IF($D4="Sim",'14 - Investimentos'!U6*9.25%,0)</f>
        <v>0</v>
      </c>
      <c r="W4" s="402">
        <f>IF($D4="Sim",'14 - Investimentos'!V6*9.25%,0)</f>
        <v>0</v>
      </c>
      <c r="X4" s="402">
        <f>IF($D4="Sim",'14 - Investimentos'!W6*9.25%,0)</f>
        <v>0</v>
      </c>
      <c r="Y4" s="402">
        <f>IF($D4="Sim",'14 - Investimentos'!X6*9.25%,0)</f>
        <v>75156.25</v>
      </c>
      <c r="Z4" s="402">
        <f>IF($D4="Sim",'14 - Investimentos'!Y6*9.25%,0)</f>
        <v>0</v>
      </c>
      <c r="AA4" s="402">
        <f>IF($D4="Sim",'14 - Investimentos'!Z6*9.25%,0)</f>
        <v>300625</v>
      </c>
      <c r="AB4" s="402">
        <f>IF($D4="Sim",'14 - Investimentos'!AA6*9.25%,0)</f>
        <v>0</v>
      </c>
      <c r="AC4" s="402">
        <f>IF($D4="Sim",'14 - Investimentos'!AB6*9.25%,0)</f>
        <v>0</v>
      </c>
      <c r="AD4" s="402">
        <f>IF($D4="Sim",'14 - Investimentos'!AC6*9.25%,0)</f>
        <v>0</v>
      </c>
      <c r="AE4" s="402">
        <f>IF($D4="Sim",'14 - Investimentos'!AD6*9.25%,0)</f>
        <v>0</v>
      </c>
      <c r="AF4" s="402">
        <f>IF($D4="Sim",'14 - Investimentos'!AE6*9.25%,0)</f>
        <v>75156.25</v>
      </c>
      <c r="AG4" s="402">
        <f>IF($D4="Sim",'14 - Investimentos'!AF6*9.25%,0)</f>
        <v>0</v>
      </c>
      <c r="AH4" s="402">
        <f>IF($D4="Sim",'14 - Investimentos'!AG6*9.25%,0)</f>
        <v>300625</v>
      </c>
      <c r="AI4" s="402">
        <f>IF($D4="Sim",'14 - Investimentos'!AH6*9.25%,0)</f>
        <v>0</v>
      </c>
      <c r="AJ4" s="402">
        <f>IF($D4="Sim",'14 - Investimentos'!AI6*9.25%,0)</f>
        <v>0</v>
      </c>
      <c r="AK4" s="402">
        <f>IF($D4="Sim",'14 - Investimentos'!AJ6*9.25%,0)</f>
        <v>0</v>
      </c>
      <c r="AL4" s="402">
        <f>IF($D4="Sim",'14 - Investimentos'!AK6*9.25%,0)</f>
        <v>0</v>
      </c>
      <c r="AM4" s="402">
        <f>IF($D4="Sim",'14 - Investimentos'!AL6*9.25%,0)</f>
        <v>75156.25</v>
      </c>
      <c r="AN4" s="402">
        <f>IF($D4="Sim",'14 - Investimentos'!AM6*9.25%,0)</f>
        <v>0</v>
      </c>
    </row>
    <row r="5" spans="2:40" ht="13.15" customHeight="1" outlineLevel="1" x14ac:dyDescent="0.2">
      <c r="B5" s="400" t="s">
        <v>1042</v>
      </c>
      <c r="C5" s="418">
        <v>1</v>
      </c>
      <c r="D5" s="401" t="s">
        <v>1333</v>
      </c>
      <c r="E5" s="402">
        <f t="shared" si="1"/>
        <v>713205.52500000002</v>
      </c>
      <c r="F5" s="402">
        <f>IF($D5="Sim",'14 - Investimentos'!E8*9.25%,0)</f>
        <v>142641.10500000001</v>
      </c>
      <c r="G5" s="402">
        <f>IF($D5="Sim",'14 - Investimentos'!F8*9.25%,0)</f>
        <v>0</v>
      </c>
      <c r="H5" s="402">
        <f>IF($D5="Sim",'14 - Investimentos'!G8*9.25%,0)</f>
        <v>0</v>
      </c>
      <c r="I5" s="402">
        <f>IF($D5="Sim",'14 - Investimentos'!H8*9.25%,0)</f>
        <v>0</v>
      </c>
      <c r="J5" s="402">
        <f>IF($D5="Sim",'14 - Investimentos'!I8*9.25%,0)</f>
        <v>0</v>
      </c>
      <c r="K5" s="402">
        <f>IF($D5="Sim",'14 - Investimentos'!J8*9.25%,0)</f>
        <v>0</v>
      </c>
      <c r="L5" s="402">
        <f>IF($D5="Sim",'14 - Investimentos'!K8*9.25%,0)</f>
        <v>0</v>
      </c>
      <c r="M5" s="402">
        <f>IF($D5="Sim",'14 - Investimentos'!L8*9.25%,0)</f>
        <v>142641.10500000001</v>
      </c>
      <c r="N5" s="402">
        <f>IF($D5="Sim",'14 - Investimentos'!M8*9.25%,0)</f>
        <v>0</v>
      </c>
      <c r="O5" s="402">
        <f>IF($D5="Sim",'14 - Investimentos'!N8*9.25%,0)</f>
        <v>0</v>
      </c>
      <c r="P5" s="402">
        <f>IF($D5="Sim",'14 - Investimentos'!O8*9.25%,0)</f>
        <v>0</v>
      </c>
      <c r="Q5" s="402">
        <f>IF($D5="Sim",'14 - Investimentos'!P8*9.25%,0)</f>
        <v>0</v>
      </c>
      <c r="R5" s="402">
        <f>IF($D5="Sim",'14 - Investimentos'!Q8*9.25%,0)</f>
        <v>0</v>
      </c>
      <c r="S5" s="402">
        <f>IF($D5="Sim",'14 - Investimentos'!R8*9.25%,0)</f>
        <v>0</v>
      </c>
      <c r="T5" s="402">
        <f>IF($D5="Sim",'14 - Investimentos'!S8*9.25%,0)</f>
        <v>142641.10500000001</v>
      </c>
      <c r="U5" s="402">
        <f>IF($D5="Sim",'14 - Investimentos'!T8*9.25%,0)</f>
        <v>0</v>
      </c>
      <c r="V5" s="402">
        <f>IF($D5="Sim",'14 - Investimentos'!U8*9.25%,0)</f>
        <v>0</v>
      </c>
      <c r="W5" s="402">
        <f>IF($D5="Sim",'14 - Investimentos'!V8*9.25%,0)</f>
        <v>0</v>
      </c>
      <c r="X5" s="402">
        <f>IF($D5="Sim",'14 - Investimentos'!W8*9.25%,0)</f>
        <v>0</v>
      </c>
      <c r="Y5" s="402">
        <f>IF($D5="Sim",'14 - Investimentos'!X8*9.25%,0)</f>
        <v>0</v>
      </c>
      <c r="Z5" s="402">
        <f>IF($D5="Sim",'14 - Investimentos'!Y8*9.25%,0)</f>
        <v>0</v>
      </c>
      <c r="AA5" s="402">
        <f>IF($D5="Sim",'14 - Investimentos'!Z8*9.25%,0)</f>
        <v>142641.10500000001</v>
      </c>
      <c r="AB5" s="402">
        <f>IF($D5="Sim",'14 - Investimentos'!AA8*9.25%,0)</f>
        <v>0</v>
      </c>
      <c r="AC5" s="402">
        <f>IF($D5="Sim",'14 - Investimentos'!AB8*9.25%,0)</f>
        <v>0</v>
      </c>
      <c r="AD5" s="402">
        <f>IF($D5="Sim",'14 - Investimentos'!AC8*9.25%,0)</f>
        <v>0</v>
      </c>
      <c r="AE5" s="402">
        <f>IF($D5="Sim",'14 - Investimentos'!AD8*9.25%,0)</f>
        <v>0</v>
      </c>
      <c r="AF5" s="402">
        <f>IF($D5="Sim",'14 - Investimentos'!AE8*9.25%,0)</f>
        <v>0</v>
      </c>
      <c r="AG5" s="402">
        <f>IF($D5="Sim",'14 - Investimentos'!AF8*9.25%,0)</f>
        <v>0</v>
      </c>
      <c r="AH5" s="402">
        <f>IF($D5="Sim",'14 - Investimentos'!AG8*9.25%,0)</f>
        <v>142641.10500000001</v>
      </c>
      <c r="AI5" s="402">
        <f>IF($D5="Sim",'14 - Investimentos'!AH8*9.25%,0)</f>
        <v>0</v>
      </c>
      <c r="AJ5" s="402">
        <f>IF($D5="Sim",'14 - Investimentos'!AI8*9.25%,0)</f>
        <v>0</v>
      </c>
      <c r="AK5" s="402">
        <f>IF($D5="Sim",'14 - Investimentos'!AJ8*9.25%,0)</f>
        <v>0</v>
      </c>
      <c r="AL5" s="402">
        <f>IF($D5="Sim",'14 - Investimentos'!AK8*9.25%,0)</f>
        <v>0</v>
      </c>
      <c r="AM5" s="402">
        <f>IF($D5="Sim",'14 - Investimentos'!AL8*9.25%,0)</f>
        <v>0</v>
      </c>
      <c r="AN5" s="402">
        <f>IF($D5="Sim",'14 - Investimentos'!AM8*9.25%,0)</f>
        <v>0</v>
      </c>
    </row>
    <row r="6" spans="2:40" ht="13.15" customHeight="1" outlineLevel="1" x14ac:dyDescent="0.2">
      <c r="B6" s="400" t="s">
        <v>1334</v>
      </c>
      <c r="C6" s="418">
        <v>1</v>
      </c>
      <c r="D6" s="401" t="s">
        <v>1333</v>
      </c>
      <c r="E6" s="402">
        <f t="shared" si="1"/>
        <v>49950</v>
      </c>
      <c r="F6" s="402">
        <f>IF($D6="Sim",'14 - Investimentos'!E10*9.25%,0)</f>
        <v>8325</v>
      </c>
      <c r="G6" s="402">
        <f>IF($D6="Sim",'14 - Investimentos'!F10*9.25%,0)</f>
        <v>0</v>
      </c>
      <c r="H6" s="402">
        <f>IF($D6="Sim",'14 - Investimentos'!G10*9.25%,0)</f>
        <v>0</v>
      </c>
      <c r="I6" s="402">
        <f>IF($D6="Sim",'14 - Investimentos'!H10*9.25%,0)</f>
        <v>0</v>
      </c>
      <c r="J6" s="402">
        <f>IF($D6="Sim",'14 - Investimentos'!I10*9.25%,0)</f>
        <v>0</v>
      </c>
      <c r="K6" s="402">
        <f>IF($D6="Sim",'14 - Investimentos'!J10*9.25%,0)</f>
        <v>1665</v>
      </c>
      <c r="L6" s="402">
        <f>IF($D6="Sim",'14 - Investimentos'!K10*9.25%,0)</f>
        <v>0</v>
      </c>
      <c r="M6" s="402">
        <f>IF($D6="Sim",'14 - Investimentos'!L10*9.25%,0)</f>
        <v>8325</v>
      </c>
      <c r="N6" s="402">
        <f>IF($D6="Sim",'14 - Investimentos'!M10*9.25%,0)</f>
        <v>0</v>
      </c>
      <c r="O6" s="402">
        <f>IF($D6="Sim",'14 - Investimentos'!N10*9.25%,0)</f>
        <v>0</v>
      </c>
      <c r="P6" s="402">
        <f>IF($D6="Sim",'14 - Investimentos'!O10*9.25%,0)</f>
        <v>0</v>
      </c>
      <c r="Q6" s="402">
        <f>IF($D6="Sim",'14 - Investimentos'!P10*9.25%,0)</f>
        <v>0</v>
      </c>
      <c r="R6" s="402">
        <f>IF($D6="Sim",'14 - Investimentos'!Q10*9.25%,0)</f>
        <v>1665</v>
      </c>
      <c r="S6" s="402">
        <f>IF($D6="Sim",'14 - Investimentos'!R10*9.25%,0)</f>
        <v>0</v>
      </c>
      <c r="T6" s="402">
        <f>IF($D6="Sim",'14 - Investimentos'!S10*9.25%,0)</f>
        <v>8325</v>
      </c>
      <c r="U6" s="402">
        <f>IF($D6="Sim",'14 - Investimentos'!T10*9.25%,0)</f>
        <v>0</v>
      </c>
      <c r="V6" s="402">
        <f>IF($D6="Sim",'14 - Investimentos'!U10*9.25%,0)</f>
        <v>0</v>
      </c>
      <c r="W6" s="402">
        <f>IF($D6="Sim",'14 - Investimentos'!V10*9.25%,0)</f>
        <v>0</v>
      </c>
      <c r="X6" s="402">
        <f>IF($D6="Sim",'14 - Investimentos'!W10*9.25%,0)</f>
        <v>0</v>
      </c>
      <c r="Y6" s="402">
        <f>IF($D6="Sim",'14 - Investimentos'!X10*9.25%,0)</f>
        <v>1665</v>
      </c>
      <c r="Z6" s="402">
        <f>IF($D6="Sim",'14 - Investimentos'!Y10*9.25%,0)</f>
        <v>0</v>
      </c>
      <c r="AA6" s="402">
        <f>IF($D6="Sim",'14 - Investimentos'!Z10*9.25%,0)</f>
        <v>8325</v>
      </c>
      <c r="AB6" s="402">
        <f>IF($D6="Sim",'14 - Investimentos'!AA10*9.25%,0)</f>
        <v>0</v>
      </c>
      <c r="AC6" s="402">
        <f>IF($D6="Sim",'14 - Investimentos'!AB10*9.25%,0)</f>
        <v>0</v>
      </c>
      <c r="AD6" s="402">
        <f>IF($D6="Sim",'14 - Investimentos'!AC10*9.25%,0)</f>
        <v>0</v>
      </c>
      <c r="AE6" s="402">
        <f>IF($D6="Sim",'14 - Investimentos'!AD10*9.25%,0)</f>
        <v>0</v>
      </c>
      <c r="AF6" s="402">
        <f>IF($D6="Sim",'14 - Investimentos'!AE10*9.25%,0)</f>
        <v>1665</v>
      </c>
      <c r="AG6" s="402">
        <f>IF($D6="Sim",'14 - Investimentos'!AF10*9.25%,0)</f>
        <v>0</v>
      </c>
      <c r="AH6" s="402">
        <f>IF($D6="Sim",'14 - Investimentos'!AG10*9.25%,0)</f>
        <v>8325</v>
      </c>
      <c r="AI6" s="402">
        <f>IF($D6="Sim",'14 - Investimentos'!AH10*9.25%,0)</f>
        <v>0</v>
      </c>
      <c r="AJ6" s="402">
        <f>IF($D6="Sim",'14 - Investimentos'!AI10*9.25%,0)</f>
        <v>0</v>
      </c>
      <c r="AK6" s="402">
        <f>IF($D6="Sim",'14 - Investimentos'!AJ10*9.25%,0)</f>
        <v>0</v>
      </c>
      <c r="AL6" s="402">
        <f>IF($D6="Sim",'14 - Investimentos'!AK10*9.25%,0)</f>
        <v>0</v>
      </c>
      <c r="AM6" s="402">
        <f>IF($D6="Sim",'14 - Investimentos'!AL10*9.25%,0)</f>
        <v>1665</v>
      </c>
      <c r="AN6" s="402">
        <f>IF($D6="Sim",'14 - Investimentos'!AM10*9.25%,0)</f>
        <v>0</v>
      </c>
    </row>
    <row r="7" spans="2:40" ht="13.15" customHeight="1" outlineLevel="1" x14ac:dyDescent="0.2">
      <c r="B7" s="400" t="s">
        <v>792</v>
      </c>
      <c r="C7" s="418">
        <v>1</v>
      </c>
      <c r="D7" s="401" t="s">
        <v>1333</v>
      </c>
      <c r="E7" s="402">
        <f t="shared" si="1"/>
        <v>856966.25</v>
      </c>
      <c r="F7" s="402">
        <f>IF($D7="Sim",'14 - Investimentos'!E11*9.25%,0)</f>
        <v>171393.25</v>
      </c>
      <c r="G7" s="402">
        <f>IF($D7="Sim",'14 - Investimentos'!F11*9.25%,0)</f>
        <v>0</v>
      </c>
      <c r="H7" s="402">
        <f>IF($D7="Sim",'14 - Investimentos'!G11*9.25%,0)</f>
        <v>0</v>
      </c>
      <c r="I7" s="402">
        <f>IF($D7="Sim",'14 - Investimentos'!H11*9.25%,0)</f>
        <v>0</v>
      </c>
      <c r="J7" s="402">
        <f>IF($D7="Sim",'14 - Investimentos'!I11*9.25%,0)</f>
        <v>0</v>
      </c>
      <c r="K7" s="402">
        <f>IF($D7="Sim",'14 - Investimentos'!J11*9.25%,0)</f>
        <v>0</v>
      </c>
      <c r="L7" s="402">
        <f>IF($D7="Sim",'14 - Investimentos'!K11*9.25%,0)</f>
        <v>0</v>
      </c>
      <c r="M7" s="402">
        <f>IF($D7="Sim",'14 - Investimentos'!L11*9.25%,0)</f>
        <v>171393.25</v>
      </c>
      <c r="N7" s="402">
        <f>IF($D7="Sim",'14 - Investimentos'!M11*9.25%,0)</f>
        <v>0</v>
      </c>
      <c r="O7" s="402">
        <f>IF($D7="Sim",'14 - Investimentos'!N11*9.25%,0)</f>
        <v>0</v>
      </c>
      <c r="P7" s="402">
        <f>IF($D7="Sim",'14 - Investimentos'!O11*9.25%,0)</f>
        <v>0</v>
      </c>
      <c r="Q7" s="402">
        <f>IF($D7="Sim",'14 - Investimentos'!P11*9.25%,0)</f>
        <v>0</v>
      </c>
      <c r="R7" s="402">
        <f>IF($D7="Sim",'14 - Investimentos'!Q11*9.25%,0)</f>
        <v>0</v>
      </c>
      <c r="S7" s="402">
        <f>IF($D7="Sim",'14 - Investimentos'!R11*9.25%,0)</f>
        <v>0</v>
      </c>
      <c r="T7" s="402">
        <f>IF($D7="Sim",'14 - Investimentos'!S11*9.25%,0)</f>
        <v>171393.25</v>
      </c>
      <c r="U7" s="402">
        <f>IF($D7="Sim",'14 - Investimentos'!T11*9.25%,0)</f>
        <v>0</v>
      </c>
      <c r="V7" s="402">
        <f>IF($D7="Sim",'14 - Investimentos'!U11*9.25%,0)</f>
        <v>0</v>
      </c>
      <c r="W7" s="402">
        <f>IF($D7="Sim",'14 - Investimentos'!V11*9.25%,0)</f>
        <v>0</v>
      </c>
      <c r="X7" s="402">
        <f>IF($D7="Sim",'14 - Investimentos'!W11*9.25%,0)</f>
        <v>0</v>
      </c>
      <c r="Y7" s="402">
        <f>IF($D7="Sim",'14 - Investimentos'!X11*9.25%,0)</f>
        <v>0</v>
      </c>
      <c r="Z7" s="402">
        <f>IF($D7="Sim",'14 - Investimentos'!Y11*9.25%,0)</f>
        <v>0</v>
      </c>
      <c r="AA7" s="402">
        <f>IF($D7="Sim",'14 - Investimentos'!Z11*9.25%,0)</f>
        <v>171393.25</v>
      </c>
      <c r="AB7" s="402">
        <f>IF($D7="Sim",'14 - Investimentos'!AA11*9.25%,0)</f>
        <v>0</v>
      </c>
      <c r="AC7" s="402">
        <f>IF($D7="Sim",'14 - Investimentos'!AB11*9.25%,0)</f>
        <v>0</v>
      </c>
      <c r="AD7" s="402">
        <f>IF($D7="Sim",'14 - Investimentos'!AC11*9.25%,0)</f>
        <v>0</v>
      </c>
      <c r="AE7" s="402">
        <f>IF($D7="Sim",'14 - Investimentos'!AD11*9.25%,0)</f>
        <v>0</v>
      </c>
      <c r="AF7" s="402">
        <f>IF($D7="Sim",'14 - Investimentos'!AE11*9.25%,0)</f>
        <v>0</v>
      </c>
      <c r="AG7" s="402">
        <f>IF($D7="Sim",'14 - Investimentos'!AF11*9.25%,0)</f>
        <v>0</v>
      </c>
      <c r="AH7" s="402">
        <f>IF($D7="Sim",'14 - Investimentos'!AG11*9.25%,0)</f>
        <v>171393.25</v>
      </c>
      <c r="AI7" s="402">
        <f>IF($D7="Sim",'14 - Investimentos'!AH11*9.25%,0)</f>
        <v>0</v>
      </c>
      <c r="AJ7" s="402">
        <f>IF($D7="Sim",'14 - Investimentos'!AI11*9.25%,0)</f>
        <v>0</v>
      </c>
      <c r="AK7" s="402">
        <f>IF($D7="Sim",'14 - Investimentos'!AJ11*9.25%,0)</f>
        <v>0</v>
      </c>
      <c r="AL7" s="402">
        <f>IF($D7="Sim",'14 - Investimentos'!AK11*9.25%,0)</f>
        <v>0</v>
      </c>
      <c r="AM7" s="402">
        <f>IF($D7="Sim",'14 - Investimentos'!AL11*9.25%,0)</f>
        <v>0</v>
      </c>
      <c r="AN7" s="402">
        <f>IF($D7="Sim",'14 - Investimentos'!AM11*9.25%,0)</f>
        <v>0</v>
      </c>
    </row>
    <row r="8" spans="2:40" ht="13.15" customHeight="1" outlineLevel="1" x14ac:dyDescent="0.2">
      <c r="B8" s="404" t="s">
        <v>793</v>
      </c>
      <c r="C8" s="413">
        <v>1</v>
      </c>
      <c r="D8" s="405" t="s">
        <v>1333</v>
      </c>
      <c r="E8" s="402">
        <f t="shared" si="1"/>
        <v>83928.487499999988</v>
      </c>
      <c r="F8" s="402">
        <f>IF($D8="Sim",'14 - Investimentos'!E12*9.25%,0)</f>
        <v>9325.3875000000007</v>
      </c>
      <c r="G8" s="402">
        <f>IF($D8="Sim",'14 - Investimentos'!F12*9.25%,0)</f>
        <v>0</v>
      </c>
      <c r="H8" s="402">
        <f>IF($D8="Sim",'14 - Investimentos'!G12*9.25%,0)</f>
        <v>0</v>
      </c>
      <c r="I8" s="402">
        <f>IF($D8="Sim",'14 - Investimentos'!H12*9.25%,0)</f>
        <v>0</v>
      </c>
      <c r="J8" s="402">
        <f>IF($D8="Sim",'14 - Investimentos'!I12*9.25%,0)</f>
        <v>9325.3875000000007</v>
      </c>
      <c r="K8" s="402">
        <f>IF($D8="Sim",'14 - Investimentos'!J12*9.25%,0)</f>
        <v>0</v>
      </c>
      <c r="L8" s="402">
        <f>IF($D8="Sim",'14 - Investimentos'!K12*9.25%,0)</f>
        <v>0</v>
      </c>
      <c r="M8" s="402">
        <f>IF($D8="Sim",'14 - Investimentos'!L12*9.25%,0)</f>
        <v>0</v>
      </c>
      <c r="N8" s="402">
        <f>IF($D8="Sim",'14 - Investimentos'!M12*9.25%,0)</f>
        <v>9325.3875000000007</v>
      </c>
      <c r="O8" s="402">
        <f>IF($D8="Sim",'14 - Investimentos'!N12*9.25%,0)</f>
        <v>0</v>
      </c>
      <c r="P8" s="402">
        <f>IF($D8="Sim",'14 - Investimentos'!O12*9.25%,0)</f>
        <v>0</v>
      </c>
      <c r="Q8" s="402">
        <f>IF($D8="Sim",'14 - Investimentos'!P12*9.25%,0)</f>
        <v>0</v>
      </c>
      <c r="R8" s="402">
        <f>IF($D8="Sim",'14 - Investimentos'!Q12*9.25%,0)</f>
        <v>9325.3875000000007</v>
      </c>
      <c r="S8" s="402">
        <f>IF($D8="Sim",'14 - Investimentos'!R12*9.25%,0)</f>
        <v>0</v>
      </c>
      <c r="T8" s="402">
        <f>IF($D8="Sim",'14 - Investimentos'!S12*9.25%,0)</f>
        <v>0</v>
      </c>
      <c r="U8" s="402">
        <f>IF($D8="Sim",'14 - Investimentos'!T12*9.25%,0)</f>
        <v>0</v>
      </c>
      <c r="V8" s="402">
        <f>IF($D8="Sim",'14 - Investimentos'!U12*9.25%,0)</f>
        <v>9325.3875000000007</v>
      </c>
      <c r="W8" s="402">
        <f>IF($D8="Sim",'14 - Investimentos'!V12*9.25%,0)</f>
        <v>0</v>
      </c>
      <c r="X8" s="402">
        <f>IF($D8="Sim",'14 - Investimentos'!W12*9.25%,0)</f>
        <v>0</v>
      </c>
      <c r="Y8" s="402">
        <f>IF($D8="Sim",'14 - Investimentos'!X12*9.25%,0)</f>
        <v>0</v>
      </c>
      <c r="Z8" s="402">
        <f>IF($D8="Sim",'14 - Investimentos'!Y12*9.25%,0)</f>
        <v>9325.3875000000007</v>
      </c>
      <c r="AA8" s="402">
        <f>IF($D8="Sim",'14 - Investimentos'!Z12*9.25%,0)</f>
        <v>0</v>
      </c>
      <c r="AB8" s="402">
        <f>IF($D8="Sim",'14 - Investimentos'!AA12*9.25%,0)</f>
        <v>0</v>
      </c>
      <c r="AC8" s="402">
        <f>IF($D8="Sim",'14 - Investimentos'!AB12*9.25%,0)</f>
        <v>0</v>
      </c>
      <c r="AD8" s="402">
        <f>IF($D8="Sim",'14 - Investimentos'!AC12*9.25%,0)</f>
        <v>9325.3875000000007</v>
      </c>
      <c r="AE8" s="402">
        <f>IF($D8="Sim",'14 - Investimentos'!AD12*9.25%,0)</f>
        <v>0</v>
      </c>
      <c r="AF8" s="402">
        <f>IF($D8="Sim",'14 - Investimentos'!AE12*9.25%,0)</f>
        <v>0</v>
      </c>
      <c r="AG8" s="402">
        <f>IF($D8="Sim",'14 - Investimentos'!AF12*9.25%,0)</f>
        <v>0</v>
      </c>
      <c r="AH8" s="402">
        <f>IF($D8="Sim",'14 - Investimentos'!AG12*9.25%,0)</f>
        <v>9325.3875000000007</v>
      </c>
      <c r="AI8" s="402">
        <f>IF($D8="Sim",'14 - Investimentos'!AH12*9.25%,0)</f>
        <v>0</v>
      </c>
      <c r="AJ8" s="402">
        <f>IF($D8="Sim",'14 - Investimentos'!AI12*9.25%,0)</f>
        <v>0</v>
      </c>
      <c r="AK8" s="402">
        <f>IF($D8="Sim",'14 - Investimentos'!AJ12*9.25%,0)</f>
        <v>0</v>
      </c>
      <c r="AL8" s="402">
        <f>IF($D8="Sim",'14 - Investimentos'!AK12*9.25%,0)</f>
        <v>9325.3875000000007</v>
      </c>
      <c r="AM8" s="402">
        <f>IF($D8="Sim",'14 - Investimentos'!AL12*9.25%,0)</f>
        <v>0</v>
      </c>
      <c r="AN8" s="402">
        <f>IF($D8="Sim",'14 - Investimentos'!AM12*9.25%,0)</f>
        <v>0</v>
      </c>
    </row>
    <row r="9" spans="2:40" ht="13.15" customHeight="1" outlineLevel="1" x14ac:dyDescent="0.2">
      <c r="B9" s="404" t="s">
        <v>794</v>
      </c>
      <c r="C9" s="413">
        <v>1</v>
      </c>
      <c r="D9" s="405" t="s">
        <v>1333</v>
      </c>
      <c r="E9" s="402">
        <f t="shared" si="1"/>
        <v>26919.627499999999</v>
      </c>
      <c r="F9" s="402">
        <f>IF($D9="Sim",'14 - Investimentos'!E13*9.25%,0)</f>
        <v>1583.5074999999999</v>
      </c>
      <c r="G9" s="402">
        <f>IF($D9="Sim",'14 - Investimentos'!F13*9.25%,0)</f>
        <v>0</v>
      </c>
      <c r="H9" s="402">
        <f>IF($D9="Sim",'14 - Investimentos'!G13*9.25%,0)</f>
        <v>0</v>
      </c>
      <c r="I9" s="402">
        <f>IF($D9="Sim",'14 - Investimentos'!H13*9.25%,0)</f>
        <v>0</v>
      </c>
      <c r="J9" s="402">
        <f>IF($D9="Sim",'14 - Investimentos'!I13*9.25%,0)</f>
        <v>1583.5074999999999</v>
      </c>
      <c r="K9" s="402">
        <f>IF($D9="Sim",'14 - Investimentos'!J13*9.25%,0)</f>
        <v>1583.5074999999999</v>
      </c>
      <c r="L9" s="402">
        <f>IF($D9="Sim",'14 - Investimentos'!K13*9.25%,0)</f>
        <v>0</v>
      </c>
      <c r="M9" s="402">
        <f>IF($D9="Sim",'14 - Investimentos'!L13*9.25%,0)</f>
        <v>0</v>
      </c>
      <c r="N9" s="402">
        <f>IF($D9="Sim",'14 - Investimentos'!M13*9.25%,0)</f>
        <v>1583.5074999999999</v>
      </c>
      <c r="O9" s="402">
        <f>IF($D9="Sim",'14 - Investimentos'!N13*9.25%,0)</f>
        <v>1583.5074999999999</v>
      </c>
      <c r="P9" s="402">
        <f>IF($D9="Sim",'14 - Investimentos'!O13*9.25%,0)</f>
        <v>0</v>
      </c>
      <c r="Q9" s="402">
        <f>IF($D9="Sim",'14 - Investimentos'!P13*9.25%,0)</f>
        <v>0</v>
      </c>
      <c r="R9" s="402">
        <f>IF($D9="Sim",'14 - Investimentos'!Q13*9.25%,0)</f>
        <v>1583.5074999999999</v>
      </c>
      <c r="S9" s="402">
        <f>IF($D9="Sim",'14 - Investimentos'!R13*9.25%,0)</f>
        <v>1583.5074999999999</v>
      </c>
      <c r="T9" s="402">
        <f>IF($D9="Sim",'14 - Investimentos'!S13*9.25%,0)</f>
        <v>0</v>
      </c>
      <c r="U9" s="402">
        <f>IF($D9="Sim",'14 - Investimentos'!T13*9.25%,0)</f>
        <v>0</v>
      </c>
      <c r="V9" s="402">
        <f>IF($D9="Sim",'14 - Investimentos'!U13*9.25%,0)</f>
        <v>1583.5074999999999</v>
      </c>
      <c r="W9" s="402">
        <f>IF($D9="Sim",'14 - Investimentos'!V13*9.25%,0)</f>
        <v>1583.5074999999999</v>
      </c>
      <c r="X9" s="402">
        <f>IF($D9="Sim",'14 - Investimentos'!W13*9.25%,0)</f>
        <v>0</v>
      </c>
      <c r="Y9" s="402">
        <f>IF($D9="Sim",'14 - Investimentos'!X13*9.25%,0)</f>
        <v>0</v>
      </c>
      <c r="Z9" s="402">
        <f>IF($D9="Sim",'14 - Investimentos'!Y13*9.25%,0)</f>
        <v>1583.5074999999999</v>
      </c>
      <c r="AA9" s="402">
        <f>IF($D9="Sim",'14 - Investimentos'!Z13*9.25%,0)</f>
        <v>1583.5074999999999</v>
      </c>
      <c r="AB9" s="402">
        <f>IF($D9="Sim",'14 - Investimentos'!AA13*9.25%,0)</f>
        <v>0</v>
      </c>
      <c r="AC9" s="402">
        <f>IF($D9="Sim",'14 - Investimentos'!AB13*9.25%,0)</f>
        <v>0</v>
      </c>
      <c r="AD9" s="402">
        <f>IF($D9="Sim",'14 - Investimentos'!AC13*9.25%,0)</f>
        <v>1583.5074999999999</v>
      </c>
      <c r="AE9" s="402">
        <f>IF($D9="Sim",'14 - Investimentos'!AD13*9.25%,0)</f>
        <v>1583.5074999999999</v>
      </c>
      <c r="AF9" s="402">
        <f>IF($D9="Sim",'14 - Investimentos'!AE13*9.25%,0)</f>
        <v>0</v>
      </c>
      <c r="AG9" s="402">
        <f>IF($D9="Sim",'14 - Investimentos'!AF13*9.25%,0)</f>
        <v>0</v>
      </c>
      <c r="AH9" s="402">
        <f>IF($D9="Sim",'14 - Investimentos'!AG13*9.25%,0)</f>
        <v>1583.5074999999999</v>
      </c>
      <c r="AI9" s="402">
        <f>IF($D9="Sim",'14 - Investimentos'!AH13*9.25%,0)</f>
        <v>1583.5074999999999</v>
      </c>
      <c r="AJ9" s="402">
        <f>IF($D9="Sim",'14 - Investimentos'!AI13*9.25%,0)</f>
        <v>0</v>
      </c>
      <c r="AK9" s="402">
        <f>IF($D9="Sim",'14 - Investimentos'!AJ13*9.25%,0)</f>
        <v>0</v>
      </c>
      <c r="AL9" s="402">
        <f>IF($D9="Sim",'14 - Investimentos'!AK13*9.25%,0)</f>
        <v>1583.5074999999999</v>
      </c>
      <c r="AM9" s="402">
        <f>IF($D9="Sim",'14 - Investimentos'!AL13*9.25%,0)</f>
        <v>1583.5074999999999</v>
      </c>
      <c r="AN9" s="402">
        <f>IF($D9="Sim",'14 - Investimentos'!AM13*9.25%,0)</f>
        <v>0</v>
      </c>
    </row>
    <row r="10" spans="2:40" ht="13.15" customHeight="1" outlineLevel="1" x14ac:dyDescent="0.2">
      <c r="B10" s="400" t="s">
        <v>1092</v>
      </c>
      <c r="C10" s="418">
        <v>1</v>
      </c>
      <c r="D10" s="401" t="s">
        <v>1333</v>
      </c>
      <c r="E10" s="402">
        <f t="shared" si="1"/>
        <v>711260.61999999988</v>
      </c>
      <c r="F10" s="402">
        <f>IF($D10="Sim",'14 - Investimentos'!E14*9.25%,0)</f>
        <v>35563.031000000003</v>
      </c>
      <c r="G10" s="402">
        <f>IF($D10="Sim",'14 - Investimentos'!F14*9.25%,0)</f>
        <v>0</v>
      </c>
      <c r="H10" s="402">
        <f>IF($D10="Sim",'14 - Investimentos'!G14*9.25%,0)</f>
        <v>35563.031000000003</v>
      </c>
      <c r="I10" s="402">
        <f>IF($D10="Sim",'14 - Investimentos'!H14*9.25%,0)</f>
        <v>0</v>
      </c>
      <c r="J10" s="402">
        <f>IF($D10="Sim",'14 - Investimentos'!I14*9.25%,0)</f>
        <v>30482.597999999998</v>
      </c>
      <c r="K10" s="402">
        <f>IF($D10="Sim",'14 - Investimentos'!J14*9.25%,0)</f>
        <v>35563.030999999995</v>
      </c>
      <c r="L10" s="402">
        <f>IF($D10="Sim",'14 - Investimentos'!K14*9.25%,0)</f>
        <v>0</v>
      </c>
      <c r="M10" s="402">
        <f>IF($D10="Sim",'14 - Investimentos'!L14*9.25%,0)</f>
        <v>35563.031000000003</v>
      </c>
      <c r="N10" s="402">
        <f>IF($D10="Sim",'14 - Investimentos'!M14*9.25%,0)</f>
        <v>0</v>
      </c>
      <c r="O10" s="402">
        <f>IF($D10="Sim",'14 - Investimentos'!N14*9.25%,0)</f>
        <v>30482.597999999998</v>
      </c>
      <c r="P10" s="402">
        <f>IF($D10="Sim",'14 - Investimentos'!O14*9.25%,0)</f>
        <v>35563.030999999995</v>
      </c>
      <c r="Q10" s="402">
        <f>IF($D10="Sim",'14 - Investimentos'!P14*9.25%,0)</f>
        <v>0</v>
      </c>
      <c r="R10" s="402">
        <f>IF($D10="Sim",'14 - Investimentos'!Q14*9.25%,0)</f>
        <v>35563.031000000003</v>
      </c>
      <c r="S10" s="402">
        <f>IF($D10="Sim",'14 - Investimentos'!R14*9.25%,0)</f>
        <v>0</v>
      </c>
      <c r="T10" s="402">
        <f>IF($D10="Sim",'14 - Investimentos'!S14*9.25%,0)</f>
        <v>30482.597999999998</v>
      </c>
      <c r="U10" s="402">
        <f>IF($D10="Sim",'14 - Investimentos'!T14*9.25%,0)</f>
        <v>35563.030999999995</v>
      </c>
      <c r="V10" s="402">
        <f>IF($D10="Sim",'14 - Investimentos'!U14*9.25%,0)</f>
        <v>0</v>
      </c>
      <c r="W10" s="402">
        <f>IF($D10="Sim",'14 - Investimentos'!V14*9.25%,0)</f>
        <v>35563.031000000003</v>
      </c>
      <c r="X10" s="402">
        <f>IF($D10="Sim",'14 - Investimentos'!W14*9.25%,0)</f>
        <v>0</v>
      </c>
      <c r="Y10" s="402">
        <f>IF($D10="Sim",'14 - Investimentos'!X14*9.25%,0)</f>
        <v>30482.597999999998</v>
      </c>
      <c r="Z10" s="402">
        <f>IF($D10="Sim",'14 - Investimentos'!Y14*9.25%,0)</f>
        <v>35563.030999999995</v>
      </c>
      <c r="AA10" s="402">
        <f>IF($D10="Sim",'14 - Investimentos'!Z14*9.25%,0)</f>
        <v>0</v>
      </c>
      <c r="AB10" s="402">
        <f>IF($D10="Sim",'14 - Investimentos'!AA14*9.25%,0)</f>
        <v>35563.031000000003</v>
      </c>
      <c r="AC10" s="402">
        <f>IF($D10="Sim",'14 - Investimentos'!AB14*9.25%,0)</f>
        <v>0</v>
      </c>
      <c r="AD10" s="402">
        <f>IF($D10="Sim",'14 - Investimentos'!AC14*9.25%,0)</f>
        <v>30482.597999999998</v>
      </c>
      <c r="AE10" s="402">
        <f>IF($D10="Sim",'14 - Investimentos'!AD14*9.25%,0)</f>
        <v>35563.030999999995</v>
      </c>
      <c r="AF10" s="402">
        <f>IF($D10="Sim",'14 - Investimentos'!AE14*9.25%,0)</f>
        <v>0</v>
      </c>
      <c r="AG10" s="402">
        <f>IF($D10="Sim",'14 - Investimentos'!AF14*9.25%,0)</f>
        <v>35563.031000000003</v>
      </c>
      <c r="AH10" s="402">
        <f>IF($D10="Sim",'14 - Investimentos'!AG14*9.25%,0)</f>
        <v>0</v>
      </c>
      <c r="AI10" s="402">
        <f>IF($D10="Sim",'14 - Investimentos'!AH14*9.25%,0)</f>
        <v>30482.597999999998</v>
      </c>
      <c r="AJ10" s="402">
        <f>IF($D10="Sim",'14 - Investimentos'!AI14*9.25%,0)</f>
        <v>35563.030999999995</v>
      </c>
      <c r="AK10" s="402">
        <f>IF($D10="Sim",'14 - Investimentos'!AJ14*9.25%,0)</f>
        <v>0</v>
      </c>
      <c r="AL10" s="402">
        <f>IF($D10="Sim",'14 - Investimentos'!AK14*9.25%,0)</f>
        <v>35563.031000000003</v>
      </c>
      <c r="AM10" s="402">
        <f>IF($D10="Sim",'14 - Investimentos'!AL14*9.25%,0)</f>
        <v>0</v>
      </c>
      <c r="AN10" s="402">
        <f>IF($D10="Sim",'14 - Investimentos'!AM14*9.25%,0)</f>
        <v>30482.597999999998</v>
      </c>
    </row>
    <row r="11" spans="2:40" ht="13.15" customHeight="1" outlineLevel="1" x14ac:dyDescent="0.2">
      <c r="B11" s="400" t="s">
        <v>1335</v>
      </c>
      <c r="C11" s="418">
        <v>1</v>
      </c>
      <c r="D11" s="401" t="s">
        <v>1333</v>
      </c>
      <c r="E11" s="402">
        <f t="shared" si="1"/>
        <v>375781.25</v>
      </c>
      <c r="F11" s="402">
        <f>IF($D11="Sim",'14 - Investimentos'!E7*9.25%,0)</f>
        <v>75156.25</v>
      </c>
      <c r="G11" s="402">
        <f>IF($D11="Sim",'14 - Investimentos'!F7*9.25%,0)</f>
        <v>0</v>
      </c>
      <c r="H11" s="402">
        <f>IF($D11="Sim",'14 - Investimentos'!G7*9.25%,0)</f>
        <v>0</v>
      </c>
      <c r="I11" s="402">
        <f>IF($D11="Sim",'14 - Investimentos'!H7*9.25%,0)</f>
        <v>0</v>
      </c>
      <c r="J11" s="402">
        <f>IF($D11="Sim",'14 - Investimentos'!I7*9.25%,0)</f>
        <v>0</v>
      </c>
      <c r="K11" s="402">
        <f>IF($D11="Sim",'14 - Investimentos'!J7*9.25%,0)</f>
        <v>0</v>
      </c>
      <c r="L11" s="402">
        <f>IF($D11="Sim",'14 - Investimentos'!K7*9.25%,0)</f>
        <v>0</v>
      </c>
      <c r="M11" s="402">
        <f>IF($D11="Sim",'14 - Investimentos'!L7*9.25%,0)</f>
        <v>75156.25</v>
      </c>
      <c r="N11" s="402">
        <f>IF($D11="Sim",'14 - Investimentos'!M7*9.25%,0)</f>
        <v>0</v>
      </c>
      <c r="O11" s="402">
        <f>IF($D11="Sim",'14 - Investimentos'!N7*9.25%,0)</f>
        <v>0</v>
      </c>
      <c r="P11" s="402">
        <f>IF($D11="Sim",'14 - Investimentos'!O7*9.25%,0)</f>
        <v>0</v>
      </c>
      <c r="Q11" s="402">
        <f>IF($D11="Sim",'14 - Investimentos'!P7*9.25%,0)</f>
        <v>0</v>
      </c>
      <c r="R11" s="402">
        <f>IF($D11="Sim",'14 - Investimentos'!Q7*9.25%,0)</f>
        <v>0</v>
      </c>
      <c r="S11" s="402">
        <f>IF($D11="Sim",'14 - Investimentos'!R7*9.25%,0)</f>
        <v>0</v>
      </c>
      <c r="T11" s="402">
        <f>IF($D11="Sim",'14 - Investimentos'!S7*9.25%,0)</f>
        <v>75156.25</v>
      </c>
      <c r="U11" s="402">
        <f>IF($D11="Sim",'14 - Investimentos'!T7*9.25%,0)</f>
        <v>0</v>
      </c>
      <c r="V11" s="402">
        <f>IF($D11="Sim",'14 - Investimentos'!U7*9.25%,0)</f>
        <v>0</v>
      </c>
      <c r="W11" s="402">
        <f>IF($D11="Sim",'14 - Investimentos'!V7*9.25%,0)</f>
        <v>0</v>
      </c>
      <c r="X11" s="402">
        <f>IF($D11="Sim",'14 - Investimentos'!W7*9.25%,0)</f>
        <v>0</v>
      </c>
      <c r="Y11" s="402">
        <f>IF($D11="Sim",'14 - Investimentos'!X7*9.25%,0)</f>
        <v>0</v>
      </c>
      <c r="Z11" s="402">
        <f>IF($D11="Sim",'14 - Investimentos'!Y7*9.25%,0)</f>
        <v>0</v>
      </c>
      <c r="AA11" s="402">
        <f>IF($D11="Sim",'14 - Investimentos'!Z7*9.25%,0)</f>
        <v>75156.25</v>
      </c>
      <c r="AB11" s="402">
        <f>IF($D11="Sim",'14 - Investimentos'!AA7*9.25%,0)</f>
        <v>0</v>
      </c>
      <c r="AC11" s="402">
        <f>IF($D11="Sim",'14 - Investimentos'!AB7*9.25%,0)</f>
        <v>0</v>
      </c>
      <c r="AD11" s="402">
        <f>IF($D11="Sim",'14 - Investimentos'!AC7*9.25%,0)</f>
        <v>0</v>
      </c>
      <c r="AE11" s="402">
        <f>IF($D11="Sim",'14 - Investimentos'!AD7*9.25%,0)</f>
        <v>0</v>
      </c>
      <c r="AF11" s="402">
        <f>IF($D11="Sim",'14 - Investimentos'!AE7*9.25%,0)</f>
        <v>0</v>
      </c>
      <c r="AG11" s="402">
        <f>IF($D11="Sim",'14 - Investimentos'!AF7*9.25%,0)</f>
        <v>0</v>
      </c>
      <c r="AH11" s="402">
        <f>IF($D11="Sim",'14 - Investimentos'!AG7*9.25%,0)</f>
        <v>75156.25</v>
      </c>
      <c r="AI11" s="402">
        <f>IF($D11="Sim",'14 - Investimentos'!AH7*9.25%,0)</f>
        <v>0</v>
      </c>
      <c r="AJ11" s="402">
        <f>IF($D11="Sim",'14 - Investimentos'!AI7*9.25%,0)</f>
        <v>0</v>
      </c>
      <c r="AK11" s="402">
        <f>IF($D11="Sim",'14 - Investimentos'!AJ7*9.25%,0)</f>
        <v>0</v>
      </c>
      <c r="AL11" s="402">
        <f>IF($D11="Sim",'14 - Investimentos'!AK7*9.25%,0)</f>
        <v>0</v>
      </c>
      <c r="AM11" s="402">
        <f>IF($D11="Sim",'14 - Investimentos'!AL7*9.25%,0)</f>
        <v>0</v>
      </c>
      <c r="AN11" s="402">
        <f>IF($D11="Sim",'14 - Investimentos'!AM7*9.25%,0)</f>
        <v>0</v>
      </c>
    </row>
    <row r="12" spans="2:40" ht="13.15" customHeight="1" outlineLevel="1" x14ac:dyDescent="0.2">
      <c r="B12" s="400" t="s">
        <v>1336</v>
      </c>
      <c r="C12" s="418">
        <v>1</v>
      </c>
      <c r="D12" s="401" t="s">
        <v>1333</v>
      </c>
      <c r="E12" s="402">
        <f t="shared" si="1"/>
        <v>356602.76250000001</v>
      </c>
      <c r="F12" s="402">
        <f>IF($D12="Sim",'14 - Investimentos'!E9*9.25%,0)</f>
        <v>71320.552500000005</v>
      </c>
      <c r="G12" s="402">
        <f>IF($D12="Sim",'14 - Investimentos'!F9*9.25%,0)</f>
        <v>0</v>
      </c>
      <c r="H12" s="402">
        <f>IF($D12="Sim",'14 - Investimentos'!G9*9.25%,0)</f>
        <v>0</v>
      </c>
      <c r="I12" s="402">
        <f>IF($D12="Sim",'14 - Investimentos'!H9*9.25%,0)</f>
        <v>0</v>
      </c>
      <c r="J12" s="402">
        <f>IF($D12="Sim",'14 - Investimentos'!I9*9.25%,0)</f>
        <v>0</v>
      </c>
      <c r="K12" s="402">
        <f>IF($D12="Sim",'14 - Investimentos'!J9*9.25%,0)</f>
        <v>0</v>
      </c>
      <c r="L12" s="402">
        <f>IF($D12="Sim",'14 - Investimentos'!K9*9.25%,0)</f>
        <v>0</v>
      </c>
      <c r="M12" s="402">
        <f>IF($D12="Sim",'14 - Investimentos'!L9*9.25%,0)</f>
        <v>71320.552500000005</v>
      </c>
      <c r="N12" s="402">
        <f>IF($D12="Sim",'14 - Investimentos'!M9*9.25%,0)</f>
        <v>0</v>
      </c>
      <c r="O12" s="402">
        <f>IF($D12="Sim",'14 - Investimentos'!N9*9.25%,0)</f>
        <v>0</v>
      </c>
      <c r="P12" s="402">
        <f>IF($D12="Sim",'14 - Investimentos'!O9*9.25%,0)</f>
        <v>0</v>
      </c>
      <c r="Q12" s="402">
        <f>IF($D12="Sim",'14 - Investimentos'!P9*9.25%,0)</f>
        <v>0</v>
      </c>
      <c r="R12" s="402">
        <f>IF($D12="Sim",'14 - Investimentos'!Q9*9.25%,0)</f>
        <v>0</v>
      </c>
      <c r="S12" s="402">
        <f>IF($D12="Sim",'14 - Investimentos'!R9*9.25%,0)</f>
        <v>0</v>
      </c>
      <c r="T12" s="402">
        <f>IF($D12="Sim",'14 - Investimentos'!S9*9.25%,0)</f>
        <v>71320.552500000005</v>
      </c>
      <c r="U12" s="402">
        <f>IF($D12="Sim",'14 - Investimentos'!T9*9.25%,0)</f>
        <v>0</v>
      </c>
      <c r="V12" s="402">
        <f>IF($D12="Sim",'14 - Investimentos'!U9*9.25%,0)</f>
        <v>0</v>
      </c>
      <c r="W12" s="402">
        <f>IF($D12="Sim",'14 - Investimentos'!V9*9.25%,0)</f>
        <v>0</v>
      </c>
      <c r="X12" s="402">
        <f>IF($D12="Sim",'14 - Investimentos'!W9*9.25%,0)</f>
        <v>0</v>
      </c>
      <c r="Y12" s="402">
        <f>IF($D12="Sim",'14 - Investimentos'!X9*9.25%,0)</f>
        <v>0</v>
      </c>
      <c r="Z12" s="402">
        <f>IF($D12="Sim",'14 - Investimentos'!Y9*9.25%,0)</f>
        <v>0</v>
      </c>
      <c r="AA12" s="402">
        <f>IF($D12="Sim",'14 - Investimentos'!Z9*9.25%,0)</f>
        <v>71320.552500000005</v>
      </c>
      <c r="AB12" s="402">
        <f>IF($D12="Sim",'14 - Investimentos'!AA9*9.25%,0)</f>
        <v>0</v>
      </c>
      <c r="AC12" s="402">
        <f>IF($D12="Sim",'14 - Investimentos'!AB9*9.25%,0)</f>
        <v>0</v>
      </c>
      <c r="AD12" s="402">
        <f>IF($D12="Sim",'14 - Investimentos'!AC9*9.25%,0)</f>
        <v>0</v>
      </c>
      <c r="AE12" s="402">
        <f>IF($D12="Sim",'14 - Investimentos'!AD9*9.25%,0)</f>
        <v>0</v>
      </c>
      <c r="AF12" s="402">
        <f>IF($D12="Sim",'14 - Investimentos'!AE9*9.25%,0)</f>
        <v>0</v>
      </c>
      <c r="AG12" s="402">
        <f>IF($D12="Sim",'14 - Investimentos'!AF9*9.25%,0)</f>
        <v>0</v>
      </c>
      <c r="AH12" s="402">
        <f>IF($D12="Sim",'14 - Investimentos'!AG9*9.25%,0)</f>
        <v>71320.552500000005</v>
      </c>
      <c r="AI12" s="402">
        <f>IF($D12="Sim",'14 - Investimentos'!AH9*9.25%,0)</f>
        <v>0</v>
      </c>
      <c r="AJ12" s="402">
        <f>IF($D12="Sim",'14 - Investimentos'!AI9*9.25%,0)</f>
        <v>0</v>
      </c>
      <c r="AK12" s="402">
        <f>IF($D12="Sim",'14 - Investimentos'!AJ9*9.25%,0)</f>
        <v>0</v>
      </c>
      <c r="AL12" s="402">
        <f>IF($D12="Sim",'14 - Investimentos'!AK9*9.25%,0)</f>
        <v>0</v>
      </c>
      <c r="AM12" s="402">
        <f>IF($D12="Sim",'14 - Investimentos'!AL9*9.25%,0)</f>
        <v>0</v>
      </c>
      <c r="AN12" s="402">
        <f>IF($D12="Sim",'14 - Investimentos'!AM9*9.25%,0)</f>
        <v>0</v>
      </c>
    </row>
    <row r="13" spans="2:40" s="8" customFormat="1" ht="13.15" customHeight="1" x14ac:dyDescent="0.2">
      <c r="B13" s="323" t="s">
        <v>1337</v>
      </c>
      <c r="C13" s="418"/>
      <c r="D13" s="386"/>
      <c r="E13" s="387">
        <f>SUM(E14:E18)</f>
        <v>3862421.3049999997</v>
      </c>
      <c r="F13" s="387">
        <f t="shared" ref="F13:AN13" si="2">SUM(F14:F18)</f>
        <v>702300.1449999999</v>
      </c>
      <c r="G13" s="387">
        <f t="shared" si="2"/>
        <v>0</v>
      </c>
      <c r="H13" s="387">
        <f t="shared" si="2"/>
        <v>0</v>
      </c>
      <c r="I13" s="387">
        <f t="shared" si="2"/>
        <v>0</v>
      </c>
      <c r="J13" s="387">
        <f t="shared" si="2"/>
        <v>10908.895</v>
      </c>
      <c r="K13" s="387">
        <f t="shared" si="2"/>
        <v>0</v>
      </c>
      <c r="L13" s="387">
        <f t="shared" si="2"/>
        <v>0</v>
      </c>
      <c r="M13" s="387">
        <f t="shared" si="2"/>
        <v>768212.5</v>
      </c>
      <c r="N13" s="387">
        <f t="shared" si="2"/>
        <v>10908.895</v>
      </c>
      <c r="O13" s="387">
        <f t="shared" si="2"/>
        <v>0</v>
      </c>
      <c r="P13" s="387">
        <f t="shared" si="2"/>
        <v>0</v>
      </c>
      <c r="Q13" s="387">
        <f t="shared" si="2"/>
        <v>0</v>
      </c>
      <c r="R13" s="387">
        <f t="shared" si="2"/>
        <v>10908.895</v>
      </c>
      <c r="S13" s="387">
        <f t="shared" si="2"/>
        <v>0</v>
      </c>
      <c r="T13" s="387">
        <f t="shared" si="2"/>
        <v>768212.5</v>
      </c>
      <c r="U13" s="387">
        <f t="shared" si="2"/>
        <v>0</v>
      </c>
      <c r="V13" s="387">
        <f t="shared" si="2"/>
        <v>10908.895</v>
      </c>
      <c r="W13" s="387">
        <f t="shared" si="2"/>
        <v>0</v>
      </c>
      <c r="X13" s="387">
        <f t="shared" si="2"/>
        <v>0</v>
      </c>
      <c r="Y13" s="387">
        <f t="shared" si="2"/>
        <v>0</v>
      </c>
      <c r="Z13" s="387">
        <f t="shared" si="2"/>
        <v>10908.895</v>
      </c>
      <c r="AA13" s="387">
        <f t="shared" si="2"/>
        <v>768212.5</v>
      </c>
      <c r="AB13" s="387">
        <f t="shared" si="2"/>
        <v>0</v>
      </c>
      <c r="AC13" s="387">
        <f t="shared" si="2"/>
        <v>0</v>
      </c>
      <c r="AD13" s="387">
        <f t="shared" si="2"/>
        <v>10908.895</v>
      </c>
      <c r="AE13" s="387">
        <f t="shared" si="2"/>
        <v>0</v>
      </c>
      <c r="AF13" s="387">
        <f t="shared" si="2"/>
        <v>0</v>
      </c>
      <c r="AG13" s="387">
        <f t="shared" si="2"/>
        <v>0</v>
      </c>
      <c r="AH13" s="387">
        <f t="shared" si="2"/>
        <v>779121.3949999999</v>
      </c>
      <c r="AI13" s="387">
        <f t="shared" si="2"/>
        <v>0</v>
      </c>
      <c r="AJ13" s="387">
        <f t="shared" si="2"/>
        <v>0</v>
      </c>
      <c r="AK13" s="387">
        <f t="shared" si="2"/>
        <v>0</v>
      </c>
      <c r="AL13" s="387">
        <f t="shared" si="2"/>
        <v>10908.895</v>
      </c>
      <c r="AM13" s="387">
        <f t="shared" si="2"/>
        <v>0</v>
      </c>
      <c r="AN13" s="387">
        <f t="shared" si="2"/>
        <v>0</v>
      </c>
    </row>
    <row r="14" spans="2:40" ht="13.15" customHeight="1" outlineLevel="1" x14ac:dyDescent="0.2">
      <c r="B14" s="404" t="s">
        <v>1000</v>
      </c>
      <c r="C14" s="413">
        <v>1</v>
      </c>
      <c r="D14" s="405" t="s">
        <v>1333</v>
      </c>
      <c r="E14" s="402">
        <f t="shared" si="1"/>
        <v>2931093.75</v>
      </c>
      <c r="F14" s="402">
        <f>IF($D14="Sim",'14 - Investimentos'!E16*9.25%,0)</f>
        <v>526093.75</v>
      </c>
      <c r="G14" s="402">
        <f>IF($D14="Sim",'14 - Investimentos'!F16*9.25%,0)</f>
        <v>0</v>
      </c>
      <c r="H14" s="402">
        <f>IF($D14="Sim",'14 - Investimentos'!G16*9.25%,0)</f>
        <v>0</v>
      </c>
      <c r="I14" s="402">
        <f>IF($D14="Sim",'14 - Investimentos'!H16*9.25%,0)</f>
        <v>0</v>
      </c>
      <c r="J14" s="402">
        <f>IF($D14="Sim",'14 - Investimentos'!I16*9.25%,0)</f>
        <v>0</v>
      </c>
      <c r="K14" s="402">
        <f>IF($D14="Sim",'14 - Investimentos'!J16*9.25%,0)</f>
        <v>0</v>
      </c>
      <c r="L14" s="402">
        <f>IF($D14="Sim",'14 - Investimentos'!K16*9.25%,0)</f>
        <v>0</v>
      </c>
      <c r="M14" s="402">
        <f>IF($D14="Sim",'14 - Investimentos'!L16*9.25%,0)</f>
        <v>601250</v>
      </c>
      <c r="N14" s="402">
        <f>IF($D14="Sim",'14 - Investimentos'!M16*9.25%,0)</f>
        <v>0</v>
      </c>
      <c r="O14" s="402">
        <f>IF($D14="Sim",'14 - Investimentos'!N16*9.25%,0)</f>
        <v>0</v>
      </c>
      <c r="P14" s="402">
        <f>IF($D14="Sim",'14 - Investimentos'!O16*9.25%,0)</f>
        <v>0</v>
      </c>
      <c r="Q14" s="402">
        <f>IF($D14="Sim",'14 - Investimentos'!P16*9.25%,0)</f>
        <v>0</v>
      </c>
      <c r="R14" s="402">
        <f>IF($D14="Sim",'14 - Investimentos'!Q16*9.25%,0)</f>
        <v>0</v>
      </c>
      <c r="S14" s="402">
        <f>IF($D14="Sim",'14 - Investimentos'!R16*9.25%,0)</f>
        <v>0</v>
      </c>
      <c r="T14" s="402">
        <f>IF($D14="Sim",'14 - Investimentos'!S16*9.25%,0)</f>
        <v>601250</v>
      </c>
      <c r="U14" s="402">
        <f>IF($D14="Sim",'14 - Investimentos'!T16*9.25%,0)</f>
        <v>0</v>
      </c>
      <c r="V14" s="402">
        <f>IF($D14="Sim",'14 - Investimentos'!U16*9.25%,0)</f>
        <v>0</v>
      </c>
      <c r="W14" s="402">
        <f>IF($D14="Sim",'14 - Investimentos'!V16*9.25%,0)</f>
        <v>0</v>
      </c>
      <c r="X14" s="402">
        <f>IF($D14="Sim",'14 - Investimentos'!W16*9.25%,0)</f>
        <v>0</v>
      </c>
      <c r="Y14" s="402">
        <f>IF($D14="Sim",'14 - Investimentos'!X16*9.25%,0)</f>
        <v>0</v>
      </c>
      <c r="Z14" s="402">
        <f>IF($D14="Sim",'14 - Investimentos'!Y16*9.25%,0)</f>
        <v>0</v>
      </c>
      <c r="AA14" s="402">
        <f>IF($D14="Sim",'14 - Investimentos'!Z16*9.25%,0)</f>
        <v>601250</v>
      </c>
      <c r="AB14" s="402">
        <f>IF($D14="Sim",'14 - Investimentos'!AA16*9.25%,0)</f>
        <v>0</v>
      </c>
      <c r="AC14" s="402">
        <f>IF($D14="Sim",'14 - Investimentos'!AB16*9.25%,0)</f>
        <v>0</v>
      </c>
      <c r="AD14" s="402">
        <f>IF($D14="Sim",'14 - Investimentos'!AC16*9.25%,0)</f>
        <v>0</v>
      </c>
      <c r="AE14" s="402">
        <f>IF($D14="Sim",'14 - Investimentos'!AD16*9.25%,0)</f>
        <v>0</v>
      </c>
      <c r="AF14" s="402">
        <f>IF($D14="Sim",'14 - Investimentos'!AE16*9.25%,0)</f>
        <v>0</v>
      </c>
      <c r="AG14" s="402">
        <f>IF($D14="Sim",'14 - Investimentos'!AF16*9.25%,0)</f>
        <v>0</v>
      </c>
      <c r="AH14" s="402">
        <f>IF($D14="Sim",'14 - Investimentos'!AG16*9.25%,0)</f>
        <v>601250</v>
      </c>
      <c r="AI14" s="402">
        <f>IF($D14="Sim",'14 - Investimentos'!AH16*9.25%,0)</f>
        <v>0</v>
      </c>
      <c r="AJ14" s="402">
        <f>IF($D14="Sim",'14 - Investimentos'!AI16*9.25%,0)</f>
        <v>0</v>
      </c>
      <c r="AK14" s="402">
        <f>IF($D14="Sim",'14 - Investimentos'!AJ16*9.25%,0)</f>
        <v>0</v>
      </c>
      <c r="AL14" s="402">
        <f>IF($D14="Sim",'14 - Investimentos'!AK16*9.25%,0)</f>
        <v>0</v>
      </c>
      <c r="AM14" s="402">
        <f>IF($D14="Sim",'14 - Investimentos'!AL16*9.25%,0)</f>
        <v>0</v>
      </c>
      <c r="AN14" s="402">
        <f>IF($D14="Sim",'14 - Investimentos'!AM16*9.25%,0)</f>
        <v>0</v>
      </c>
    </row>
    <row r="15" spans="2:40" ht="13.15" customHeight="1" outlineLevel="1" x14ac:dyDescent="0.2">
      <c r="B15" s="404" t="s">
        <v>793</v>
      </c>
      <c r="C15" s="413">
        <v>1</v>
      </c>
      <c r="D15" s="405" t="s">
        <v>1333</v>
      </c>
      <c r="E15" s="402">
        <f t="shared" si="1"/>
        <v>83928.487499999988</v>
      </c>
      <c r="F15" s="402">
        <f>IF($D15="Sim",'14 - Investimentos'!E19*9.25%,0)</f>
        <v>9325.3875000000007</v>
      </c>
      <c r="G15" s="402">
        <f>IF($D15="Sim",'14 - Investimentos'!F19*9.25%,0)</f>
        <v>0</v>
      </c>
      <c r="H15" s="402">
        <f>IF($D15="Sim",'14 - Investimentos'!G19*9.25%,0)</f>
        <v>0</v>
      </c>
      <c r="I15" s="402">
        <f>IF($D15="Sim",'14 - Investimentos'!H19*9.25%,0)</f>
        <v>0</v>
      </c>
      <c r="J15" s="402">
        <f>IF($D15="Sim",'14 - Investimentos'!I19*9.25%,0)</f>
        <v>9325.3875000000007</v>
      </c>
      <c r="K15" s="402">
        <f>IF($D15="Sim",'14 - Investimentos'!J19*9.25%,0)</f>
        <v>0</v>
      </c>
      <c r="L15" s="402">
        <f>IF($D15="Sim",'14 - Investimentos'!K19*9.25%,0)</f>
        <v>0</v>
      </c>
      <c r="M15" s="402">
        <f>IF($D15="Sim",'14 - Investimentos'!L19*9.25%,0)</f>
        <v>0</v>
      </c>
      <c r="N15" s="402">
        <f>IF($D15="Sim",'14 - Investimentos'!M19*9.25%,0)</f>
        <v>9325.3875000000007</v>
      </c>
      <c r="O15" s="402">
        <f>IF($D15="Sim",'14 - Investimentos'!N19*9.25%,0)</f>
        <v>0</v>
      </c>
      <c r="P15" s="402">
        <f>IF($D15="Sim",'14 - Investimentos'!O19*9.25%,0)</f>
        <v>0</v>
      </c>
      <c r="Q15" s="402">
        <f>IF($D15="Sim",'14 - Investimentos'!P19*9.25%,0)</f>
        <v>0</v>
      </c>
      <c r="R15" s="402">
        <f>IF($D15="Sim",'14 - Investimentos'!Q19*9.25%,0)</f>
        <v>9325.3875000000007</v>
      </c>
      <c r="S15" s="402">
        <f>IF($D15="Sim",'14 - Investimentos'!R19*9.25%,0)</f>
        <v>0</v>
      </c>
      <c r="T15" s="402">
        <f>IF($D15="Sim",'14 - Investimentos'!S19*9.25%,0)</f>
        <v>0</v>
      </c>
      <c r="U15" s="402">
        <f>IF($D15="Sim",'14 - Investimentos'!T19*9.25%,0)</f>
        <v>0</v>
      </c>
      <c r="V15" s="402">
        <f>IF($D15="Sim",'14 - Investimentos'!U19*9.25%,0)</f>
        <v>9325.3875000000007</v>
      </c>
      <c r="W15" s="402">
        <f>IF($D15="Sim",'14 - Investimentos'!V19*9.25%,0)</f>
        <v>0</v>
      </c>
      <c r="X15" s="402">
        <f>IF($D15="Sim",'14 - Investimentos'!W19*9.25%,0)</f>
        <v>0</v>
      </c>
      <c r="Y15" s="402">
        <f>IF($D15="Sim",'14 - Investimentos'!X19*9.25%,0)</f>
        <v>0</v>
      </c>
      <c r="Z15" s="402">
        <f>IF($D15="Sim",'14 - Investimentos'!Y19*9.25%,0)</f>
        <v>9325.3875000000007</v>
      </c>
      <c r="AA15" s="402">
        <f>IF($D15="Sim",'14 - Investimentos'!Z19*9.25%,0)</f>
        <v>0</v>
      </c>
      <c r="AB15" s="402">
        <f>IF($D15="Sim",'14 - Investimentos'!AA19*9.25%,0)</f>
        <v>0</v>
      </c>
      <c r="AC15" s="402">
        <f>IF($D15="Sim",'14 - Investimentos'!AB19*9.25%,0)</f>
        <v>0</v>
      </c>
      <c r="AD15" s="402">
        <f>IF($D15="Sim",'14 - Investimentos'!AC19*9.25%,0)</f>
        <v>9325.3875000000007</v>
      </c>
      <c r="AE15" s="402">
        <f>IF($D15="Sim",'14 - Investimentos'!AD19*9.25%,0)</f>
        <v>0</v>
      </c>
      <c r="AF15" s="402">
        <f>IF($D15="Sim",'14 - Investimentos'!AE19*9.25%,0)</f>
        <v>0</v>
      </c>
      <c r="AG15" s="402">
        <f>IF($D15="Sim",'14 - Investimentos'!AF19*9.25%,0)</f>
        <v>0</v>
      </c>
      <c r="AH15" s="402">
        <f>IF($D15="Sim",'14 - Investimentos'!AG19*9.25%,0)</f>
        <v>9325.3875000000007</v>
      </c>
      <c r="AI15" s="402">
        <f>IF($D15="Sim",'14 - Investimentos'!AH19*9.25%,0)</f>
        <v>0</v>
      </c>
      <c r="AJ15" s="402">
        <f>IF($D15="Sim",'14 - Investimentos'!AI19*9.25%,0)</f>
        <v>0</v>
      </c>
      <c r="AK15" s="402">
        <f>IF($D15="Sim",'14 - Investimentos'!AJ19*9.25%,0)</f>
        <v>0</v>
      </c>
      <c r="AL15" s="402">
        <f>IF($D15="Sim",'14 - Investimentos'!AK19*9.25%,0)</f>
        <v>9325.3875000000007</v>
      </c>
      <c r="AM15" s="402">
        <f>IF($D15="Sim",'14 - Investimentos'!AL19*9.25%,0)</f>
        <v>0</v>
      </c>
      <c r="AN15" s="402">
        <f>IF($D15="Sim",'14 - Investimentos'!AM19*9.25%,0)</f>
        <v>0</v>
      </c>
    </row>
    <row r="16" spans="2:40" ht="13.15" customHeight="1" outlineLevel="1" x14ac:dyDescent="0.2">
      <c r="B16" s="404" t="s">
        <v>794</v>
      </c>
      <c r="C16" s="413">
        <v>1</v>
      </c>
      <c r="D16" s="405" t="s">
        <v>1333</v>
      </c>
      <c r="E16" s="402">
        <f t="shared" si="1"/>
        <v>14251.567499999999</v>
      </c>
      <c r="F16" s="402">
        <f>IF($D16="Sim",'14 - Investimentos'!E20*9.25%,0)</f>
        <v>1583.5074999999999</v>
      </c>
      <c r="G16" s="402">
        <f>IF($D16="Sim",'14 - Investimentos'!F20*9.25%,0)</f>
        <v>0</v>
      </c>
      <c r="H16" s="402">
        <f>IF($D16="Sim",'14 - Investimentos'!G20*9.25%,0)</f>
        <v>0</v>
      </c>
      <c r="I16" s="402">
        <f>IF($D16="Sim",'14 - Investimentos'!H20*9.25%,0)</f>
        <v>0</v>
      </c>
      <c r="J16" s="402">
        <f>IF($D16="Sim",'14 - Investimentos'!I20*9.25%,0)</f>
        <v>1583.5074999999999</v>
      </c>
      <c r="K16" s="402">
        <f>IF($D16="Sim",'14 - Investimentos'!J20*9.25%,0)</f>
        <v>0</v>
      </c>
      <c r="L16" s="402">
        <f>IF($D16="Sim",'14 - Investimentos'!K20*9.25%,0)</f>
        <v>0</v>
      </c>
      <c r="M16" s="402">
        <f>IF($D16="Sim",'14 - Investimentos'!L20*9.25%,0)</f>
        <v>0</v>
      </c>
      <c r="N16" s="402">
        <f>IF($D16="Sim",'14 - Investimentos'!M20*9.25%,0)</f>
        <v>1583.5074999999999</v>
      </c>
      <c r="O16" s="402">
        <f>IF($D16="Sim",'14 - Investimentos'!N20*9.25%,0)</f>
        <v>0</v>
      </c>
      <c r="P16" s="402">
        <f>IF($D16="Sim",'14 - Investimentos'!O20*9.25%,0)</f>
        <v>0</v>
      </c>
      <c r="Q16" s="402">
        <f>IF($D16="Sim",'14 - Investimentos'!P20*9.25%,0)</f>
        <v>0</v>
      </c>
      <c r="R16" s="402">
        <f>IF($D16="Sim",'14 - Investimentos'!Q20*9.25%,0)</f>
        <v>1583.5074999999999</v>
      </c>
      <c r="S16" s="402">
        <f>IF($D16="Sim",'14 - Investimentos'!R20*9.25%,0)</f>
        <v>0</v>
      </c>
      <c r="T16" s="402">
        <f>IF($D16="Sim",'14 - Investimentos'!S20*9.25%,0)</f>
        <v>0</v>
      </c>
      <c r="U16" s="402">
        <f>IF($D16="Sim",'14 - Investimentos'!T20*9.25%,0)</f>
        <v>0</v>
      </c>
      <c r="V16" s="402">
        <f>IF($D16="Sim",'14 - Investimentos'!U20*9.25%,0)</f>
        <v>1583.5074999999999</v>
      </c>
      <c r="W16" s="402">
        <f>IF($D16="Sim",'14 - Investimentos'!V20*9.25%,0)</f>
        <v>0</v>
      </c>
      <c r="X16" s="402">
        <f>IF($D16="Sim",'14 - Investimentos'!W20*9.25%,0)</f>
        <v>0</v>
      </c>
      <c r="Y16" s="402">
        <f>IF($D16="Sim",'14 - Investimentos'!X20*9.25%,0)</f>
        <v>0</v>
      </c>
      <c r="Z16" s="402">
        <f>IF($D16="Sim",'14 - Investimentos'!Y20*9.25%,0)</f>
        <v>1583.5074999999999</v>
      </c>
      <c r="AA16" s="402">
        <f>IF($D16="Sim",'14 - Investimentos'!Z20*9.25%,0)</f>
        <v>0</v>
      </c>
      <c r="AB16" s="402">
        <f>IF($D16="Sim",'14 - Investimentos'!AA20*9.25%,0)</f>
        <v>0</v>
      </c>
      <c r="AC16" s="402">
        <f>IF($D16="Sim",'14 - Investimentos'!AB20*9.25%,0)</f>
        <v>0</v>
      </c>
      <c r="AD16" s="402">
        <f>IF($D16="Sim",'14 - Investimentos'!AC20*9.25%,0)</f>
        <v>1583.5074999999999</v>
      </c>
      <c r="AE16" s="402">
        <f>IF($D16="Sim",'14 - Investimentos'!AD20*9.25%,0)</f>
        <v>0</v>
      </c>
      <c r="AF16" s="402">
        <f>IF($D16="Sim",'14 - Investimentos'!AE20*9.25%,0)</f>
        <v>0</v>
      </c>
      <c r="AG16" s="402">
        <f>IF($D16="Sim",'14 - Investimentos'!AF20*9.25%,0)</f>
        <v>0</v>
      </c>
      <c r="AH16" s="402">
        <f>IF($D16="Sim",'14 - Investimentos'!AG20*9.25%,0)</f>
        <v>1583.5074999999999</v>
      </c>
      <c r="AI16" s="402">
        <f>IF($D16="Sim",'14 - Investimentos'!AH20*9.25%,0)</f>
        <v>0</v>
      </c>
      <c r="AJ16" s="402">
        <f>IF($D16="Sim",'14 - Investimentos'!AI20*9.25%,0)</f>
        <v>0</v>
      </c>
      <c r="AK16" s="402">
        <f>IF($D16="Sim",'14 - Investimentos'!AJ20*9.25%,0)</f>
        <v>0</v>
      </c>
      <c r="AL16" s="402">
        <f>IF($D16="Sim",'14 - Investimentos'!AK20*9.25%,0)</f>
        <v>1583.5074999999999</v>
      </c>
      <c r="AM16" s="402">
        <f>IF($D16="Sim",'14 - Investimentos'!AL20*9.25%,0)</f>
        <v>0</v>
      </c>
      <c r="AN16" s="402">
        <f>IF($D16="Sim",'14 - Investimentos'!AM20*9.25%,0)</f>
        <v>0</v>
      </c>
    </row>
    <row r="17" spans="2:40" ht="13.15" customHeight="1" outlineLevel="1" x14ac:dyDescent="0.2">
      <c r="B17" s="404" t="s">
        <v>1338</v>
      </c>
      <c r="C17" s="413">
        <v>1</v>
      </c>
      <c r="D17" s="405" t="s">
        <v>1333</v>
      </c>
      <c r="E17" s="402">
        <f t="shared" si="1"/>
        <v>81585</v>
      </c>
      <c r="F17" s="402">
        <f>IF($D17="Sim",'14 - Investimentos'!E18*9.25%,0)</f>
        <v>14985</v>
      </c>
      <c r="G17" s="402">
        <f>IF($D17="Sim",'14 - Investimentos'!F18*9.25%,0)</f>
        <v>0</v>
      </c>
      <c r="H17" s="402">
        <f>IF($D17="Sim",'14 - Investimentos'!G18*9.25%,0)</f>
        <v>0</v>
      </c>
      <c r="I17" s="402">
        <f>IF($D17="Sim",'14 - Investimentos'!H18*9.25%,0)</f>
        <v>0</v>
      </c>
      <c r="J17" s="402">
        <f>IF($D17="Sim",'14 - Investimentos'!I18*9.25%,0)</f>
        <v>0</v>
      </c>
      <c r="K17" s="402">
        <f>IF($D17="Sim",'14 - Investimentos'!J18*9.25%,0)</f>
        <v>0</v>
      </c>
      <c r="L17" s="402">
        <f>IF($D17="Sim",'14 - Investimentos'!K18*9.25%,0)</f>
        <v>0</v>
      </c>
      <c r="M17" s="402">
        <f>IF($D17="Sim",'14 - Investimentos'!L18*9.25%,0)</f>
        <v>16650</v>
      </c>
      <c r="N17" s="402">
        <f>IF($D17="Sim",'14 - Investimentos'!M18*9.25%,0)</f>
        <v>0</v>
      </c>
      <c r="O17" s="402">
        <f>IF($D17="Sim",'14 - Investimentos'!N18*9.25%,0)</f>
        <v>0</v>
      </c>
      <c r="P17" s="402">
        <f>IF($D17="Sim",'14 - Investimentos'!O18*9.25%,0)</f>
        <v>0</v>
      </c>
      <c r="Q17" s="402">
        <f>IF($D17="Sim",'14 - Investimentos'!P18*9.25%,0)</f>
        <v>0</v>
      </c>
      <c r="R17" s="402">
        <f>IF($D17="Sim",'14 - Investimentos'!Q18*9.25%,0)</f>
        <v>0</v>
      </c>
      <c r="S17" s="402">
        <f>IF($D17="Sim",'14 - Investimentos'!R18*9.25%,0)</f>
        <v>0</v>
      </c>
      <c r="T17" s="402">
        <f>IF($D17="Sim",'14 - Investimentos'!S18*9.25%,0)</f>
        <v>16650</v>
      </c>
      <c r="U17" s="402">
        <f>IF($D17="Sim",'14 - Investimentos'!T18*9.25%,0)</f>
        <v>0</v>
      </c>
      <c r="V17" s="402">
        <f>IF($D17="Sim",'14 - Investimentos'!U18*9.25%,0)</f>
        <v>0</v>
      </c>
      <c r="W17" s="402">
        <f>IF($D17="Sim",'14 - Investimentos'!V18*9.25%,0)</f>
        <v>0</v>
      </c>
      <c r="X17" s="402">
        <f>IF($D17="Sim",'14 - Investimentos'!W18*9.25%,0)</f>
        <v>0</v>
      </c>
      <c r="Y17" s="402">
        <f>IF($D17="Sim",'14 - Investimentos'!X18*9.25%,0)</f>
        <v>0</v>
      </c>
      <c r="Z17" s="402">
        <f>IF($D17="Sim",'14 - Investimentos'!Y18*9.25%,0)</f>
        <v>0</v>
      </c>
      <c r="AA17" s="402">
        <f>IF($D17="Sim",'14 - Investimentos'!Z18*9.25%,0)</f>
        <v>16650</v>
      </c>
      <c r="AB17" s="402">
        <f>IF($D17="Sim",'14 - Investimentos'!AA18*9.25%,0)</f>
        <v>0</v>
      </c>
      <c r="AC17" s="402">
        <f>IF($D17="Sim",'14 - Investimentos'!AB18*9.25%,0)</f>
        <v>0</v>
      </c>
      <c r="AD17" s="402">
        <f>IF($D17="Sim",'14 - Investimentos'!AC18*9.25%,0)</f>
        <v>0</v>
      </c>
      <c r="AE17" s="402">
        <f>IF($D17="Sim",'14 - Investimentos'!AD18*9.25%,0)</f>
        <v>0</v>
      </c>
      <c r="AF17" s="402">
        <f>IF($D17="Sim",'14 - Investimentos'!AE18*9.25%,0)</f>
        <v>0</v>
      </c>
      <c r="AG17" s="402">
        <f>IF($D17="Sim",'14 - Investimentos'!AF18*9.25%,0)</f>
        <v>0</v>
      </c>
      <c r="AH17" s="402">
        <f>IF($D17="Sim",'14 - Investimentos'!AG18*9.25%,0)</f>
        <v>16650</v>
      </c>
      <c r="AI17" s="402">
        <f>IF($D17="Sim",'14 - Investimentos'!AH18*9.25%,0)</f>
        <v>0</v>
      </c>
      <c r="AJ17" s="402">
        <f>IF($D17="Sim",'14 - Investimentos'!AI18*9.25%,0)</f>
        <v>0</v>
      </c>
      <c r="AK17" s="402">
        <f>IF($D17="Sim",'14 - Investimentos'!AJ18*9.25%,0)</f>
        <v>0</v>
      </c>
      <c r="AL17" s="402">
        <f>IF($D17="Sim",'14 - Investimentos'!AK18*9.25%,0)</f>
        <v>0</v>
      </c>
      <c r="AM17" s="402">
        <f>IF($D17="Sim",'14 - Investimentos'!AL18*9.25%,0)</f>
        <v>0</v>
      </c>
      <c r="AN17" s="402">
        <f>IF($D17="Sim",'14 - Investimentos'!AM18*9.25%,0)</f>
        <v>0</v>
      </c>
    </row>
    <row r="18" spans="2:40" ht="13.15" customHeight="1" outlineLevel="1" x14ac:dyDescent="0.2">
      <c r="B18" s="404" t="s">
        <v>1093</v>
      </c>
      <c r="C18" s="413">
        <v>1</v>
      </c>
      <c r="D18" s="405" t="s">
        <v>1333</v>
      </c>
      <c r="E18" s="402">
        <f t="shared" si="1"/>
        <v>751562.5</v>
      </c>
      <c r="F18" s="402">
        <f>IF($D18="Sim",'14 - Investimentos'!E17*9.25%,0)</f>
        <v>150312.5</v>
      </c>
      <c r="G18" s="402">
        <f>IF($D18="Sim",'14 - Investimentos'!F17*9.25%,0)</f>
        <v>0</v>
      </c>
      <c r="H18" s="402">
        <f>IF($D18="Sim",'14 - Investimentos'!G17*9.25%,0)</f>
        <v>0</v>
      </c>
      <c r="I18" s="402">
        <f>IF($D18="Sim",'14 - Investimentos'!H17*9.25%,0)</f>
        <v>0</v>
      </c>
      <c r="J18" s="402">
        <f>IF($D18="Sim",'14 - Investimentos'!I17*9.25%,0)</f>
        <v>0</v>
      </c>
      <c r="K18" s="402">
        <f>IF($D18="Sim",'14 - Investimentos'!J17*9.25%,0)</f>
        <v>0</v>
      </c>
      <c r="L18" s="402">
        <f>IF($D18="Sim",'14 - Investimentos'!K17*9.25%,0)</f>
        <v>0</v>
      </c>
      <c r="M18" s="402">
        <f>IF($D18="Sim",'14 - Investimentos'!L17*9.25%,0)</f>
        <v>150312.5</v>
      </c>
      <c r="N18" s="402">
        <f>IF($D18="Sim",'14 - Investimentos'!M17*9.25%,0)</f>
        <v>0</v>
      </c>
      <c r="O18" s="402">
        <f>IF($D18="Sim",'14 - Investimentos'!N17*9.25%,0)</f>
        <v>0</v>
      </c>
      <c r="P18" s="402">
        <f>IF($D18="Sim",'14 - Investimentos'!O17*9.25%,0)</f>
        <v>0</v>
      </c>
      <c r="Q18" s="402">
        <f>IF($D18="Sim",'14 - Investimentos'!P17*9.25%,0)</f>
        <v>0</v>
      </c>
      <c r="R18" s="402">
        <f>IF($D18="Sim",'14 - Investimentos'!Q17*9.25%,0)</f>
        <v>0</v>
      </c>
      <c r="S18" s="402">
        <f>IF($D18="Sim",'14 - Investimentos'!R17*9.25%,0)</f>
        <v>0</v>
      </c>
      <c r="T18" s="402">
        <f>IF($D18="Sim",'14 - Investimentos'!S17*9.25%,0)</f>
        <v>150312.5</v>
      </c>
      <c r="U18" s="402">
        <f>IF($D18="Sim",'14 - Investimentos'!T17*9.25%,0)</f>
        <v>0</v>
      </c>
      <c r="V18" s="402">
        <f>IF($D18="Sim",'14 - Investimentos'!U17*9.25%,0)</f>
        <v>0</v>
      </c>
      <c r="W18" s="402">
        <f>IF($D18="Sim",'14 - Investimentos'!V17*9.25%,0)</f>
        <v>0</v>
      </c>
      <c r="X18" s="402">
        <f>IF($D18="Sim",'14 - Investimentos'!W17*9.25%,0)</f>
        <v>0</v>
      </c>
      <c r="Y18" s="402">
        <f>IF($D18="Sim",'14 - Investimentos'!X17*9.25%,0)</f>
        <v>0</v>
      </c>
      <c r="Z18" s="402">
        <f>IF($D18="Sim",'14 - Investimentos'!Y17*9.25%,0)</f>
        <v>0</v>
      </c>
      <c r="AA18" s="402">
        <f>IF($D18="Sim",'14 - Investimentos'!Z17*9.25%,0)</f>
        <v>150312.5</v>
      </c>
      <c r="AB18" s="402">
        <f>IF($D18="Sim",'14 - Investimentos'!AA17*9.25%,0)</f>
        <v>0</v>
      </c>
      <c r="AC18" s="402">
        <f>IF($D18="Sim",'14 - Investimentos'!AB17*9.25%,0)</f>
        <v>0</v>
      </c>
      <c r="AD18" s="402">
        <f>IF($D18="Sim",'14 - Investimentos'!AC17*9.25%,0)</f>
        <v>0</v>
      </c>
      <c r="AE18" s="402">
        <f>IF($D18="Sim",'14 - Investimentos'!AD17*9.25%,0)</f>
        <v>0</v>
      </c>
      <c r="AF18" s="402">
        <f>IF($D18="Sim",'14 - Investimentos'!AE17*9.25%,0)</f>
        <v>0</v>
      </c>
      <c r="AG18" s="402">
        <f>IF($D18="Sim",'14 - Investimentos'!AF17*9.25%,0)</f>
        <v>0</v>
      </c>
      <c r="AH18" s="402">
        <f>IF($D18="Sim",'14 - Investimentos'!AG17*9.25%,0)</f>
        <v>150312.5</v>
      </c>
      <c r="AI18" s="402">
        <f>IF($D18="Sim",'14 - Investimentos'!AH17*9.25%,0)</f>
        <v>0</v>
      </c>
      <c r="AJ18" s="402">
        <f>IF($D18="Sim",'14 - Investimentos'!AI17*9.25%,0)</f>
        <v>0</v>
      </c>
      <c r="AK18" s="402">
        <f>IF($D18="Sim",'14 - Investimentos'!AJ17*9.25%,0)</f>
        <v>0</v>
      </c>
      <c r="AL18" s="402">
        <f>IF($D18="Sim",'14 - Investimentos'!AK17*9.25%,0)</f>
        <v>0</v>
      </c>
      <c r="AM18" s="402">
        <f>IF($D18="Sim",'14 - Investimentos'!AL17*9.25%,0)</f>
        <v>0</v>
      </c>
      <c r="AN18" s="402">
        <f>IF($D18="Sim",'14 - Investimentos'!AM17*9.25%,0)</f>
        <v>0</v>
      </c>
    </row>
    <row r="19" spans="2:40" s="8" customFormat="1" ht="13.15" customHeight="1" x14ac:dyDescent="0.2">
      <c r="B19" s="323" t="s">
        <v>1339</v>
      </c>
      <c r="C19" s="418"/>
      <c r="D19" s="386"/>
      <c r="E19" s="387">
        <f>SUM(E20:E25)</f>
        <v>784613.43104666669</v>
      </c>
      <c r="F19" s="387">
        <f t="shared" ref="F19:AN19" si="3">SUM(F20:F20)</f>
        <v>88748.282325000007</v>
      </c>
      <c r="G19" s="387">
        <f t="shared" si="3"/>
        <v>0</v>
      </c>
      <c r="H19" s="387">
        <f t="shared" si="3"/>
        <v>0</v>
      </c>
      <c r="I19" s="387">
        <f t="shared" si="3"/>
        <v>0</v>
      </c>
      <c r="J19" s="387">
        <f t="shared" si="3"/>
        <v>0</v>
      </c>
      <c r="K19" s="387">
        <f t="shared" si="3"/>
        <v>0</v>
      </c>
      <c r="L19" s="387">
        <f t="shared" si="3"/>
        <v>0</v>
      </c>
      <c r="M19" s="387">
        <f t="shared" si="3"/>
        <v>0</v>
      </c>
      <c r="N19" s="387">
        <f t="shared" si="3"/>
        <v>0</v>
      </c>
      <c r="O19" s="387">
        <f t="shared" si="3"/>
        <v>0</v>
      </c>
      <c r="P19" s="387">
        <f t="shared" si="3"/>
        <v>70998.62586</v>
      </c>
      <c r="Q19" s="387">
        <f t="shared" si="3"/>
        <v>0</v>
      </c>
      <c r="R19" s="387">
        <f t="shared" si="3"/>
        <v>0</v>
      </c>
      <c r="S19" s="387">
        <f t="shared" si="3"/>
        <v>0</v>
      </c>
      <c r="T19" s="387">
        <f t="shared" si="3"/>
        <v>0</v>
      </c>
      <c r="U19" s="387">
        <f t="shared" si="3"/>
        <v>0</v>
      </c>
      <c r="V19" s="387">
        <f t="shared" si="3"/>
        <v>0</v>
      </c>
      <c r="W19" s="387">
        <f t="shared" si="3"/>
        <v>0</v>
      </c>
      <c r="X19" s="387">
        <f t="shared" si="3"/>
        <v>0</v>
      </c>
      <c r="Y19" s="387">
        <f t="shared" si="3"/>
        <v>0</v>
      </c>
      <c r="Z19" s="387">
        <f t="shared" si="3"/>
        <v>70998.62586</v>
      </c>
      <c r="AA19" s="387">
        <f t="shared" si="3"/>
        <v>0</v>
      </c>
      <c r="AB19" s="387">
        <f t="shared" si="3"/>
        <v>0</v>
      </c>
      <c r="AC19" s="387">
        <f t="shared" si="3"/>
        <v>0</v>
      </c>
      <c r="AD19" s="387">
        <f t="shared" si="3"/>
        <v>0</v>
      </c>
      <c r="AE19" s="387">
        <f t="shared" si="3"/>
        <v>0</v>
      </c>
      <c r="AF19" s="387">
        <f t="shared" si="3"/>
        <v>0</v>
      </c>
      <c r="AG19" s="387">
        <f t="shared" si="3"/>
        <v>0</v>
      </c>
      <c r="AH19" s="387">
        <f t="shared" si="3"/>
        <v>0</v>
      </c>
      <c r="AI19" s="387">
        <f t="shared" si="3"/>
        <v>0</v>
      </c>
      <c r="AJ19" s="387">
        <f t="shared" si="3"/>
        <v>70998.62586</v>
      </c>
      <c r="AK19" s="387">
        <f t="shared" si="3"/>
        <v>0</v>
      </c>
      <c r="AL19" s="387">
        <f t="shared" si="3"/>
        <v>0</v>
      </c>
      <c r="AM19" s="387">
        <f t="shared" si="3"/>
        <v>0</v>
      </c>
      <c r="AN19" s="387">
        <f t="shared" si="3"/>
        <v>0</v>
      </c>
    </row>
    <row r="20" spans="2:40" ht="13.15" customHeight="1" outlineLevel="1" x14ac:dyDescent="0.2">
      <c r="B20" s="400" t="s">
        <v>129</v>
      </c>
      <c r="C20" s="418">
        <v>24</v>
      </c>
      <c r="D20" s="401" t="s">
        <v>1333</v>
      </c>
      <c r="E20" s="402">
        <f t="shared" ref="E20:E25" si="4">SUM(F20:AN20)</f>
        <v>301744.15990500001</v>
      </c>
      <c r="F20" s="402">
        <f>IF($D20="Sim",'14 - Investimentos'!E23*9.25%,0)</f>
        <v>88748.282325000007</v>
      </c>
      <c r="G20" s="402">
        <f>IF($D20="Sim",'14 - Investimentos'!F23*9.25%,0)</f>
        <v>0</v>
      </c>
      <c r="H20" s="402">
        <f>IF($D20="Sim",'14 - Investimentos'!G23*9.25%,0)</f>
        <v>0</v>
      </c>
      <c r="I20" s="402">
        <f>IF($D20="Sim",'14 - Investimentos'!H23*9.25%,0)</f>
        <v>0</v>
      </c>
      <c r="J20" s="402">
        <f>IF($D20="Sim",'14 - Investimentos'!I23*9.25%,0)</f>
        <v>0</v>
      </c>
      <c r="K20" s="402">
        <f>IF($D20="Sim",'14 - Investimentos'!J23*9.25%,0)</f>
        <v>0</v>
      </c>
      <c r="L20" s="402">
        <f>IF($D20="Sim",'14 - Investimentos'!K23*9.25%,0)</f>
        <v>0</v>
      </c>
      <c r="M20" s="402">
        <f>IF($D20="Sim",'14 - Investimentos'!L23*9.25%,0)</f>
        <v>0</v>
      </c>
      <c r="N20" s="402">
        <f>IF($D20="Sim",'14 - Investimentos'!M23*9.25%,0)</f>
        <v>0</v>
      </c>
      <c r="O20" s="402">
        <f>IF($D20="Sim",'14 - Investimentos'!N23*9.25%,0)</f>
        <v>0</v>
      </c>
      <c r="P20" s="402">
        <f>IF($D20="Sim",'14 - Investimentos'!O23*9.25%,0)</f>
        <v>70998.62586</v>
      </c>
      <c r="Q20" s="402">
        <f>IF($D20="Sim",'14 - Investimentos'!P23*9.25%,0)</f>
        <v>0</v>
      </c>
      <c r="R20" s="402">
        <f>IF($D20="Sim",'14 - Investimentos'!Q23*9.25%,0)</f>
        <v>0</v>
      </c>
      <c r="S20" s="402">
        <f>IF($D20="Sim",'14 - Investimentos'!R23*9.25%,0)</f>
        <v>0</v>
      </c>
      <c r="T20" s="402">
        <f>IF($D20="Sim",'14 - Investimentos'!S23*9.25%,0)</f>
        <v>0</v>
      </c>
      <c r="U20" s="402">
        <f>IF($D20="Sim",'14 - Investimentos'!T23*9.25%,0)</f>
        <v>0</v>
      </c>
      <c r="V20" s="402">
        <f>IF($D20="Sim",'14 - Investimentos'!U23*9.25%,0)</f>
        <v>0</v>
      </c>
      <c r="W20" s="402">
        <f>IF($D20="Sim",'14 - Investimentos'!V23*9.25%,0)</f>
        <v>0</v>
      </c>
      <c r="X20" s="402">
        <f>IF($D20="Sim",'14 - Investimentos'!W23*9.25%,0)</f>
        <v>0</v>
      </c>
      <c r="Y20" s="402">
        <f>IF($D20="Sim",'14 - Investimentos'!X23*9.25%,0)</f>
        <v>0</v>
      </c>
      <c r="Z20" s="402">
        <f>IF($D20="Sim",'14 - Investimentos'!Y23*9.25%,0)</f>
        <v>70998.62586</v>
      </c>
      <c r="AA20" s="402">
        <f>IF($D20="Sim",'14 - Investimentos'!Z23*9.25%,0)</f>
        <v>0</v>
      </c>
      <c r="AB20" s="402">
        <f>IF($D20="Sim",'14 - Investimentos'!AA23*9.25%,0)</f>
        <v>0</v>
      </c>
      <c r="AC20" s="402">
        <f>IF($D20="Sim",'14 - Investimentos'!AB23*9.25%,0)</f>
        <v>0</v>
      </c>
      <c r="AD20" s="402">
        <f>IF($D20="Sim",'14 - Investimentos'!AC23*9.25%,0)</f>
        <v>0</v>
      </c>
      <c r="AE20" s="402">
        <f>IF($D20="Sim",'14 - Investimentos'!AD23*9.25%,0)</f>
        <v>0</v>
      </c>
      <c r="AF20" s="402">
        <f>IF($D20="Sim",'14 - Investimentos'!AE23*9.25%,0)</f>
        <v>0</v>
      </c>
      <c r="AG20" s="402">
        <f>IF($D20="Sim",'14 - Investimentos'!AF23*9.25%,0)</f>
        <v>0</v>
      </c>
      <c r="AH20" s="402">
        <f>IF($D20="Sim",'14 - Investimentos'!AG23*9.25%,0)</f>
        <v>0</v>
      </c>
      <c r="AI20" s="402">
        <f>IF($D20="Sim",'14 - Investimentos'!AH23*9.25%,0)</f>
        <v>0</v>
      </c>
      <c r="AJ20" s="402">
        <f>IF($D20="Sim",'14 - Investimentos'!AI23*9.25%,0)</f>
        <v>70998.62586</v>
      </c>
      <c r="AK20" s="402">
        <f>IF($D20="Sim",'14 - Investimentos'!AJ23*9.25%,0)</f>
        <v>0</v>
      </c>
      <c r="AL20" s="402">
        <f>IF($D20="Sim",'14 - Investimentos'!AK23*9.25%,0)</f>
        <v>0</v>
      </c>
      <c r="AM20" s="402">
        <f>IF($D20="Sim",'14 - Investimentos'!AL23*9.25%,0)</f>
        <v>0</v>
      </c>
      <c r="AN20" s="402">
        <f>IF($D20="Sim",'14 - Investimentos'!AM23*9.25%,0)</f>
        <v>0</v>
      </c>
    </row>
    <row r="21" spans="2:40" ht="13.15" customHeight="1" outlineLevel="1" x14ac:dyDescent="0.2">
      <c r="B21" s="400" t="s">
        <v>808</v>
      </c>
      <c r="C21" s="418">
        <v>1</v>
      </c>
      <c r="D21" s="401" t="s">
        <v>1333</v>
      </c>
      <c r="E21" s="402">
        <f t="shared" si="4"/>
        <v>18966.949866666666</v>
      </c>
      <c r="F21" s="402">
        <f>IF($D21="Sim",'14 - Investimentos'!E24*9.25%,0)</f>
        <v>2709.5642666666668</v>
      </c>
      <c r="G21" s="402">
        <f>IF($D21="Sim",'14 - Investimentos'!F24*9.25%,0)</f>
        <v>0</v>
      </c>
      <c r="H21" s="402">
        <f>IF($D21="Sim",'14 - Investimentos'!G24*9.25%,0)</f>
        <v>0</v>
      </c>
      <c r="I21" s="402">
        <f>IF($D21="Sim",'14 - Investimentos'!H24*9.25%,0)</f>
        <v>0</v>
      </c>
      <c r="J21" s="402">
        <f>IF($D21="Sim",'14 - Investimentos'!I24*9.25%,0)</f>
        <v>0</v>
      </c>
      <c r="K21" s="402">
        <f>IF($D21="Sim",'14 - Investimentos'!J24*9.25%,0)</f>
        <v>2709.5642666666668</v>
      </c>
      <c r="L21" s="402">
        <f>IF($D21="Sim",'14 - Investimentos'!K24*9.25%,0)</f>
        <v>0</v>
      </c>
      <c r="M21" s="402">
        <f>IF($D21="Sim",'14 - Investimentos'!L24*9.25%,0)</f>
        <v>0</v>
      </c>
      <c r="N21" s="402">
        <f>IF($D21="Sim",'14 - Investimentos'!M24*9.25%,0)</f>
        <v>0</v>
      </c>
      <c r="O21" s="402">
        <f>IF($D21="Sim",'14 - Investimentos'!N24*9.25%,0)</f>
        <v>0</v>
      </c>
      <c r="P21" s="402">
        <f>IF($D21="Sim",'14 - Investimentos'!O24*9.25%,0)</f>
        <v>2709.5642666666668</v>
      </c>
      <c r="Q21" s="402">
        <f>IF($D21="Sim",'14 - Investimentos'!P24*9.25%,0)</f>
        <v>0</v>
      </c>
      <c r="R21" s="402">
        <f>IF($D21="Sim",'14 - Investimentos'!Q24*9.25%,0)</f>
        <v>0</v>
      </c>
      <c r="S21" s="402">
        <f>IF($D21="Sim",'14 - Investimentos'!R24*9.25%,0)</f>
        <v>0</v>
      </c>
      <c r="T21" s="402">
        <f>IF($D21="Sim",'14 - Investimentos'!S24*9.25%,0)</f>
        <v>0</v>
      </c>
      <c r="U21" s="402">
        <f>IF($D21="Sim",'14 - Investimentos'!T24*9.25%,0)</f>
        <v>2709.5642666666668</v>
      </c>
      <c r="V21" s="402">
        <f>IF($D21="Sim",'14 - Investimentos'!U24*9.25%,0)</f>
        <v>0</v>
      </c>
      <c r="W21" s="402">
        <f>IF($D21="Sim",'14 - Investimentos'!V24*9.25%,0)</f>
        <v>0</v>
      </c>
      <c r="X21" s="402">
        <f>IF($D21="Sim",'14 - Investimentos'!W24*9.25%,0)</f>
        <v>0</v>
      </c>
      <c r="Y21" s="402">
        <f>IF($D21="Sim",'14 - Investimentos'!X24*9.25%,0)</f>
        <v>0</v>
      </c>
      <c r="Z21" s="402">
        <f>IF($D21="Sim",'14 - Investimentos'!Y24*9.25%,0)</f>
        <v>2709.5642666666668</v>
      </c>
      <c r="AA21" s="402">
        <f>IF($D21="Sim",'14 - Investimentos'!Z24*9.25%,0)</f>
        <v>0</v>
      </c>
      <c r="AB21" s="402">
        <f>IF($D21="Sim",'14 - Investimentos'!AA24*9.25%,0)</f>
        <v>0</v>
      </c>
      <c r="AC21" s="402">
        <f>IF($D21="Sim",'14 - Investimentos'!AB24*9.25%,0)</f>
        <v>0</v>
      </c>
      <c r="AD21" s="402">
        <f>IF($D21="Sim",'14 - Investimentos'!AC24*9.25%,0)</f>
        <v>0</v>
      </c>
      <c r="AE21" s="402">
        <f>IF($D21="Sim",'14 - Investimentos'!AD24*9.25%,0)</f>
        <v>2709.5642666666668</v>
      </c>
      <c r="AF21" s="402">
        <f>IF($D21="Sim",'14 - Investimentos'!AE24*9.25%,0)</f>
        <v>0</v>
      </c>
      <c r="AG21" s="402">
        <f>IF($D21="Sim",'14 - Investimentos'!AF24*9.25%,0)</f>
        <v>0</v>
      </c>
      <c r="AH21" s="402">
        <f>IF($D21="Sim",'14 - Investimentos'!AG24*9.25%,0)</f>
        <v>0</v>
      </c>
      <c r="AI21" s="402">
        <f>IF($D21="Sim",'14 - Investimentos'!AH24*9.25%,0)</f>
        <v>0</v>
      </c>
      <c r="AJ21" s="402">
        <f>IF($D21="Sim",'14 - Investimentos'!AI24*9.25%,0)</f>
        <v>2709.5642666666668</v>
      </c>
      <c r="AK21" s="402">
        <f>IF($D21="Sim",'14 - Investimentos'!AJ24*9.25%,0)</f>
        <v>0</v>
      </c>
      <c r="AL21" s="402">
        <f>IF($D21="Sim",'14 - Investimentos'!AK24*9.25%,0)</f>
        <v>0</v>
      </c>
      <c r="AM21" s="402">
        <f>IF($D21="Sim",'14 - Investimentos'!AL24*9.25%,0)</f>
        <v>0</v>
      </c>
      <c r="AN21" s="402">
        <f>IF($D21="Sim",'14 - Investimentos'!AM24*9.25%,0)</f>
        <v>0</v>
      </c>
    </row>
    <row r="22" spans="2:40" ht="13.15" customHeight="1" outlineLevel="1" x14ac:dyDescent="0.2">
      <c r="B22" s="400" t="s">
        <v>809</v>
      </c>
      <c r="C22" s="418">
        <v>1</v>
      </c>
      <c r="D22" s="401" t="s">
        <v>1333</v>
      </c>
      <c r="E22" s="402">
        <f t="shared" si="4"/>
        <v>21904</v>
      </c>
      <c r="F22" s="402">
        <f>IF($D22="Sim",'14 - Investimentos'!E25*9.25%,0)</f>
        <v>5476</v>
      </c>
      <c r="G22" s="402">
        <f>IF($D22="Sim",'14 - Investimentos'!F25*9.25%,0)</f>
        <v>0</v>
      </c>
      <c r="H22" s="402">
        <f>IF($D22="Sim",'14 - Investimentos'!G25*9.25%,0)</f>
        <v>0</v>
      </c>
      <c r="I22" s="402">
        <f>IF($D22="Sim",'14 - Investimentos'!H25*9.25%,0)</f>
        <v>0</v>
      </c>
      <c r="J22" s="402">
        <f>IF($D22="Sim",'14 - Investimentos'!I25*9.25%,0)</f>
        <v>0</v>
      </c>
      <c r="K22" s="402">
        <f>IF($D22="Sim",'14 - Investimentos'!J25*9.25%,0)</f>
        <v>0</v>
      </c>
      <c r="L22" s="402">
        <f>IF($D22="Sim",'14 - Investimentos'!K25*9.25%,0)</f>
        <v>0</v>
      </c>
      <c r="M22" s="402">
        <f>IF($D22="Sim",'14 - Investimentos'!L25*9.25%,0)</f>
        <v>0</v>
      </c>
      <c r="N22" s="402">
        <f>IF($D22="Sim",'14 - Investimentos'!M25*9.25%,0)</f>
        <v>0</v>
      </c>
      <c r="O22" s="402">
        <f>IF($D22="Sim",'14 - Investimentos'!N25*9.25%,0)</f>
        <v>0</v>
      </c>
      <c r="P22" s="402">
        <f>IF($D22="Sim",'14 - Investimentos'!O25*9.25%,0)</f>
        <v>5476</v>
      </c>
      <c r="Q22" s="402">
        <f>IF($D22="Sim",'14 - Investimentos'!P25*9.25%,0)</f>
        <v>0</v>
      </c>
      <c r="R22" s="402">
        <f>IF($D22="Sim",'14 - Investimentos'!Q25*9.25%,0)</f>
        <v>0</v>
      </c>
      <c r="S22" s="402">
        <f>IF($D22="Sim",'14 - Investimentos'!R25*9.25%,0)</f>
        <v>0</v>
      </c>
      <c r="T22" s="402">
        <f>IF($D22="Sim",'14 - Investimentos'!S25*9.25%,0)</f>
        <v>0</v>
      </c>
      <c r="U22" s="402">
        <f>IF($D22="Sim",'14 - Investimentos'!T25*9.25%,0)</f>
        <v>0</v>
      </c>
      <c r="V22" s="402">
        <f>IF($D22="Sim",'14 - Investimentos'!U25*9.25%,0)</f>
        <v>0</v>
      </c>
      <c r="W22" s="402">
        <f>IF($D22="Sim",'14 - Investimentos'!V25*9.25%,0)</f>
        <v>0</v>
      </c>
      <c r="X22" s="402">
        <f>IF($D22="Sim",'14 - Investimentos'!W25*9.25%,0)</f>
        <v>0</v>
      </c>
      <c r="Y22" s="402">
        <f>IF($D22="Sim",'14 - Investimentos'!X25*9.25%,0)</f>
        <v>0</v>
      </c>
      <c r="Z22" s="402">
        <f>IF($D22="Sim",'14 - Investimentos'!Y25*9.25%,0)</f>
        <v>5476</v>
      </c>
      <c r="AA22" s="402">
        <f>IF($D22="Sim",'14 - Investimentos'!Z25*9.25%,0)</f>
        <v>0</v>
      </c>
      <c r="AB22" s="402">
        <f>IF($D22="Sim",'14 - Investimentos'!AA25*9.25%,0)</f>
        <v>0</v>
      </c>
      <c r="AC22" s="402">
        <f>IF($D22="Sim",'14 - Investimentos'!AB25*9.25%,0)</f>
        <v>0</v>
      </c>
      <c r="AD22" s="402">
        <f>IF($D22="Sim",'14 - Investimentos'!AC25*9.25%,0)</f>
        <v>0</v>
      </c>
      <c r="AE22" s="402">
        <f>IF($D22="Sim",'14 - Investimentos'!AD25*9.25%,0)</f>
        <v>0</v>
      </c>
      <c r="AF22" s="402">
        <f>IF($D22="Sim",'14 - Investimentos'!AE25*9.25%,0)</f>
        <v>0</v>
      </c>
      <c r="AG22" s="402">
        <f>IF($D22="Sim",'14 - Investimentos'!AF25*9.25%,0)</f>
        <v>0</v>
      </c>
      <c r="AH22" s="402">
        <f>IF($D22="Sim",'14 - Investimentos'!AG25*9.25%,0)</f>
        <v>0</v>
      </c>
      <c r="AI22" s="402">
        <f>IF($D22="Sim",'14 - Investimentos'!AH25*9.25%,0)</f>
        <v>0</v>
      </c>
      <c r="AJ22" s="402">
        <f>IF($D22="Sim",'14 - Investimentos'!AI25*9.25%,0)</f>
        <v>5476</v>
      </c>
      <c r="AK22" s="402">
        <f>IF($D22="Sim",'14 - Investimentos'!AJ25*9.25%,0)</f>
        <v>0</v>
      </c>
      <c r="AL22" s="402">
        <f>IF($D22="Sim",'14 - Investimentos'!AK25*9.25%,0)</f>
        <v>0</v>
      </c>
      <c r="AM22" s="402">
        <f>IF($D22="Sim",'14 - Investimentos'!AL25*9.25%,0)</f>
        <v>0</v>
      </c>
      <c r="AN22" s="402">
        <f>IF($D22="Sim",'14 - Investimentos'!AM25*9.25%,0)</f>
        <v>0</v>
      </c>
    </row>
    <row r="23" spans="2:40" ht="13.15" customHeight="1" outlineLevel="1" x14ac:dyDescent="0.2">
      <c r="B23" s="400" t="s">
        <v>810</v>
      </c>
      <c r="C23" s="418">
        <v>1</v>
      </c>
      <c r="D23" s="401" t="s">
        <v>1333</v>
      </c>
      <c r="E23" s="402">
        <f t="shared" si="4"/>
        <v>271130.26500000007</v>
      </c>
      <c r="F23" s="402">
        <f>IF($D23="Sim",'14 - Investimentos'!E44*9.25%,0)</f>
        <v>17214.62</v>
      </c>
      <c r="G23" s="402">
        <f>IF($D23="Sim",'14 - Investimentos'!F44*9.25%,0)</f>
        <v>10759.137500000001</v>
      </c>
      <c r="H23" s="402">
        <f>IF($D23="Sim",'14 - Investimentos'!G44*9.25%,0)</f>
        <v>10759.137500000001</v>
      </c>
      <c r="I23" s="402">
        <f>IF($D23="Sim",'14 - Investimentos'!H44*9.25%,0)</f>
        <v>0</v>
      </c>
      <c r="J23" s="402">
        <f>IF($D23="Sim",'14 - Investimentos'!I44*9.25%,0)</f>
        <v>0</v>
      </c>
      <c r="K23" s="402">
        <f>IF($D23="Sim",'14 - Investimentos'!J44*9.25%,0)</f>
        <v>17214.62</v>
      </c>
      <c r="L23" s="402">
        <f>IF($D23="Sim",'14 - Investimentos'!K44*9.25%,0)</f>
        <v>10759.137500000001</v>
      </c>
      <c r="M23" s="402">
        <f>IF($D23="Sim",'14 - Investimentos'!L44*9.25%,0)</f>
        <v>10759.137500000001</v>
      </c>
      <c r="N23" s="402">
        <f>IF($D23="Sim",'14 - Investimentos'!M44*9.25%,0)</f>
        <v>0</v>
      </c>
      <c r="O23" s="402">
        <f>IF($D23="Sim",'14 - Investimentos'!N44*9.25%,0)</f>
        <v>0</v>
      </c>
      <c r="P23" s="402">
        <f>IF($D23="Sim",'14 - Investimentos'!O44*9.25%,0)</f>
        <v>17214.62</v>
      </c>
      <c r="Q23" s="402">
        <f>IF($D23="Sim",'14 - Investimentos'!P44*9.25%,0)</f>
        <v>10759.137500000001</v>
      </c>
      <c r="R23" s="402">
        <f>IF($D23="Sim",'14 - Investimentos'!Q44*9.25%,0)</f>
        <v>10759.137500000001</v>
      </c>
      <c r="S23" s="402">
        <f>IF($D23="Sim",'14 - Investimentos'!R44*9.25%,0)</f>
        <v>0</v>
      </c>
      <c r="T23" s="402">
        <f>IF($D23="Sim",'14 - Investimentos'!S44*9.25%,0)</f>
        <v>0</v>
      </c>
      <c r="U23" s="402">
        <f>IF($D23="Sim",'14 - Investimentos'!T44*9.25%,0)</f>
        <v>17214.62</v>
      </c>
      <c r="V23" s="402">
        <f>IF($D23="Sim",'14 - Investimentos'!U44*9.25%,0)</f>
        <v>10759.137500000001</v>
      </c>
      <c r="W23" s="402">
        <f>IF($D23="Sim",'14 - Investimentos'!V44*9.25%,0)</f>
        <v>10759.137500000001</v>
      </c>
      <c r="X23" s="402">
        <f>IF($D23="Sim",'14 - Investimentos'!W44*9.25%,0)</f>
        <v>0</v>
      </c>
      <c r="Y23" s="402">
        <f>IF($D23="Sim",'14 - Investimentos'!X44*9.25%,0)</f>
        <v>0</v>
      </c>
      <c r="Z23" s="402">
        <f>IF($D23="Sim",'14 - Investimentos'!Y44*9.25%,0)</f>
        <v>17214.62</v>
      </c>
      <c r="AA23" s="402">
        <f>IF($D23="Sim",'14 - Investimentos'!Z44*9.25%,0)</f>
        <v>10759.137500000001</v>
      </c>
      <c r="AB23" s="402">
        <f>IF($D23="Sim",'14 - Investimentos'!AA44*9.25%,0)</f>
        <v>10759.137500000001</v>
      </c>
      <c r="AC23" s="402">
        <f>IF($D23="Sim",'14 - Investimentos'!AB44*9.25%,0)</f>
        <v>0</v>
      </c>
      <c r="AD23" s="402">
        <f>IF($D23="Sim",'14 - Investimentos'!AC44*9.25%,0)</f>
        <v>0</v>
      </c>
      <c r="AE23" s="402">
        <f>IF($D23="Sim",'14 - Investimentos'!AD44*9.25%,0)</f>
        <v>17214.62</v>
      </c>
      <c r="AF23" s="402">
        <f>IF($D23="Sim",'14 - Investimentos'!AE44*9.25%,0)</f>
        <v>10759.137500000001</v>
      </c>
      <c r="AG23" s="402">
        <f>IF($D23="Sim",'14 - Investimentos'!AF44*9.25%,0)</f>
        <v>10759.137500000001</v>
      </c>
      <c r="AH23" s="402">
        <f>IF($D23="Sim",'14 - Investimentos'!AG44*9.25%,0)</f>
        <v>0</v>
      </c>
      <c r="AI23" s="402">
        <f>IF($D23="Sim",'14 - Investimentos'!AH44*9.25%,0)</f>
        <v>0</v>
      </c>
      <c r="AJ23" s="402">
        <f>IF($D23="Sim",'14 - Investimentos'!AI44*9.25%,0)</f>
        <v>17214.62</v>
      </c>
      <c r="AK23" s="402">
        <f>IF($D23="Sim",'14 - Investimentos'!AJ44*9.25%,0)</f>
        <v>10759.137500000001</v>
      </c>
      <c r="AL23" s="402">
        <f>IF($D23="Sim",'14 - Investimentos'!AK44*9.25%,0)</f>
        <v>10759.137500000001</v>
      </c>
      <c r="AM23" s="402">
        <f>IF($D23="Sim",'14 - Investimentos'!AL44*9.25%,0)</f>
        <v>0</v>
      </c>
      <c r="AN23" s="402">
        <f>IF($D23="Sim",'14 - Investimentos'!AM44*9.25%,0)</f>
        <v>0</v>
      </c>
    </row>
    <row r="24" spans="2:40" ht="13.15" customHeight="1" outlineLevel="1" x14ac:dyDescent="0.2">
      <c r="B24" s="400" t="s">
        <v>127</v>
      </c>
      <c r="C24" s="418">
        <v>1</v>
      </c>
      <c r="D24" s="401" t="s">
        <v>1333</v>
      </c>
      <c r="E24" s="402">
        <f t="shared" si="4"/>
        <v>153086.540775</v>
      </c>
      <c r="F24" s="402">
        <f>IF($D24="Sim",'14 - Investimentos'!E26*9.25%,0)</f>
        <v>0</v>
      </c>
      <c r="G24" s="402">
        <f>IF($D24="Sim",'14 - Investimentos'!F26*9.25%,0)</f>
        <v>7289.8352749999995</v>
      </c>
      <c r="H24" s="402">
        <f>IF($D24="Sim",'14 - Investimentos'!G26*9.25%,0)</f>
        <v>7289.8352749999995</v>
      </c>
      <c r="I24" s="402">
        <f>IF($D24="Sim",'14 - Investimentos'!H26*9.25%,0)</f>
        <v>0</v>
      </c>
      <c r="J24" s="402">
        <f>IF($D24="Sim",'14 - Investimentos'!I26*9.25%,0)</f>
        <v>7289.8352749999995</v>
      </c>
      <c r="K24" s="402">
        <f>IF($D24="Sim",'14 - Investimentos'!J26*9.25%,0)</f>
        <v>0</v>
      </c>
      <c r="L24" s="402">
        <f>IF($D24="Sim",'14 - Investimentos'!K26*9.25%,0)</f>
        <v>7289.8352749999995</v>
      </c>
      <c r="M24" s="402">
        <f>IF($D24="Sim",'14 - Investimentos'!L26*9.25%,0)</f>
        <v>7289.8352749999995</v>
      </c>
      <c r="N24" s="402">
        <f>IF($D24="Sim",'14 - Investimentos'!M26*9.25%,0)</f>
        <v>0</v>
      </c>
      <c r="O24" s="402">
        <f>IF($D24="Sim",'14 - Investimentos'!N26*9.25%,0)</f>
        <v>7289.8352749999995</v>
      </c>
      <c r="P24" s="402">
        <f>IF($D24="Sim",'14 - Investimentos'!O26*9.25%,0)</f>
        <v>0</v>
      </c>
      <c r="Q24" s="402">
        <f>IF($D24="Sim",'14 - Investimentos'!P26*9.25%,0)</f>
        <v>7289.8352749999995</v>
      </c>
      <c r="R24" s="402">
        <f>IF($D24="Sim",'14 - Investimentos'!Q26*9.25%,0)</f>
        <v>7289.8352749999995</v>
      </c>
      <c r="S24" s="402">
        <f>IF($D24="Sim",'14 - Investimentos'!R26*9.25%,0)</f>
        <v>0</v>
      </c>
      <c r="T24" s="402">
        <f>IF($D24="Sim",'14 - Investimentos'!S26*9.25%,0)</f>
        <v>7289.8352749999995</v>
      </c>
      <c r="U24" s="402">
        <f>IF($D24="Sim",'14 - Investimentos'!T26*9.25%,0)</f>
        <v>0</v>
      </c>
      <c r="V24" s="402">
        <f>IF($D24="Sim",'14 - Investimentos'!U26*9.25%,0)</f>
        <v>7289.8352749999995</v>
      </c>
      <c r="W24" s="402">
        <f>IF($D24="Sim",'14 - Investimentos'!V26*9.25%,0)</f>
        <v>7289.8352749999995</v>
      </c>
      <c r="X24" s="402">
        <f>IF($D24="Sim",'14 - Investimentos'!W26*9.25%,0)</f>
        <v>0</v>
      </c>
      <c r="Y24" s="402">
        <f>IF($D24="Sim",'14 - Investimentos'!X26*9.25%,0)</f>
        <v>7289.8352749999995</v>
      </c>
      <c r="Z24" s="402">
        <f>IF($D24="Sim",'14 - Investimentos'!Y26*9.25%,0)</f>
        <v>0</v>
      </c>
      <c r="AA24" s="402">
        <f>IF($D24="Sim",'14 - Investimentos'!Z26*9.25%,0)</f>
        <v>7289.8352749999995</v>
      </c>
      <c r="AB24" s="402">
        <f>IF($D24="Sim",'14 - Investimentos'!AA26*9.25%,0)</f>
        <v>7289.8352749999995</v>
      </c>
      <c r="AC24" s="402">
        <f>IF($D24="Sim",'14 - Investimentos'!AB26*9.25%,0)</f>
        <v>0</v>
      </c>
      <c r="AD24" s="402">
        <f>IF($D24="Sim",'14 - Investimentos'!AC26*9.25%,0)</f>
        <v>7289.8352749999995</v>
      </c>
      <c r="AE24" s="402">
        <f>IF($D24="Sim",'14 - Investimentos'!AD26*9.25%,0)</f>
        <v>0</v>
      </c>
      <c r="AF24" s="402">
        <f>IF($D24="Sim",'14 - Investimentos'!AE26*9.25%,0)</f>
        <v>7289.8352749999995</v>
      </c>
      <c r="AG24" s="402">
        <f>IF($D24="Sim",'14 - Investimentos'!AF26*9.25%,0)</f>
        <v>7289.8352749999995</v>
      </c>
      <c r="AH24" s="402">
        <f>IF($D24="Sim",'14 - Investimentos'!AG26*9.25%,0)</f>
        <v>0</v>
      </c>
      <c r="AI24" s="402">
        <f>IF($D24="Sim",'14 - Investimentos'!AH26*9.25%,0)</f>
        <v>7289.8352749999995</v>
      </c>
      <c r="AJ24" s="402">
        <f>IF($D24="Sim",'14 - Investimentos'!AI26*9.25%,0)</f>
        <v>0</v>
      </c>
      <c r="AK24" s="402">
        <f>IF($D24="Sim",'14 - Investimentos'!AJ26*9.25%,0)</f>
        <v>7289.8352749999995</v>
      </c>
      <c r="AL24" s="402">
        <f>IF($D24="Sim",'14 - Investimentos'!AK26*9.25%,0)</f>
        <v>7289.8352749999995</v>
      </c>
      <c r="AM24" s="402">
        <f>IF($D24="Sim",'14 - Investimentos'!AL26*9.25%,0)</f>
        <v>0</v>
      </c>
      <c r="AN24" s="402">
        <f>IF($D24="Sim",'14 - Investimentos'!AM26*9.25%,0)</f>
        <v>7289.8352749999995</v>
      </c>
    </row>
    <row r="25" spans="2:40" ht="13.15" customHeight="1" outlineLevel="1" x14ac:dyDescent="0.2">
      <c r="B25" s="400" t="s">
        <v>811</v>
      </c>
      <c r="C25" s="418">
        <v>1</v>
      </c>
      <c r="D25" s="401" t="s">
        <v>1333</v>
      </c>
      <c r="E25" s="402">
        <f t="shared" si="4"/>
        <v>17781.515499999998</v>
      </c>
      <c r="F25" s="402">
        <f>IF($D25="Sim",'14 - Investimentos'!E27*9.25%,0)</f>
        <v>0</v>
      </c>
      <c r="G25" s="402">
        <f>IF($D25="Sim",'14 - Investimentos'!F27*9.25%,0)</f>
        <v>846.73883333333322</v>
      </c>
      <c r="H25" s="402">
        <f>IF($D25="Sim",'14 - Investimentos'!G27*9.25%,0)</f>
        <v>846.73883333333322</v>
      </c>
      <c r="I25" s="402">
        <f>IF($D25="Sim",'14 - Investimentos'!H27*9.25%,0)</f>
        <v>0</v>
      </c>
      <c r="J25" s="402">
        <f>IF($D25="Sim",'14 - Investimentos'!I27*9.25%,0)</f>
        <v>846.73883333333345</v>
      </c>
      <c r="K25" s="402">
        <f>IF($D25="Sim",'14 - Investimentos'!J27*9.25%,0)</f>
        <v>0</v>
      </c>
      <c r="L25" s="402">
        <f>IF($D25="Sim",'14 - Investimentos'!K27*9.25%,0)</f>
        <v>846.7388333333331</v>
      </c>
      <c r="M25" s="402">
        <f>IF($D25="Sim",'14 - Investimentos'!L27*9.25%,0)</f>
        <v>846.73883333333345</v>
      </c>
      <c r="N25" s="402">
        <f>IF($D25="Sim",'14 - Investimentos'!M27*9.25%,0)</f>
        <v>0</v>
      </c>
      <c r="O25" s="402">
        <f>IF($D25="Sim",'14 - Investimentos'!N27*9.25%,0)</f>
        <v>846.73883333333345</v>
      </c>
      <c r="P25" s="402">
        <f>IF($D25="Sim",'14 - Investimentos'!O27*9.25%,0)</f>
        <v>0</v>
      </c>
      <c r="Q25" s="402">
        <f>IF($D25="Sim",'14 - Investimentos'!P27*9.25%,0)</f>
        <v>846.7388333333331</v>
      </c>
      <c r="R25" s="402">
        <f>IF($D25="Sim",'14 - Investimentos'!Q27*9.25%,0)</f>
        <v>846.73883333333345</v>
      </c>
      <c r="S25" s="402">
        <f>IF($D25="Sim",'14 - Investimentos'!R27*9.25%,0)</f>
        <v>0</v>
      </c>
      <c r="T25" s="402">
        <f>IF($D25="Sim",'14 - Investimentos'!S27*9.25%,0)</f>
        <v>846.73883333333345</v>
      </c>
      <c r="U25" s="402">
        <f>IF($D25="Sim",'14 - Investimentos'!T27*9.25%,0)</f>
        <v>0</v>
      </c>
      <c r="V25" s="402">
        <f>IF($D25="Sim",'14 - Investimentos'!U27*9.25%,0)</f>
        <v>846.7388333333331</v>
      </c>
      <c r="W25" s="402">
        <f>IF($D25="Sim",'14 - Investimentos'!V27*9.25%,0)</f>
        <v>846.73883333333345</v>
      </c>
      <c r="X25" s="402">
        <f>IF($D25="Sim",'14 - Investimentos'!W27*9.25%,0)</f>
        <v>0</v>
      </c>
      <c r="Y25" s="402">
        <f>IF($D25="Sim",'14 - Investimentos'!X27*9.25%,0)</f>
        <v>846.73883333333345</v>
      </c>
      <c r="Z25" s="402">
        <f>IF($D25="Sim",'14 - Investimentos'!Y27*9.25%,0)</f>
        <v>0</v>
      </c>
      <c r="AA25" s="402">
        <f>IF($D25="Sim",'14 - Investimentos'!Z27*9.25%,0)</f>
        <v>846.7388333333331</v>
      </c>
      <c r="AB25" s="402">
        <f>IF($D25="Sim",'14 - Investimentos'!AA27*9.25%,0)</f>
        <v>846.73883333333345</v>
      </c>
      <c r="AC25" s="402">
        <f>IF($D25="Sim",'14 - Investimentos'!AB27*9.25%,0)</f>
        <v>0</v>
      </c>
      <c r="AD25" s="402">
        <f>IF($D25="Sim",'14 - Investimentos'!AC27*9.25%,0)</f>
        <v>846.73883333333345</v>
      </c>
      <c r="AE25" s="402">
        <f>IF($D25="Sim",'14 - Investimentos'!AD27*9.25%,0)</f>
        <v>0</v>
      </c>
      <c r="AF25" s="402">
        <f>IF($D25="Sim",'14 - Investimentos'!AE27*9.25%,0)</f>
        <v>846.7388333333331</v>
      </c>
      <c r="AG25" s="402">
        <f>IF($D25="Sim",'14 - Investimentos'!AF27*9.25%,0)</f>
        <v>846.73883333333345</v>
      </c>
      <c r="AH25" s="402">
        <f>IF($D25="Sim",'14 - Investimentos'!AG27*9.25%,0)</f>
        <v>0</v>
      </c>
      <c r="AI25" s="402">
        <f>IF($D25="Sim",'14 - Investimentos'!AH27*9.25%,0)</f>
        <v>846.73883333333345</v>
      </c>
      <c r="AJ25" s="402">
        <f>IF($D25="Sim",'14 - Investimentos'!AI27*9.25%,0)</f>
        <v>0</v>
      </c>
      <c r="AK25" s="402">
        <f>IF($D25="Sim",'14 - Investimentos'!AJ27*9.25%,0)</f>
        <v>846.7388333333331</v>
      </c>
      <c r="AL25" s="402">
        <f>IF($D25="Sim",'14 - Investimentos'!AK27*9.25%,0)</f>
        <v>846.73883333333345</v>
      </c>
      <c r="AM25" s="402">
        <f>IF($D25="Sim",'14 - Investimentos'!AL27*9.25%,0)</f>
        <v>0</v>
      </c>
      <c r="AN25" s="402">
        <f>IF($D25="Sim",'14 - Investimentos'!AM27*9.25%,0)</f>
        <v>846.73883333333345</v>
      </c>
    </row>
    <row r="26" spans="2:40" s="8" customFormat="1" ht="13.15" customHeight="1" x14ac:dyDescent="0.2">
      <c r="B26" s="323" t="s">
        <v>1340</v>
      </c>
      <c r="C26" s="418"/>
      <c r="D26" s="386"/>
      <c r="E26" s="387">
        <f>SUM(E27:E30)</f>
        <v>334567.59750000003</v>
      </c>
      <c r="F26" s="387">
        <f t="shared" ref="F26:AN26" si="5">SUM(F27:F30)</f>
        <v>37174.177500000005</v>
      </c>
      <c r="G26" s="387">
        <f t="shared" si="5"/>
        <v>0</v>
      </c>
      <c r="H26" s="387">
        <f t="shared" si="5"/>
        <v>0</v>
      </c>
      <c r="I26" s="387">
        <f t="shared" si="5"/>
        <v>0</v>
      </c>
      <c r="J26" s="387">
        <f t="shared" si="5"/>
        <v>37174.177500000005</v>
      </c>
      <c r="K26" s="387">
        <f t="shared" si="5"/>
        <v>0</v>
      </c>
      <c r="L26" s="387">
        <f t="shared" si="5"/>
        <v>0</v>
      </c>
      <c r="M26" s="387">
        <f t="shared" si="5"/>
        <v>0</v>
      </c>
      <c r="N26" s="387">
        <f t="shared" si="5"/>
        <v>37174.177500000005</v>
      </c>
      <c r="O26" s="387">
        <f t="shared" si="5"/>
        <v>0</v>
      </c>
      <c r="P26" s="387">
        <f t="shared" si="5"/>
        <v>0</v>
      </c>
      <c r="Q26" s="387">
        <f t="shared" si="5"/>
        <v>0</v>
      </c>
      <c r="R26" s="387">
        <f t="shared" si="5"/>
        <v>37174.177500000005</v>
      </c>
      <c r="S26" s="387">
        <f t="shared" si="5"/>
        <v>0</v>
      </c>
      <c r="T26" s="387">
        <f t="shared" si="5"/>
        <v>0</v>
      </c>
      <c r="U26" s="387">
        <f t="shared" si="5"/>
        <v>0</v>
      </c>
      <c r="V26" s="387">
        <f t="shared" si="5"/>
        <v>37174.177500000005</v>
      </c>
      <c r="W26" s="387">
        <f t="shared" si="5"/>
        <v>0</v>
      </c>
      <c r="X26" s="387">
        <f t="shared" si="5"/>
        <v>0</v>
      </c>
      <c r="Y26" s="387">
        <f t="shared" si="5"/>
        <v>0</v>
      </c>
      <c r="Z26" s="387">
        <f t="shared" si="5"/>
        <v>37174.177500000005</v>
      </c>
      <c r="AA26" s="387">
        <f t="shared" si="5"/>
        <v>0</v>
      </c>
      <c r="AB26" s="387">
        <f t="shared" si="5"/>
        <v>0</v>
      </c>
      <c r="AC26" s="387">
        <f t="shared" si="5"/>
        <v>0</v>
      </c>
      <c r="AD26" s="387">
        <f t="shared" si="5"/>
        <v>37174.177500000005</v>
      </c>
      <c r="AE26" s="387">
        <f t="shared" si="5"/>
        <v>0</v>
      </c>
      <c r="AF26" s="387">
        <f t="shared" si="5"/>
        <v>0</v>
      </c>
      <c r="AG26" s="387">
        <f t="shared" si="5"/>
        <v>0</v>
      </c>
      <c r="AH26" s="387">
        <f t="shared" si="5"/>
        <v>37174.177500000005</v>
      </c>
      <c r="AI26" s="387">
        <f t="shared" si="5"/>
        <v>0</v>
      </c>
      <c r="AJ26" s="387">
        <f t="shared" si="5"/>
        <v>0</v>
      </c>
      <c r="AK26" s="387">
        <f t="shared" si="5"/>
        <v>0</v>
      </c>
      <c r="AL26" s="387">
        <f t="shared" si="5"/>
        <v>37174.177500000005</v>
      </c>
      <c r="AM26" s="387">
        <f t="shared" si="5"/>
        <v>0</v>
      </c>
      <c r="AN26" s="387">
        <f t="shared" si="5"/>
        <v>0</v>
      </c>
    </row>
    <row r="27" spans="2:40" ht="13.15" customHeight="1" outlineLevel="1" x14ac:dyDescent="0.2">
      <c r="B27" s="404" t="s">
        <v>1047</v>
      </c>
      <c r="C27" s="413">
        <v>1</v>
      </c>
      <c r="D27" s="405" t="s">
        <v>1333</v>
      </c>
      <c r="E27" s="402">
        <f t="shared" si="1"/>
        <v>83928.487499999988</v>
      </c>
      <c r="F27" s="402">
        <f>IF($D27="Sim",'14 - Investimentos'!E29*9.25%,0)</f>
        <v>9325.3875000000007</v>
      </c>
      <c r="G27" s="402">
        <f>IF($D27="Sim",'14 - Investimentos'!F29*9.25%,0)</f>
        <v>0</v>
      </c>
      <c r="H27" s="402">
        <f>IF($D27="Sim",'14 - Investimentos'!G29*9.25%,0)</f>
        <v>0</v>
      </c>
      <c r="I27" s="402">
        <f>IF($D27="Sim",'14 - Investimentos'!H29*9.25%,0)</f>
        <v>0</v>
      </c>
      <c r="J27" s="402">
        <f>IF($D27="Sim",'14 - Investimentos'!I29*9.25%,0)</f>
        <v>9325.3875000000007</v>
      </c>
      <c r="K27" s="402">
        <f>IF($D27="Sim",'14 - Investimentos'!J29*9.25%,0)</f>
        <v>0</v>
      </c>
      <c r="L27" s="402">
        <f>IF($D27="Sim",'14 - Investimentos'!K29*9.25%,0)</f>
        <v>0</v>
      </c>
      <c r="M27" s="402">
        <f>IF($D27="Sim",'14 - Investimentos'!L29*9.25%,0)</f>
        <v>0</v>
      </c>
      <c r="N27" s="402">
        <f>IF($D27="Sim",'14 - Investimentos'!M29*9.25%,0)</f>
        <v>9325.3875000000007</v>
      </c>
      <c r="O27" s="402">
        <f>IF($D27="Sim",'14 - Investimentos'!N29*9.25%,0)</f>
        <v>0</v>
      </c>
      <c r="P27" s="402">
        <f>IF($D27="Sim",'14 - Investimentos'!O29*9.25%,0)</f>
        <v>0</v>
      </c>
      <c r="Q27" s="402">
        <f>IF($D27="Sim",'14 - Investimentos'!P29*9.25%,0)</f>
        <v>0</v>
      </c>
      <c r="R27" s="402">
        <f>IF($D27="Sim",'14 - Investimentos'!Q29*9.25%,0)</f>
        <v>9325.3875000000007</v>
      </c>
      <c r="S27" s="402">
        <f>IF($D27="Sim",'14 - Investimentos'!R29*9.25%,0)</f>
        <v>0</v>
      </c>
      <c r="T27" s="402">
        <f>IF($D27="Sim",'14 - Investimentos'!S29*9.25%,0)</f>
        <v>0</v>
      </c>
      <c r="U27" s="402">
        <f>IF($D27="Sim",'14 - Investimentos'!T29*9.25%,0)</f>
        <v>0</v>
      </c>
      <c r="V27" s="402">
        <f>IF($D27="Sim",'14 - Investimentos'!U29*9.25%,0)</f>
        <v>9325.3875000000007</v>
      </c>
      <c r="W27" s="402">
        <f>IF($D27="Sim",'14 - Investimentos'!V29*9.25%,0)</f>
        <v>0</v>
      </c>
      <c r="X27" s="402">
        <f>IF($D27="Sim",'14 - Investimentos'!W29*9.25%,0)</f>
        <v>0</v>
      </c>
      <c r="Y27" s="402">
        <f>IF($D27="Sim",'14 - Investimentos'!X29*9.25%,0)</f>
        <v>0</v>
      </c>
      <c r="Z27" s="402">
        <f>IF($D27="Sim",'14 - Investimentos'!Y29*9.25%,0)</f>
        <v>9325.3875000000007</v>
      </c>
      <c r="AA27" s="402">
        <f>IF($D27="Sim",'14 - Investimentos'!Z29*9.25%,0)</f>
        <v>0</v>
      </c>
      <c r="AB27" s="402">
        <f>IF($D27="Sim",'14 - Investimentos'!AA29*9.25%,0)</f>
        <v>0</v>
      </c>
      <c r="AC27" s="402">
        <f>IF($D27="Sim",'14 - Investimentos'!AB29*9.25%,0)</f>
        <v>0</v>
      </c>
      <c r="AD27" s="402">
        <f>IF($D27="Sim",'14 - Investimentos'!AC29*9.25%,0)</f>
        <v>9325.3875000000007</v>
      </c>
      <c r="AE27" s="402">
        <f>IF($D27="Sim",'14 - Investimentos'!AD29*9.25%,0)</f>
        <v>0</v>
      </c>
      <c r="AF27" s="402">
        <f>IF($D27="Sim",'14 - Investimentos'!AE29*9.25%,0)</f>
        <v>0</v>
      </c>
      <c r="AG27" s="402">
        <f>IF($D27="Sim",'14 - Investimentos'!AF29*9.25%,0)</f>
        <v>0</v>
      </c>
      <c r="AH27" s="402">
        <f>IF($D27="Sim",'14 - Investimentos'!AG29*9.25%,0)</f>
        <v>9325.3875000000007</v>
      </c>
      <c r="AI27" s="402">
        <f>IF($D27="Sim",'14 - Investimentos'!AH29*9.25%,0)</f>
        <v>0</v>
      </c>
      <c r="AJ27" s="402">
        <f>IF($D27="Sim",'14 - Investimentos'!AI29*9.25%,0)</f>
        <v>0</v>
      </c>
      <c r="AK27" s="402">
        <f>IF($D27="Sim",'14 - Investimentos'!AJ29*9.25%,0)</f>
        <v>0</v>
      </c>
      <c r="AL27" s="402">
        <f>IF($D27="Sim",'14 - Investimentos'!AK29*9.25%,0)</f>
        <v>9325.3875000000007</v>
      </c>
      <c r="AM27" s="402">
        <f>IF($D27="Sim",'14 - Investimentos'!AL29*9.25%,0)</f>
        <v>0</v>
      </c>
      <c r="AN27" s="402">
        <f>IF($D27="Sim",'14 - Investimentos'!AM29*9.25%,0)</f>
        <v>0</v>
      </c>
    </row>
    <row r="28" spans="2:40" ht="13.15" customHeight="1" outlineLevel="1" x14ac:dyDescent="0.2">
      <c r="B28" s="404" t="s">
        <v>1048</v>
      </c>
      <c r="C28" s="413">
        <v>1</v>
      </c>
      <c r="D28" s="405" t="s">
        <v>1333</v>
      </c>
      <c r="E28" s="402">
        <f t="shared" si="1"/>
        <v>62659.777500000011</v>
      </c>
      <c r="F28" s="402">
        <f>IF($D28="Sim",'14 - Investimentos'!E30*9.25%,0)</f>
        <v>6962.1975000000002</v>
      </c>
      <c r="G28" s="402">
        <f>IF($D28="Sim",'14 - Investimentos'!F30*9.25%,0)</f>
        <v>0</v>
      </c>
      <c r="H28" s="402">
        <f>IF($D28="Sim",'14 - Investimentos'!G30*9.25%,0)</f>
        <v>0</v>
      </c>
      <c r="I28" s="402">
        <f>IF($D28="Sim",'14 - Investimentos'!H30*9.25%,0)</f>
        <v>0</v>
      </c>
      <c r="J28" s="402">
        <f>IF($D28="Sim",'14 - Investimentos'!I30*9.25%,0)</f>
        <v>6962.1975000000002</v>
      </c>
      <c r="K28" s="402">
        <f>IF($D28="Sim",'14 - Investimentos'!J30*9.25%,0)</f>
        <v>0</v>
      </c>
      <c r="L28" s="402">
        <f>IF($D28="Sim",'14 - Investimentos'!K30*9.25%,0)</f>
        <v>0</v>
      </c>
      <c r="M28" s="402">
        <f>IF($D28="Sim",'14 - Investimentos'!L30*9.25%,0)</f>
        <v>0</v>
      </c>
      <c r="N28" s="402">
        <f>IF($D28="Sim",'14 - Investimentos'!M30*9.25%,0)</f>
        <v>6962.1975000000002</v>
      </c>
      <c r="O28" s="402">
        <f>IF($D28="Sim",'14 - Investimentos'!N30*9.25%,0)</f>
        <v>0</v>
      </c>
      <c r="P28" s="402">
        <f>IF($D28="Sim",'14 - Investimentos'!O30*9.25%,0)</f>
        <v>0</v>
      </c>
      <c r="Q28" s="402">
        <f>IF($D28="Sim",'14 - Investimentos'!P30*9.25%,0)</f>
        <v>0</v>
      </c>
      <c r="R28" s="402">
        <f>IF($D28="Sim",'14 - Investimentos'!Q30*9.25%,0)</f>
        <v>6962.1975000000002</v>
      </c>
      <c r="S28" s="402">
        <f>IF($D28="Sim",'14 - Investimentos'!R30*9.25%,0)</f>
        <v>0</v>
      </c>
      <c r="T28" s="402">
        <f>IF($D28="Sim",'14 - Investimentos'!S30*9.25%,0)</f>
        <v>0</v>
      </c>
      <c r="U28" s="402">
        <f>IF($D28="Sim",'14 - Investimentos'!T30*9.25%,0)</f>
        <v>0</v>
      </c>
      <c r="V28" s="402">
        <f>IF($D28="Sim",'14 - Investimentos'!U30*9.25%,0)</f>
        <v>6962.1975000000002</v>
      </c>
      <c r="W28" s="402">
        <f>IF($D28="Sim",'14 - Investimentos'!V30*9.25%,0)</f>
        <v>0</v>
      </c>
      <c r="X28" s="402">
        <f>IF($D28="Sim",'14 - Investimentos'!W30*9.25%,0)</f>
        <v>0</v>
      </c>
      <c r="Y28" s="402">
        <f>IF($D28="Sim",'14 - Investimentos'!X30*9.25%,0)</f>
        <v>0</v>
      </c>
      <c r="Z28" s="402">
        <f>IF($D28="Sim",'14 - Investimentos'!Y30*9.25%,0)</f>
        <v>6962.1975000000002</v>
      </c>
      <c r="AA28" s="402">
        <f>IF($D28="Sim",'14 - Investimentos'!Z30*9.25%,0)</f>
        <v>0</v>
      </c>
      <c r="AB28" s="402">
        <f>IF($D28="Sim",'14 - Investimentos'!AA30*9.25%,0)</f>
        <v>0</v>
      </c>
      <c r="AC28" s="402">
        <f>IF($D28="Sim",'14 - Investimentos'!AB30*9.25%,0)</f>
        <v>0</v>
      </c>
      <c r="AD28" s="402">
        <f>IF($D28="Sim",'14 - Investimentos'!AC30*9.25%,0)</f>
        <v>6962.1975000000002</v>
      </c>
      <c r="AE28" s="402">
        <f>IF($D28="Sim",'14 - Investimentos'!AD30*9.25%,0)</f>
        <v>0</v>
      </c>
      <c r="AF28" s="402">
        <f>IF($D28="Sim",'14 - Investimentos'!AE30*9.25%,0)</f>
        <v>0</v>
      </c>
      <c r="AG28" s="402">
        <f>IF($D28="Sim",'14 - Investimentos'!AF30*9.25%,0)</f>
        <v>0</v>
      </c>
      <c r="AH28" s="402">
        <f>IF($D28="Sim",'14 - Investimentos'!AG30*9.25%,0)</f>
        <v>6962.1975000000002</v>
      </c>
      <c r="AI28" s="402">
        <f>IF($D28="Sim",'14 - Investimentos'!AH30*9.25%,0)</f>
        <v>0</v>
      </c>
      <c r="AJ28" s="402">
        <f>IF($D28="Sim",'14 - Investimentos'!AI30*9.25%,0)</f>
        <v>0</v>
      </c>
      <c r="AK28" s="402">
        <f>IF($D28="Sim",'14 - Investimentos'!AJ30*9.25%,0)</f>
        <v>0</v>
      </c>
      <c r="AL28" s="402">
        <f>IF($D28="Sim",'14 - Investimentos'!AK30*9.25%,0)</f>
        <v>6962.1975000000002</v>
      </c>
      <c r="AM28" s="402">
        <f>IF($D28="Sim",'14 - Investimentos'!AL30*9.25%,0)</f>
        <v>0</v>
      </c>
      <c r="AN28" s="402">
        <f>IF($D28="Sim",'14 - Investimentos'!AM30*9.25%,0)</f>
        <v>0</v>
      </c>
    </row>
    <row r="29" spans="2:40" ht="13.15" customHeight="1" outlineLevel="1" x14ac:dyDescent="0.2">
      <c r="B29" s="404" t="s">
        <v>1049</v>
      </c>
      <c r="C29" s="413">
        <v>1</v>
      </c>
      <c r="D29" s="405" t="s">
        <v>1333</v>
      </c>
      <c r="E29" s="402">
        <f t="shared" si="1"/>
        <v>62659.777500000011</v>
      </c>
      <c r="F29" s="402">
        <f>IF($D29="Sim",'14 - Investimentos'!E31*9.25%,0)</f>
        <v>6962.1975000000002</v>
      </c>
      <c r="G29" s="402">
        <f>IF($D29="Sim",'14 - Investimentos'!F31*9.25%,0)</f>
        <v>0</v>
      </c>
      <c r="H29" s="402">
        <f>IF($D29="Sim",'14 - Investimentos'!G31*9.25%,0)</f>
        <v>0</v>
      </c>
      <c r="I29" s="402">
        <f>IF($D29="Sim",'14 - Investimentos'!H31*9.25%,0)</f>
        <v>0</v>
      </c>
      <c r="J29" s="402">
        <f>IF($D29="Sim",'14 - Investimentos'!I31*9.25%,0)</f>
        <v>6962.1975000000002</v>
      </c>
      <c r="K29" s="402">
        <f>IF($D29="Sim",'14 - Investimentos'!J31*9.25%,0)</f>
        <v>0</v>
      </c>
      <c r="L29" s="402">
        <f>IF($D29="Sim",'14 - Investimentos'!K31*9.25%,0)</f>
        <v>0</v>
      </c>
      <c r="M29" s="402">
        <f>IF($D29="Sim",'14 - Investimentos'!L31*9.25%,0)</f>
        <v>0</v>
      </c>
      <c r="N29" s="402">
        <f>IF($D29="Sim",'14 - Investimentos'!M31*9.25%,0)</f>
        <v>6962.1975000000002</v>
      </c>
      <c r="O29" s="402">
        <f>IF($D29="Sim",'14 - Investimentos'!N31*9.25%,0)</f>
        <v>0</v>
      </c>
      <c r="P29" s="402">
        <f>IF($D29="Sim",'14 - Investimentos'!O31*9.25%,0)</f>
        <v>0</v>
      </c>
      <c r="Q29" s="402">
        <f>IF($D29="Sim",'14 - Investimentos'!P31*9.25%,0)</f>
        <v>0</v>
      </c>
      <c r="R29" s="402">
        <f>IF($D29="Sim",'14 - Investimentos'!Q31*9.25%,0)</f>
        <v>6962.1975000000002</v>
      </c>
      <c r="S29" s="402">
        <f>IF($D29="Sim",'14 - Investimentos'!R31*9.25%,0)</f>
        <v>0</v>
      </c>
      <c r="T29" s="402">
        <f>IF($D29="Sim",'14 - Investimentos'!S31*9.25%,0)</f>
        <v>0</v>
      </c>
      <c r="U29" s="402">
        <f>IF($D29="Sim",'14 - Investimentos'!T31*9.25%,0)</f>
        <v>0</v>
      </c>
      <c r="V29" s="402">
        <f>IF($D29="Sim",'14 - Investimentos'!U31*9.25%,0)</f>
        <v>6962.1975000000002</v>
      </c>
      <c r="W29" s="402">
        <f>IF($D29="Sim",'14 - Investimentos'!V31*9.25%,0)</f>
        <v>0</v>
      </c>
      <c r="X29" s="402">
        <f>IF($D29="Sim",'14 - Investimentos'!W31*9.25%,0)</f>
        <v>0</v>
      </c>
      <c r="Y29" s="402">
        <f>IF($D29="Sim",'14 - Investimentos'!X31*9.25%,0)</f>
        <v>0</v>
      </c>
      <c r="Z29" s="402">
        <f>IF($D29="Sim",'14 - Investimentos'!Y31*9.25%,0)</f>
        <v>6962.1975000000002</v>
      </c>
      <c r="AA29" s="402">
        <f>IF($D29="Sim",'14 - Investimentos'!Z31*9.25%,0)</f>
        <v>0</v>
      </c>
      <c r="AB29" s="402">
        <f>IF($D29="Sim",'14 - Investimentos'!AA31*9.25%,0)</f>
        <v>0</v>
      </c>
      <c r="AC29" s="402">
        <f>IF($D29="Sim",'14 - Investimentos'!AB31*9.25%,0)</f>
        <v>0</v>
      </c>
      <c r="AD29" s="402">
        <f>IF($D29="Sim",'14 - Investimentos'!AC31*9.25%,0)</f>
        <v>6962.1975000000002</v>
      </c>
      <c r="AE29" s="402">
        <f>IF($D29="Sim",'14 - Investimentos'!AD31*9.25%,0)</f>
        <v>0</v>
      </c>
      <c r="AF29" s="402">
        <f>IF($D29="Sim",'14 - Investimentos'!AE31*9.25%,0)</f>
        <v>0</v>
      </c>
      <c r="AG29" s="402">
        <f>IF($D29="Sim",'14 - Investimentos'!AF31*9.25%,0)</f>
        <v>0</v>
      </c>
      <c r="AH29" s="402">
        <f>IF($D29="Sim",'14 - Investimentos'!AG31*9.25%,0)</f>
        <v>6962.1975000000002</v>
      </c>
      <c r="AI29" s="402">
        <f>IF($D29="Sim",'14 - Investimentos'!AH31*9.25%,0)</f>
        <v>0</v>
      </c>
      <c r="AJ29" s="402">
        <f>IF($D29="Sim",'14 - Investimentos'!AI31*9.25%,0)</f>
        <v>0</v>
      </c>
      <c r="AK29" s="402">
        <f>IF($D29="Sim",'14 - Investimentos'!AJ31*9.25%,0)</f>
        <v>0</v>
      </c>
      <c r="AL29" s="402">
        <f>IF($D29="Sim",'14 - Investimentos'!AK31*9.25%,0)</f>
        <v>6962.1975000000002</v>
      </c>
      <c r="AM29" s="402">
        <f>IF($D29="Sim",'14 - Investimentos'!AL31*9.25%,0)</f>
        <v>0</v>
      </c>
      <c r="AN29" s="402">
        <f>IF($D29="Sim",'14 - Investimentos'!AM31*9.25%,0)</f>
        <v>0</v>
      </c>
    </row>
    <row r="30" spans="2:40" ht="13.15" customHeight="1" outlineLevel="1" x14ac:dyDescent="0.2">
      <c r="B30" s="404" t="s">
        <v>1050</v>
      </c>
      <c r="C30" s="413">
        <v>1</v>
      </c>
      <c r="D30" s="405" t="s">
        <v>1333</v>
      </c>
      <c r="E30" s="402">
        <f t="shared" si="1"/>
        <v>125319.55500000002</v>
      </c>
      <c r="F30" s="402">
        <f>IF($D30="Sim",'14 - Investimentos'!E32*9.25%,0)</f>
        <v>13924.395</v>
      </c>
      <c r="G30" s="402">
        <f>IF($D30="Sim",'14 - Investimentos'!F32*9.25%,0)</f>
        <v>0</v>
      </c>
      <c r="H30" s="402">
        <f>IF($D30="Sim",'14 - Investimentos'!G32*9.25%,0)</f>
        <v>0</v>
      </c>
      <c r="I30" s="402">
        <f>IF($D30="Sim",'14 - Investimentos'!H32*9.25%,0)</f>
        <v>0</v>
      </c>
      <c r="J30" s="402">
        <f>IF($D30="Sim",'14 - Investimentos'!I32*9.25%,0)</f>
        <v>13924.395</v>
      </c>
      <c r="K30" s="402">
        <f>IF($D30="Sim",'14 - Investimentos'!J32*9.25%,0)</f>
        <v>0</v>
      </c>
      <c r="L30" s="402">
        <f>IF($D30="Sim",'14 - Investimentos'!K32*9.25%,0)</f>
        <v>0</v>
      </c>
      <c r="M30" s="402">
        <f>IF($D30="Sim",'14 - Investimentos'!L32*9.25%,0)</f>
        <v>0</v>
      </c>
      <c r="N30" s="402">
        <f>IF($D30="Sim",'14 - Investimentos'!M32*9.25%,0)</f>
        <v>13924.395</v>
      </c>
      <c r="O30" s="402">
        <f>IF($D30="Sim",'14 - Investimentos'!N32*9.25%,0)</f>
        <v>0</v>
      </c>
      <c r="P30" s="402">
        <f>IF($D30="Sim",'14 - Investimentos'!O32*9.25%,0)</f>
        <v>0</v>
      </c>
      <c r="Q30" s="402">
        <f>IF($D30="Sim",'14 - Investimentos'!P32*9.25%,0)</f>
        <v>0</v>
      </c>
      <c r="R30" s="402">
        <f>IF($D30="Sim",'14 - Investimentos'!Q32*9.25%,0)</f>
        <v>13924.395</v>
      </c>
      <c r="S30" s="402">
        <f>IF($D30="Sim",'14 - Investimentos'!R32*9.25%,0)</f>
        <v>0</v>
      </c>
      <c r="T30" s="402">
        <f>IF($D30="Sim",'14 - Investimentos'!S32*9.25%,0)</f>
        <v>0</v>
      </c>
      <c r="U30" s="402">
        <f>IF($D30="Sim",'14 - Investimentos'!T32*9.25%,0)</f>
        <v>0</v>
      </c>
      <c r="V30" s="402">
        <f>IF($D30="Sim",'14 - Investimentos'!U32*9.25%,0)</f>
        <v>13924.395</v>
      </c>
      <c r="W30" s="402">
        <f>IF($D30="Sim",'14 - Investimentos'!V32*9.25%,0)</f>
        <v>0</v>
      </c>
      <c r="X30" s="402">
        <f>IF($D30="Sim",'14 - Investimentos'!W32*9.25%,0)</f>
        <v>0</v>
      </c>
      <c r="Y30" s="402">
        <f>IF($D30="Sim",'14 - Investimentos'!X32*9.25%,0)</f>
        <v>0</v>
      </c>
      <c r="Z30" s="402">
        <f>IF($D30="Sim",'14 - Investimentos'!Y32*9.25%,0)</f>
        <v>13924.395</v>
      </c>
      <c r="AA30" s="402">
        <f>IF($D30="Sim",'14 - Investimentos'!Z32*9.25%,0)</f>
        <v>0</v>
      </c>
      <c r="AB30" s="402">
        <f>IF($D30="Sim",'14 - Investimentos'!AA32*9.25%,0)</f>
        <v>0</v>
      </c>
      <c r="AC30" s="402">
        <f>IF($D30="Sim",'14 - Investimentos'!AB32*9.25%,0)</f>
        <v>0</v>
      </c>
      <c r="AD30" s="402">
        <f>IF($D30="Sim",'14 - Investimentos'!AC32*9.25%,0)</f>
        <v>13924.395</v>
      </c>
      <c r="AE30" s="402">
        <f>IF($D30="Sim",'14 - Investimentos'!AD32*9.25%,0)</f>
        <v>0</v>
      </c>
      <c r="AF30" s="402">
        <f>IF($D30="Sim",'14 - Investimentos'!AE32*9.25%,0)</f>
        <v>0</v>
      </c>
      <c r="AG30" s="402">
        <f>IF($D30="Sim",'14 - Investimentos'!AF32*9.25%,0)</f>
        <v>0</v>
      </c>
      <c r="AH30" s="402">
        <f>IF($D30="Sim",'14 - Investimentos'!AG32*9.25%,0)</f>
        <v>13924.395</v>
      </c>
      <c r="AI30" s="402">
        <f>IF($D30="Sim",'14 - Investimentos'!AH32*9.25%,0)</f>
        <v>0</v>
      </c>
      <c r="AJ30" s="402">
        <f>IF($D30="Sim",'14 - Investimentos'!AI32*9.25%,0)</f>
        <v>0</v>
      </c>
      <c r="AK30" s="402">
        <f>IF($D30="Sim",'14 - Investimentos'!AJ32*9.25%,0)</f>
        <v>0</v>
      </c>
      <c r="AL30" s="402">
        <f>IF($D30="Sim",'14 - Investimentos'!AK32*9.25%,0)</f>
        <v>13924.395</v>
      </c>
      <c r="AM30" s="402">
        <f>IF($D30="Sim",'14 - Investimentos'!AL32*9.25%,0)</f>
        <v>0</v>
      </c>
      <c r="AN30" s="402">
        <f>IF($D30="Sim",'14 - Investimentos'!AM32*9.25%,0)</f>
        <v>0</v>
      </c>
    </row>
    <row r="31" spans="2:40" ht="13.15" customHeight="1" x14ac:dyDescent="0.2">
      <c r="B31" s="323" t="s">
        <v>1341</v>
      </c>
      <c r="C31" s="418"/>
      <c r="D31" s="405"/>
      <c r="E31" s="387">
        <f t="shared" ref="E31:AN31" si="6">SUM(E32:E33)</f>
        <v>627705</v>
      </c>
      <c r="F31" s="387">
        <f t="shared" si="6"/>
        <v>125541</v>
      </c>
      <c r="G31" s="387">
        <f t="shared" si="6"/>
        <v>0</v>
      </c>
      <c r="H31" s="387">
        <f t="shared" si="6"/>
        <v>0</v>
      </c>
      <c r="I31" s="387">
        <f t="shared" si="6"/>
        <v>0</v>
      </c>
      <c r="J31" s="387">
        <f t="shared" si="6"/>
        <v>0</v>
      </c>
      <c r="K31" s="387">
        <f t="shared" si="6"/>
        <v>0</v>
      </c>
      <c r="L31" s="387">
        <f t="shared" si="6"/>
        <v>0</v>
      </c>
      <c r="M31" s="387">
        <f t="shared" si="6"/>
        <v>125541</v>
      </c>
      <c r="N31" s="387">
        <f t="shared" si="6"/>
        <v>0</v>
      </c>
      <c r="O31" s="387">
        <f t="shared" si="6"/>
        <v>0</v>
      </c>
      <c r="P31" s="387">
        <f t="shared" si="6"/>
        <v>0</v>
      </c>
      <c r="Q31" s="387">
        <f t="shared" si="6"/>
        <v>0</v>
      </c>
      <c r="R31" s="387">
        <f t="shared" si="6"/>
        <v>0</v>
      </c>
      <c r="S31" s="387">
        <f t="shared" si="6"/>
        <v>0</v>
      </c>
      <c r="T31" s="387">
        <f t="shared" si="6"/>
        <v>125541</v>
      </c>
      <c r="U31" s="387">
        <f t="shared" si="6"/>
        <v>0</v>
      </c>
      <c r="V31" s="387">
        <f t="shared" si="6"/>
        <v>0</v>
      </c>
      <c r="W31" s="387">
        <f t="shared" si="6"/>
        <v>0</v>
      </c>
      <c r="X31" s="387">
        <f t="shared" si="6"/>
        <v>0</v>
      </c>
      <c r="Y31" s="387">
        <f t="shared" si="6"/>
        <v>0</v>
      </c>
      <c r="Z31" s="387">
        <f t="shared" si="6"/>
        <v>0</v>
      </c>
      <c r="AA31" s="387">
        <f t="shared" si="6"/>
        <v>125541</v>
      </c>
      <c r="AB31" s="387">
        <f t="shared" si="6"/>
        <v>0</v>
      </c>
      <c r="AC31" s="387">
        <f t="shared" si="6"/>
        <v>0</v>
      </c>
      <c r="AD31" s="387">
        <f t="shared" si="6"/>
        <v>0</v>
      </c>
      <c r="AE31" s="387">
        <f t="shared" si="6"/>
        <v>0</v>
      </c>
      <c r="AF31" s="387">
        <f t="shared" si="6"/>
        <v>0</v>
      </c>
      <c r="AG31" s="387">
        <f t="shared" si="6"/>
        <v>0</v>
      </c>
      <c r="AH31" s="387">
        <f t="shared" si="6"/>
        <v>125541</v>
      </c>
      <c r="AI31" s="387">
        <f t="shared" si="6"/>
        <v>0</v>
      </c>
      <c r="AJ31" s="387">
        <f t="shared" si="6"/>
        <v>0</v>
      </c>
      <c r="AK31" s="387">
        <f t="shared" si="6"/>
        <v>0</v>
      </c>
      <c r="AL31" s="387">
        <f t="shared" si="6"/>
        <v>0</v>
      </c>
      <c r="AM31" s="387">
        <f t="shared" si="6"/>
        <v>0</v>
      </c>
      <c r="AN31" s="387">
        <f t="shared" si="6"/>
        <v>0</v>
      </c>
    </row>
    <row r="32" spans="2:40" ht="13.15" customHeight="1" outlineLevel="1" x14ac:dyDescent="0.2">
      <c r="B32" s="404" t="s">
        <v>813</v>
      </c>
      <c r="C32" s="413">
        <v>1</v>
      </c>
      <c r="D32" s="405" t="s">
        <v>1333</v>
      </c>
      <c r="E32" s="402">
        <f t="shared" si="1"/>
        <v>313852.5</v>
      </c>
      <c r="F32" s="402">
        <f>IF($D32="Sim",'14 - Investimentos'!E34*9.25%,0)</f>
        <v>62770.5</v>
      </c>
      <c r="G32" s="402">
        <f>IF($D32="Sim",'14 - Investimentos'!F34*9.25%,0)</f>
        <v>0</v>
      </c>
      <c r="H32" s="402">
        <f>IF($D32="Sim",'14 - Investimentos'!G34*9.25%,0)</f>
        <v>0</v>
      </c>
      <c r="I32" s="402">
        <f>IF($D32="Sim",'14 - Investimentos'!H34*9.25%,0)</f>
        <v>0</v>
      </c>
      <c r="J32" s="402">
        <f>IF($D32="Sim",'14 - Investimentos'!I34*9.25%,0)</f>
        <v>0</v>
      </c>
      <c r="K32" s="402">
        <f>IF($D32="Sim",'14 - Investimentos'!J34*9.25%,0)</f>
        <v>0</v>
      </c>
      <c r="L32" s="402">
        <f>IF($D32="Sim",'14 - Investimentos'!K34*9.25%,0)</f>
        <v>0</v>
      </c>
      <c r="M32" s="402">
        <f>IF($D32="Sim",'14 - Investimentos'!L34*9.25%,0)</f>
        <v>62770.5</v>
      </c>
      <c r="N32" s="402">
        <f>IF($D32="Sim",'14 - Investimentos'!M34*9.25%,0)</f>
        <v>0</v>
      </c>
      <c r="O32" s="402">
        <f>IF($D32="Sim",'14 - Investimentos'!N34*9.25%,0)</f>
        <v>0</v>
      </c>
      <c r="P32" s="402">
        <f>IF($D32="Sim",'14 - Investimentos'!O34*9.25%,0)</f>
        <v>0</v>
      </c>
      <c r="Q32" s="402">
        <f>IF($D32="Sim",'14 - Investimentos'!P34*9.25%,0)</f>
        <v>0</v>
      </c>
      <c r="R32" s="402">
        <f>IF($D32="Sim",'14 - Investimentos'!Q34*9.25%,0)</f>
        <v>0</v>
      </c>
      <c r="S32" s="402">
        <f>IF($D32="Sim",'14 - Investimentos'!R34*9.25%,0)</f>
        <v>0</v>
      </c>
      <c r="T32" s="402">
        <f>IF($D32="Sim",'14 - Investimentos'!S34*9.25%,0)</f>
        <v>62770.5</v>
      </c>
      <c r="U32" s="402">
        <f>IF($D32="Sim",'14 - Investimentos'!T34*9.25%,0)</f>
        <v>0</v>
      </c>
      <c r="V32" s="402">
        <f>IF($D32="Sim",'14 - Investimentos'!U34*9.25%,0)</f>
        <v>0</v>
      </c>
      <c r="W32" s="402">
        <f>IF($D32="Sim",'14 - Investimentos'!V34*9.25%,0)</f>
        <v>0</v>
      </c>
      <c r="X32" s="402">
        <f>IF($D32="Sim",'14 - Investimentos'!W34*9.25%,0)</f>
        <v>0</v>
      </c>
      <c r="Y32" s="402">
        <f>IF($D32="Sim",'14 - Investimentos'!X34*9.25%,0)</f>
        <v>0</v>
      </c>
      <c r="Z32" s="402">
        <f>IF($D32="Sim",'14 - Investimentos'!Y34*9.25%,0)</f>
        <v>0</v>
      </c>
      <c r="AA32" s="402">
        <f>IF($D32="Sim",'14 - Investimentos'!Z34*9.25%,0)</f>
        <v>62770.5</v>
      </c>
      <c r="AB32" s="402">
        <f>IF($D32="Sim",'14 - Investimentos'!AA34*9.25%,0)</f>
        <v>0</v>
      </c>
      <c r="AC32" s="402">
        <f>IF($D32="Sim",'14 - Investimentos'!AB34*9.25%,0)</f>
        <v>0</v>
      </c>
      <c r="AD32" s="402">
        <f>IF($D32="Sim",'14 - Investimentos'!AC34*9.25%,0)</f>
        <v>0</v>
      </c>
      <c r="AE32" s="402">
        <f>IF($D32="Sim",'14 - Investimentos'!AD34*9.25%,0)</f>
        <v>0</v>
      </c>
      <c r="AF32" s="402">
        <f>IF($D32="Sim",'14 - Investimentos'!AE34*9.25%,0)</f>
        <v>0</v>
      </c>
      <c r="AG32" s="402">
        <f>IF($D32="Sim",'14 - Investimentos'!AF34*9.25%,0)</f>
        <v>0</v>
      </c>
      <c r="AH32" s="402">
        <f>IF($D32="Sim",'14 - Investimentos'!AG34*9.25%,0)</f>
        <v>62770.5</v>
      </c>
      <c r="AI32" s="402">
        <f>IF($D32="Sim",'14 - Investimentos'!AH34*9.25%,0)</f>
        <v>0</v>
      </c>
      <c r="AJ32" s="402">
        <f>IF($D32="Sim",'14 - Investimentos'!AI34*9.25%,0)</f>
        <v>0</v>
      </c>
      <c r="AK32" s="402">
        <f>IF($D32="Sim",'14 - Investimentos'!AJ34*9.25%,0)</f>
        <v>0</v>
      </c>
      <c r="AL32" s="402">
        <f>IF($D32="Sim",'14 - Investimentos'!AK34*9.25%,0)</f>
        <v>0</v>
      </c>
      <c r="AM32" s="402">
        <f>IF($D32="Sim",'14 - Investimentos'!AL34*9.25%,0)</f>
        <v>0</v>
      </c>
      <c r="AN32" s="402">
        <f>IF($D32="Sim",'14 - Investimentos'!AM34*9.25%,0)</f>
        <v>0</v>
      </c>
    </row>
    <row r="33" spans="2:40" ht="13.15" customHeight="1" outlineLevel="1" x14ac:dyDescent="0.2">
      <c r="B33" s="404" t="s">
        <v>814</v>
      </c>
      <c r="C33" s="413">
        <v>1</v>
      </c>
      <c r="D33" s="405" t="s">
        <v>1333</v>
      </c>
      <c r="E33" s="402">
        <f t="shared" si="1"/>
        <v>313852.5</v>
      </c>
      <c r="F33" s="402">
        <f>IF($D33="Sim",'14 - Investimentos'!E35*9.25%,0)</f>
        <v>62770.5</v>
      </c>
      <c r="G33" s="402">
        <f>IF($D33="Sim",'14 - Investimentos'!F35*9.25%,0)</f>
        <v>0</v>
      </c>
      <c r="H33" s="402">
        <f>IF($D33="Sim",'14 - Investimentos'!G35*9.25%,0)</f>
        <v>0</v>
      </c>
      <c r="I33" s="402">
        <f>IF($D33="Sim",'14 - Investimentos'!H35*9.25%,0)</f>
        <v>0</v>
      </c>
      <c r="J33" s="402">
        <f>IF($D33="Sim",'14 - Investimentos'!I35*9.25%,0)</f>
        <v>0</v>
      </c>
      <c r="K33" s="402">
        <f>IF($D33="Sim",'14 - Investimentos'!J35*9.25%,0)</f>
        <v>0</v>
      </c>
      <c r="L33" s="402">
        <f>IF($D33="Sim",'14 - Investimentos'!K35*9.25%,0)</f>
        <v>0</v>
      </c>
      <c r="M33" s="402">
        <f>IF($D33="Sim",'14 - Investimentos'!L35*9.25%,0)</f>
        <v>62770.5</v>
      </c>
      <c r="N33" s="402">
        <f>IF($D33="Sim",'14 - Investimentos'!M35*9.25%,0)</f>
        <v>0</v>
      </c>
      <c r="O33" s="402">
        <f>IF($D33="Sim",'14 - Investimentos'!N35*9.25%,0)</f>
        <v>0</v>
      </c>
      <c r="P33" s="402">
        <f>IF($D33="Sim",'14 - Investimentos'!O35*9.25%,0)</f>
        <v>0</v>
      </c>
      <c r="Q33" s="402">
        <f>IF($D33="Sim",'14 - Investimentos'!P35*9.25%,0)</f>
        <v>0</v>
      </c>
      <c r="R33" s="402">
        <f>IF($D33="Sim",'14 - Investimentos'!Q35*9.25%,0)</f>
        <v>0</v>
      </c>
      <c r="S33" s="402">
        <f>IF($D33="Sim",'14 - Investimentos'!R35*9.25%,0)</f>
        <v>0</v>
      </c>
      <c r="T33" s="402">
        <f>IF($D33="Sim",'14 - Investimentos'!S35*9.25%,0)</f>
        <v>62770.5</v>
      </c>
      <c r="U33" s="402">
        <f>IF($D33="Sim",'14 - Investimentos'!T35*9.25%,0)</f>
        <v>0</v>
      </c>
      <c r="V33" s="402">
        <f>IF($D33="Sim",'14 - Investimentos'!U35*9.25%,0)</f>
        <v>0</v>
      </c>
      <c r="W33" s="402">
        <f>IF($D33="Sim",'14 - Investimentos'!V35*9.25%,0)</f>
        <v>0</v>
      </c>
      <c r="X33" s="402">
        <f>IF($D33="Sim",'14 - Investimentos'!W35*9.25%,0)</f>
        <v>0</v>
      </c>
      <c r="Y33" s="402">
        <f>IF($D33="Sim",'14 - Investimentos'!X35*9.25%,0)</f>
        <v>0</v>
      </c>
      <c r="Z33" s="402">
        <f>IF($D33="Sim",'14 - Investimentos'!Y35*9.25%,0)</f>
        <v>0</v>
      </c>
      <c r="AA33" s="402">
        <f>IF($D33="Sim",'14 - Investimentos'!Z35*9.25%,0)</f>
        <v>62770.5</v>
      </c>
      <c r="AB33" s="402">
        <f>IF($D33="Sim",'14 - Investimentos'!AA35*9.25%,0)</f>
        <v>0</v>
      </c>
      <c r="AC33" s="402">
        <f>IF($D33="Sim",'14 - Investimentos'!AB35*9.25%,0)</f>
        <v>0</v>
      </c>
      <c r="AD33" s="402">
        <f>IF($D33="Sim",'14 - Investimentos'!AC35*9.25%,0)</f>
        <v>0</v>
      </c>
      <c r="AE33" s="402">
        <f>IF($D33="Sim",'14 - Investimentos'!AD35*9.25%,0)</f>
        <v>0</v>
      </c>
      <c r="AF33" s="402">
        <f>IF($D33="Sim",'14 - Investimentos'!AE35*9.25%,0)</f>
        <v>0</v>
      </c>
      <c r="AG33" s="402">
        <f>IF($D33="Sim",'14 - Investimentos'!AF35*9.25%,0)</f>
        <v>0</v>
      </c>
      <c r="AH33" s="402">
        <f>IF($D33="Sim",'14 - Investimentos'!AG35*9.25%,0)</f>
        <v>62770.5</v>
      </c>
      <c r="AI33" s="402">
        <f>IF($D33="Sim",'14 - Investimentos'!AH35*9.25%,0)</f>
        <v>0</v>
      </c>
      <c r="AJ33" s="402">
        <f>IF($D33="Sim",'14 - Investimentos'!AI35*9.25%,0)</f>
        <v>0</v>
      </c>
      <c r="AK33" s="402">
        <f>IF($D33="Sim",'14 - Investimentos'!AJ35*9.25%,0)</f>
        <v>0</v>
      </c>
      <c r="AL33" s="402">
        <f>IF($D33="Sim",'14 - Investimentos'!AK35*9.25%,0)</f>
        <v>0</v>
      </c>
      <c r="AM33" s="402">
        <f>IF($D33="Sim",'14 - Investimentos'!AL35*9.25%,0)</f>
        <v>0</v>
      </c>
      <c r="AN33" s="402">
        <f>IF($D33="Sim",'14 - Investimentos'!AM35*9.25%,0)</f>
        <v>0</v>
      </c>
    </row>
    <row r="34" spans="2:40" s="8" customFormat="1" ht="13.15" customHeight="1" x14ac:dyDescent="0.2">
      <c r="B34" s="323" t="s">
        <v>1342</v>
      </c>
      <c r="C34" s="418"/>
      <c r="D34" s="386"/>
      <c r="E34" s="387">
        <f t="shared" ref="E34:AN34" si="7">SUM(E35:E47)</f>
        <v>1400369.3276666666</v>
      </c>
      <c r="F34" s="387">
        <f t="shared" si="7"/>
        <v>296509.64971666667</v>
      </c>
      <c r="G34" s="387">
        <f t="shared" si="7"/>
        <v>0</v>
      </c>
      <c r="H34" s="387">
        <f t="shared" si="7"/>
        <v>0</v>
      </c>
      <c r="I34" s="387">
        <f t="shared" si="7"/>
        <v>0</v>
      </c>
      <c r="J34" s="387">
        <f t="shared" si="7"/>
        <v>3167.0149999999999</v>
      </c>
      <c r="K34" s="387">
        <f t="shared" si="7"/>
        <v>3133.4020416666667</v>
      </c>
      <c r="L34" s="387">
        <f t="shared" si="7"/>
        <v>0</v>
      </c>
      <c r="M34" s="387">
        <f t="shared" si="7"/>
        <v>290209.23267499998</v>
      </c>
      <c r="N34" s="387">
        <f t="shared" si="7"/>
        <v>3167.0149999999999</v>
      </c>
      <c r="O34" s="387">
        <f t="shared" si="7"/>
        <v>0</v>
      </c>
      <c r="P34" s="387">
        <f t="shared" si="7"/>
        <v>3133.4020416666667</v>
      </c>
      <c r="Q34" s="387">
        <f t="shared" si="7"/>
        <v>0</v>
      </c>
      <c r="R34" s="387">
        <f t="shared" si="7"/>
        <v>3167.0149999999999</v>
      </c>
      <c r="S34" s="387">
        <f t="shared" si="7"/>
        <v>0</v>
      </c>
      <c r="T34" s="387">
        <f t="shared" si="7"/>
        <v>256504.63767500001</v>
      </c>
      <c r="U34" s="387">
        <f t="shared" si="7"/>
        <v>3133.4020416666667</v>
      </c>
      <c r="V34" s="387">
        <f t="shared" si="7"/>
        <v>3167.0149999999999</v>
      </c>
      <c r="W34" s="387">
        <f t="shared" si="7"/>
        <v>0</v>
      </c>
      <c r="X34" s="387">
        <f t="shared" si="7"/>
        <v>0</v>
      </c>
      <c r="Y34" s="387">
        <f t="shared" si="7"/>
        <v>0</v>
      </c>
      <c r="Z34" s="387">
        <f t="shared" si="7"/>
        <v>6300.4170416666666</v>
      </c>
      <c r="AA34" s="387">
        <f t="shared" si="7"/>
        <v>256504.63767500001</v>
      </c>
      <c r="AB34" s="387">
        <f t="shared" si="7"/>
        <v>0</v>
      </c>
      <c r="AC34" s="387">
        <f t="shared" si="7"/>
        <v>0</v>
      </c>
      <c r="AD34" s="387">
        <f t="shared" si="7"/>
        <v>3167.0149999999999</v>
      </c>
      <c r="AE34" s="387">
        <f t="shared" si="7"/>
        <v>3133.4020416666667</v>
      </c>
      <c r="AF34" s="387">
        <f t="shared" si="7"/>
        <v>0</v>
      </c>
      <c r="AG34" s="387">
        <f t="shared" si="7"/>
        <v>0</v>
      </c>
      <c r="AH34" s="387">
        <f t="shared" si="7"/>
        <v>259671.65267500002</v>
      </c>
      <c r="AI34" s="387">
        <f t="shared" si="7"/>
        <v>0</v>
      </c>
      <c r="AJ34" s="387">
        <f t="shared" si="7"/>
        <v>3133.4020416666667</v>
      </c>
      <c r="AK34" s="387">
        <f t="shared" si="7"/>
        <v>0</v>
      </c>
      <c r="AL34" s="387">
        <f t="shared" si="7"/>
        <v>3167.0149999999999</v>
      </c>
      <c r="AM34" s="387">
        <f t="shared" si="7"/>
        <v>0</v>
      </c>
      <c r="AN34" s="387">
        <f t="shared" si="7"/>
        <v>0</v>
      </c>
    </row>
    <row r="35" spans="2:40" ht="13.15" customHeight="1" outlineLevel="1" x14ac:dyDescent="0.2">
      <c r="B35" s="404" t="s">
        <v>1051</v>
      </c>
      <c r="C35" s="413">
        <v>1</v>
      </c>
      <c r="D35" s="405" t="s">
        <v>1333</v>
      </c>
      <c r="E35" s="402">
        <f t="shared" si="1"/>
        <v>299539.30900000001</v>
      </c>
      <c r="F35" s="402">
        <f>IF($D35="Sim",'14 - Investimentos'!E37*9.25%,0)</f>
        <v>59907.861800000006</v>
      </c>
      <c r="G35" s="402">
        <f>IF($D35="Sim",'14 - Investimentos'!F37*9.25%,0)</f>
        <v>0</v>
      </c>
      <c r="H35" s="402">
        <f>IF($D35="Sim",'14 - Investimentos'!G37*9.25%,0)</f>
        <v>0</v>
      </c>
      <c r="I35" s="402">
        <f>IF($D35="Sim",'14 - Investimentos'!H37*9.25%,0)</f>
        <v>0</v>
      </c>
      <c r="J35" s="402">
        <f>IF($D35="Sim",'14 - Investimentos'!I37*9.25%,0)</f>
        <v>0</v>
      </c>
      <c r="K35" s="402">
        <f>IF($D35="Sim",'14 - Investimentos'!J37*9.25%,0)</f>
        <v>0</v>
      </c>
      <c r="L35" s="402">
        <f>IF($D35="Sim",'14 - Investimentos'!K37*9.25%,0)</f>
        <v>0</v>
      </c>
      <c r="M35" s="402">
        <f>IF($D35="Sim",'14 - Investimentos'!L37*9.25%,0)</f>
        <v>59907.861800000006</v>
      </c>
      <c r="N35" s="402">
        <f>IF($D35="Sim",'14 - Investimentos'!M37*9.25%,0)</f>
        <v>0</v>
      </c>
      <c r="O35" s="402">
        <f>IF($D35="Sim",'14 - Investimentos'!N37*9.25%,0)</f>
        <v>0</v>
      </c>
      <c r="P35" s="402">
        <f>IF($D35="Sim",'14 - Investimentos'!O37*9.25%,0)</f>
        <v>0</v>
      </c>
      <c r="Q35" s="402">
        <f>IF($D35="Sim",'14 - Investimentos'!P37*9.25%,0)</f>
        <v>0</v>
      </c>
      <c r="R35" s="402">
        <f>IF($D35="Sim",'14 - Investimentos'!Q37*9.25%,0)</f>
        <v>0</v>
      </c>
      <c r="S35" s="402">
        <f>IF($D35="Sim",'14 - Investimentos'!R37*9.25%,0)</f>
        <v>0</v>
      </c>
      <c r="T35" s="402">
        <f>IF($D35="Sim",'14 - Investimentos'!S37*9.25%,0)</f>
        <v>59907.861800000006</v>
      </c>
      <c r="U35" s="402">
        <f>IF($D35="Sim",'14 - Investimentos'!T37*9.25%,0)</f>
        <v>0</v>
      </c>
      <c r="V35" s="402">
        <f>IF($D35="Sim",'14 - Investimentos'!U37*9.25%,0)</f>
        <v>0</v>
      </c>
      <c r="W35" s="402">
        <f>IF($D35="Sim",'14 - Investimentos'!V37*9.25%,0)</f>
        <v>0</v>
      </c>
      <c r="X35" s="402">
        <f>IF($D35="Sim",'14 - Investimentos'!W37*9.25%,0)</f>
        <v>0</v>
      </c>
      <c r="Y35" s="402">
        <f>IF($D35="Sim",'14 - Investimentos'!X37*9.25%,0)</f>
        <v>0</v>
      </c>
      <c r="Z35" s="402">
        <f>IF($D35="Sim",'14 - Investimentos'!Y37*9.25%,0)</f>
        <v>0</v>
      </c>
      <c r="AA35" s="402">
        <f>IF($D35="Sim",'14 - Investimentos'!Z37*9.25%,0)</f>
        <v>59907.861800000006</v>
      </c>
      <c r="AB35" s="402">
        <f>IF($D35="Sim",'14 - Investimentos'!AA37*9.25%,0)</f>
        <v>0</v>
      </c>
      <c r="AC35" s="402">
        <f>IF($D35="Sim",'14 - Investimentos'!AB37*9.25%,0)</f>
        <v>0</v>
      </c>
      <c r="AD35" s="402">
        <f>IF($D35="Sim",'14 - Investimentos'!AC37*9.25%,0)</f>
        <v>0</v>
      </c>
      <c r="AE35" s="402">
        <f>IF($D35="Sim",'14 - Investimentos'!AD37*9.25%,0)</f>
        <v>0</v>
      </c>
      <c r="AF35" s="402">
        <f>IF($D35="Sim",'14 - Investimentos'!AE37*9.25%,0)</f>
        <v>0</v>
      </c>
      <c r="AG35" s="402">
        <f>IF($D35="Sim",'14 - Investimentos'!AF37*9.25%,0)</f>
        <v>0</v>
      </c>
      <c r="AH35" s="402">
        <f>IF($D35="Sim",'14 - Investimentos'!AG37*9.25%,0)</f>
        <v>59907.861800000006</v>
      </c>
      <c r="AI35" s="402">
        <f>IF($D35="Sim",'14 - Investimentos'!AH37*9.25%,0)</f>
        <v>0</v>
      </c>
      <c r="AJ35" s="402">
        <f>IF($D35="Sim",'14 - Investimentos'!AI37*9.25%,0)</f>
        <v>0</v>
      </c>
      <c r="AK35" s="402">
        <f>IF($D35="Sim",'14 - Investimentos'!AJ37*9.25%,0)</f>
        <v>0</v>
      </c>
      <c r="AL35" s="402">
        <f>IF($D35="Sim",'14 - Investimentos'!AK37*9.25%,0)</f>
        <v>0</v>
      </c>
      <c r="AM35" s="402">
        <f>IF($D35="Sim",'14 - Investimentos'!AL37*9.25%,0)</f>
        <v>0</v>
      </c>
      <c r="AN35" s="402">
        <f>IF($D35="Sim",'14 - Investimentos'!AM37*9.25%,0)</f>
        <v>0</v>
      </c>
    </row>
    <row r="36" spans="2:40" ht="13.15" customHeight="1" outlineLevel="1" x14ac:dyDescent="0.2">
      <c r="B36" s="404" t="s">
        <v>145</v>
      </c>
      <c r="C36" s="413">
        <v>1</v>
      </c>
      <c r="D36" s="405" t="s">
        <v>1333</v>
      </c>
      <c r="E36" s="402">
        <f t="shared" si="1"/>
        <v>148900.233125</v>
      </c>
      <c r="F36" s="402">
        <f>IF($D36="Sim",'14 - Investimentos'!E38*9.25%,0)</f>
        <v>29780.046624999999</v>
      </c>
      <c r="G36" s="402">
        <f>IF($D36="Sim",'14 - Investimentos'!F38*9.25%,0)</f>
        <v>0</v>
      </c>
      <c r="H36" s="402">
        <f>IF($D36="Sim",'14 - Investimentos'!G38*9.25%,0)</f>
        <v>0</v>
      </c>
      <c r="I36" s="402">
        <f>IF($D36="Sim",'14 - Investimentos'!H38*9.25%,0)</f>
        <v>0</v>
      </c>
      <c r="J36" s="402">
        <f>IF($D36="Sim",'14 - Investimentos'!I38*9.25%,0)</f>
        <v>0</v>
      </c>
      <c r="K36" s="402">
        <f>IF($D36="Sim",'14 - Investimentos'!J38*9.25%,0)</f>
        <v>0</v>
      </c>
      <c r="L36" s="402">
        <f>IF($D36="Sim",'14 - Investimentos'!K38*9.25%,0)</f>
        <v>0</v>
      </c>
      <c r="M36" s="402">
        <f>IF($D36="Sim",'14 - Investimentos'!L38*9.25%,0)</f>
        <v>29780.046624999999</v>
      </c>
      <c r="N36" s="402">
        <f>IF($D36="Sim",'14 - Investimentos'!M38*9.25%,0)</f>
        <v>0</v>
      </c>
      <c r="O36" s="402">
        <f>IF($D36="Sim",'14 - Investimentos'!N38*9.25%,0)</f>
        <v>0</v>
      </c>
      <c r="P36" s="402">
        <f>IF($D36="Sim",'14 - Investimentos'!O38*9.25%,0)</f>
        <v>0</v>
      </c>
      <c r="Q36" s="402">
        <f>IF($D36="Sim",'14 - Investimentos'!P38*9.25%,0)</f>
        <v>0</v>
      </c>
      <c r="R36" s="402">
        <f>IF($D36="Sim",'14 - Investimentos'!Q38*9.25%,0)</f>
        <v>0</v>
      </c>
      <c r="S36" s="402">
        <f>IF($D36="Sim",'14 - Investimentos'!R38*9.25%,0)</f>
        <v>0</v>
      </c>
      <c r="T36" s="402">
        <f>IF($D36="Sim",'14 - Investimentos'!S38*9.25%,0)</f>
        <v>29780.046624999999</v>
      </c>
      <c r="U36" s="402">
        <f>IF($D36="Sim",'14 - Investimentos'!T38*9.25%,0)</f>
        <v>0</v>
      </c>
      <c r="V36" s="402">
        <f>IF($D36="Sim",'14 - Investimentos'!U38*9.25%,0)</f>
        <v>0</v>
      </c>
      <c r="W36" s="402">
        <f>IF($D36="Sim",'14 - Investimentos'!V38*9.25%,0)</f>
        <v>0</v>
      </c>
      <c r="X36" s="402">
        <f>IF($D36="Sim",'14 - Investimentos'!W38*9.25%,0)</f>
        <v>0</v>
      </c>
      <c r="Y36" s="402">
        <f>IF($D36="Sim",'14 - Investimentos'!X38*9.25%,0)</f>
        <v>0</v>
      </c>
      <c r="Z36" s="402">
        <f>IF($D36="Sim",'14 - Investimentos'!Y38*9.25%,0)</f>
        <v>0</v>
      </c>
      <c r="AA36" s="402">
        <f>IF($D36="Sim",'14 - Investimentos'!Z38*9.25%,0)</f>
        <v>29780.046624999999</v>
      </c>
      <c r="AB36" s="402">
        <f>IF($D36="Sim",'14 - Investimentos'!AA38*9.25%,0)</f>
        <v>0</v>
      </c>
      <c r="AC36" s="402">
        <f>IF($D36="Sim",'14 - Investimentos'!AB38*9.25%,0)</f>
        <v>0</v>
      </c>
      <c r="AD36" s="402">
        <f>IF($D36="Sim",'14 - Investimentos'!AC38*9.25%,0)</f>
        <v>0</v>
      </c>
      <c r="AE36" s="402">
        <f>IF($D36="Sim",'14 - Investimentos'!AD38*9.25%,0)</f>
        <v>0</v>
      </c>
      <c r="AF36" s="402">
        <f>IF($D36="Sim",'14 - Investimentos'!AE38*9.25%,0)</f>
        <v>0</v>
      </c>
      <c r="AG36" s="402">
        <f>IF($D36="Sim",'14 - Investimentos'!AF38*9.25%,0)</f>
        <v>0</v>
      </c>
      <c r="AH36" s="402">
        <f>IF($D36="Sim",'14 - Investimentos'!AG38*9.25%,0)</f>
        <v>29780.046624999999</v>
      </c>
      <c r="AI36" s="402">
        <f>IF($D36="Sim",'14 - Investimentos'!AH38*9.25%,0)</f>
        <v>0</v>
      </c>
      <c r="AJ36" s="402">
        <f>IF($D36="Sim",'14 - Investimentos'!AI38*9.25%,0)</f>
        <v>0</v>
      </c>
      <c r="AK36" s="402">
        <f>IF($D36="Sim",'14 - Investimentos'!AJ38*9.25%,0)</f>
        <v>0</v>
      </c>
      <c r="AL36" s="402">
        <f>IF($D36="Sim",'14 - Investimentos'!AK38*9.25%,0)</f>
        <v>0</v>
      </c>
      <c r="AM36" s="402">
        <f>IF($D36="Sim",'14 - Investimentos'!AL38*9.25%,0)</f>
        <v>0</v>
      </c>
      <c r="AN36" s="402">
        <f>IF($D36="Sim",'14 - Investimentos'!AM38*9.25%,0)</f>
        <v>0</v>
      </c>
    </row>
    <row r="37" spans="2:40" ht="13.15" customHeight="1" outlineLevel="1" x14ac:dyDescent="0.2">
      <c r="B37" s="404" t="s">
        <v>1097</v>
      </c>
      <c r="C37" s="413">
        <v>1</v>
      </c>
      <c r="D37" s="405" t="s">
        <v>1333</v>
      </c>
      <c r="E37" s="402">
        <f t="shared" si="1"/>
        <v>146739.303625</v>
      </c>
      <c r="F37" s="402">
        <f>IF($D37="Sim",'14 - Investimentos'!E39*9.25%,0)</f>
        <v>29347.860724999999</v>
      </c>
      <c r="G37" s="402">
        <f>IF($D37="Sim",'14 - Investimentos'!F39*9.25%,0)</f>
        <v>0</v>
      </c>
      <c r="H37" s="402">
        <f>IF($D37="Sim",'14 - Investimentos'!G39*9.25%,0)</f>
        <v>0</v>
      </c>
      <c r="I37" s="402">
        <f>IF($D37="Sim",'14 - Investimentos'!H39*9.25%,0)</f>
        <v>0</v>
      </c>
      <c r="J37" s="402">
        <f>IF($D37="Sim",'14 - Investimentos'!I39*9.25%,0)</f>
        <v>0</v>
      </c>
      <c r="K37" s="402">
        <f>IF($D37="Sim",'14 - Investimentos'!J39*9.25%,0)</f>
        <v>0</v>
      </c>
      <c r="L37" s="402">
        <f>IF($D37="Sim",'14 - Investimentos'!K39*9.25%,0)</f>
        <v>0</v>
      </c>
      <c r="M37" s="402">
        <f>IF($D37="Sim",'14 - Investimentos'!L39*9.25%,0)</f>
        <v>29347.860724999999</v>
      </c>
      <c r="N37" s="402">
        <f>IF($D37="Sim",'14 - Investimentos'!M39*9.25%,0)</f>
        <v>0</v>
      </c>
      <c r="O37" s="402">
        <f>IF($D37="Sim",'14 - Investimentos'!N39*9.25%,0)</f>
        <v>0</v>
      </c>
      <c r="P37" s="402">
        <f>IF($D37="Sim",'14 - Investimentos'!O39*9.25%,0)</f>
        <v>0</v>
      </c>
      <c r="Q37" s="402">
        <f>IF($D37="Sim",'14 - Investimentos'!P39*9.25%,0)</f>
        <v>0</v>
      </c>
      <c r="R37" s="402">
        <f>IF($D37="Sim",'14 - Investimentos'!Q39*9.25%,0)</f>
        <v>0</v>
      </c>
      <c r="S37" s="402">
        <f>IF($D37="Sim",'14 - Investimentos'!R39*9.25%,0)</f>
        <v>0</v>
      </c>
      <c r="T37" s="402">
        <f>IF($D37="Sim",'14 - Investimentos'!S39*9.25%,0)</f>
        <v>29347.860724999999</v>
      </c>
      <c r="U37" s="402">
        <f>IF($D37="Sim",'14 - Investimentos'!T39*9.25%,0)</f>
        <v>0</v>
      </c>
      <c r="V37" s="402">
        <f>IF($D37="Sim",'14 - Investimentos'!U39*9.25%,0)</f>
        <v>0</v>
      </c>
      <c r="W37" s="402">
        <f>IF($D37="Sim",'14 - Investimentos'!V39*9.25%,0)</f>
        <v>0</v>
      </c>
      <c r="X37" s="402">
        <f>IF($D37="Sim",'14 - Investimentos'!W39*9.25%,0)</f>
        <v>0</v>
      </c>
      <c r="Y37" s="402">
        <f>IF($D37="Sim",'14 - Investimentos'!X39*9.25%,0)</f>
        <v>0</v>
      </c>
      <c r="Z37" s="402">
        <f>IF($D37="Sim",'14 - Investimentos'!Y39*9.25%,0)</f>
        <v>0</v>
      </c>
      <c r="AA37" s="402">
        <f>IF($D37="Sim",'14 - Investimentos'!Z39*9.25%,0)</f>
        <v>29347.860724999999</v>
      </c>
      <c r="AB37" s="402">
        <f>IF($D37="Sim",'14 - Investimentos'!AA39*9.25%,0)</f>
        <v>0</v>
      </c>
      <c r="AC37" s="402">
        <f>IF($D37="Sim",'14 - Investimentos'!AB39*9.25%,0)</f>
        <v>0</v>
      </c>
      <c r="AD37" s="402">
        <f>IF($D37="Sim",'14 - Investimentos'!AC39*9.25%,0)</f>
        <v>0</v>
      </c>
      <c r="AE37" s="402">
        <f>IF($D37="Sim",'14 - Investimentos'!AD39*9.25%,0)</f>
        <v>0</v>
      </c>
      <c r="AF37" s="402">
        <f>IF($D37="Sim",'14 - Investimentos'!AE39*9.25%,0)</f>
        <v>0</v>
      </c>
      <c r="AG37" s="402">
        <f>IF($D37="Sim",'14 - Investimentos'!AF39*9.25%,0)</f>
        <v>0</v>
      </c>
      <c r="AH37" s="402">
        <f>IF($D37="Sim",'14 - Investimentos'!AG39*9.25%,0)</f>
        <v>29347.860724999999</v>
      </c>
      <c r="AI37" s="402">
        <f>IF($D37="Sim",'14 - Investimentos'!AH39*9.25%,0)</f>
        <v>0</v>
      </c>
      <c r="AJ37" s="402">
        <f>IF($D37="Sim",'14 - Investimentos'!AI39*9.25%,0)</f>
        <v>0</v>
      </c>
      <c r="AK37" s="402">
        <f>IF($D37="Sim",'14 - Investimentos'!AJ39*9.25%,0)</f>
        <v>0</v>
      </c>
      <c r="AL37" s="402">
        <f>IF($D37="Sim",'14 - Investimentos'!AK39*9.25%,0)</f>
        <v>0</v>
      </c>
      <c r="AM37" s="402">
        <f>IF($D37="Sim",'14 - Investimentos'!AL39*9.25%,0)</f>
        <v>0</v>
      </c>
      <c r="AN37" s="402">
        <f>IF($D37="Sim",'14 - Investimentos'!AM39*9.25%,0)</f>
        <v>0</v>
      </c>
    </row>
    <row r="38" spans="2:40" ht="13.15" customHeight="1" outlineLevel="1" x14ac:dyDescent="0.2">
      <c r="B38" s="404" t="s">
        <v>149</v>
      </c>
      <c r="C38" s="413">
        <v>1</v>
      </c>
      <c r="D38" s="405" t="s">
        <v>1333</v>
      </c>
      <c r="E38" s="402">
        <f t="shared" si="1"/>
        <v>12935.323333333334</v>
      </c>
      <c r="F38" s="402">
        <f>IF($D38="Sim",'14 - Investimentos'!E40*9.25%,0)</f>
        <v>1847.9033333333332</v>
      </c>
      <c r="G38" s="402">
        <f>IF($D38="Sim",'14 - Investimentos'!F40*9.25%,0)</f>
        <v>0</v>
      </c>
      <c r="H38" s="402">
        <f>IF($D38="Sim",'14 - Investimentos'!G40*9.25%,0)</f>
        <v>0</v>
      </c>
      <c r="I38" s="402">
        <f>IF($D38="Sim",'14 - Investimentos'!H40*9.25%,0)</f>
        <v>0</v>
      </c>
      <c r="J38" s="402">
        <f>IF($D38="Sim",'14 - Investimentos'!I40*9.25%,0)</f>
        <v>0</v>
      </c>
      <c r="K38" s="402">
        <f>IF($D38="Sim",'14 - Investimentos'!J40*9.25%,0)</f>
        <v>1847.9033333333332</v>
      </c>
      <c r="L38" s="402">
        <f>IF($D38="Sim",'14 - Investimentos'!K40*9.25%,0)</f>
        <v>0</v>
      </c>
      <c r="M38" s="402">
        <f>IF($D38="Sim",'14 - Investimentos'!L40*9.25%,0)</f>
        <v>0</v>
      </c>
      <c r="N38" s="402">
        <f>IF($D38="Sim",'14 - Investimentos'!M40*9.25%,0)</f>
        <v>0</v>
      </c>
      <c r="O38" s="402">
        <f>IF($D38="Sim",'14 - Investimentos'!N40*9.25%,0)</f>
        <v>0</v>
      </c>
      <c r="P38" s="402">
        <f>IF($D38="Sim",'14 - Investimentos'!O40*9.25%,0)</f>
        <v>1847.9033333333332</v>
      </c>
      <c r="Q38" s="402">
        <f>IF($D38="Sim",'14 - Investimentos'!P40*9.25%,0)</f>
        <v>0</v>
      </c>
      <c r="R38" s="402">
        <f>IF($D38="Sim",'14 - Investimentos'!Q40*9.25%,0)</f>
        <v>0</v>
      </c>
      <c r="S38" s="402">
        <f>IF($D38="Sim",'14 - Investimentos'!R40*9.25%,0)</f>
        <v>0</v>
      </c>
      <c r="T38" s="402">
        <f>IF($D38="Sim",'14 - Investimentos'!S40*9.25%,0)</f>
        <v>0</v>
      </c>
      <c r="U38" s="402">
        <f>IF($D38="Sim",'14 - Investimentos'!T40*9.25%,0)</f>
        <v>1847.9033333333332</v>
      </c>
      <c r="V38" s="402">
        <f>IF($D38="Sim",'14 - Investimentos'!U40*9.25%,0)</f>
        <v>0</v>
      </c>
      <c r="W38" s="402">
        <f>IF($D38="Sim",'14 - Investimentos'!V40*9.25%,0)</f>
        <v>0</v>
      </c>
      <c r="X38" s="402">
        <f>IF($D38="Sim",'14 - Investimentos'!W40*9.25%,0)</f>
        <v>0</v>
      </c>
      <c r="Y38" s="402">
        <f>IF($D38="Sim",'14 - Investimentos'!X40*9.25%,0)</f>
        <v>0</v>
      </c>
      <c r="Z38" s="402">
        <f>IF($D38="Sim",'14 - Investimentos'!Y40*9.25%,0)</f>
        <v>1847.9033333333332</v>
      </c>
      <c r="AA38" s="402">
        <f>IF($D38="Sim",'14 - Investimentos'!Z40*9.25%,0)</f>
        <v>0</v>
      </c>
      <c r="AB38" s="402">
        <f>IF($D38="Sim",'14 - Investimentos'!AA40*9.25%,0)</f>
        <v>0</v>
      </c>
      <c r="AC38" s="402">
        <f>IF($D38="Sim",'14 - Investimentos'!AB40*9.25%,0)</f>
        <v>0</v>
      </c>
      <c r="AD38" s="402">
        <f>IF($D38="Sim",'14 - Investimentos'!AC40*9.25%,0)</f>
        <v>0</v>
      </c>
      <c r="AE38" s="402">
        <f>IF($D38="Sim",'14 - Investimentos'!AD40*9.25%,0)</f>
        <v>1847.9033333333332</v>
      </c>
      <c r="AF38" s="402">
        <f>IF($D38="Sim",'14 - Investimentos'!AE40*9.25%,0)</f>
        <v>0</v>
      </c>
      <c r="AG38" s="402">
        <f>IF($D38="Sim",'14 - Investimentos'!AF40*9.25%,0)</f>
        <v>0</v>
      </c>
      <c r="AH38" s="402">
        <f>IF($D38="Sim",'14 - Investimentos'!AG40*9.25%,0)</f>
        <v>0</v>
      </c>
      <c r="AI38" s="402">
        <f>IF($D38="Sim",'14 - Investimentos'!AH40*9.25%,0)</f>
        <v>0</v>
      </c>
      <c r="AJ38" s="402">
        <f>IF($D38="Sim",'14 - Investimentos'!AI40*9.25%,0)</f>
        <v>1847.9033333333332</v>
      </c>
      <c r="AK38" s="402">
        <f>IF($D38="Sim",'14 - Investimentos'!AJ40*9.25%,0)</f>
        <v>0</v>
      </c>
      <c r="AL38" s="402">
        <f>IF($D38="Sim",'14 - Investimentos'!AK40*9.25%,0)</f>
        <v>0</v>
      </c>
      <c r="AM38" s="402">
        <f>IF($D38="Sim",'14 - Investimentos'!AL40*9.25%,0)</f>
        <v>0</v>
      </c>
      <c r="AN38" s="402">
        <f>IF($D38="Sim",'14 - Investimentos'!AM40*9.25%,0)</f>
        <v>0</v>
      </c>
    </row>
    <row r="39" spans="2:40" ht="13.15" customHeight="1" outlineLevel="1" x14ac:dyDescent="0.2">
      <c r="B39" s="400" t="s">
        <v>817</v>
      </c>
      <c r="C39" s="418">
        <v>1</v>
      </c>
      <c r="D39" s="401" t="s">
        <v>1333</v>
      </c>
      <c r="E39" s="402">
        <f t="shared" si="1"/>
        <v>3233.8308333333334</v>
      </c>
      <c r="F39" s="402">
        <f>IF($D39="Sim",'14 - Investimentos'!E41*9.25%,0)</f>
        <v>461.9758333333333</v>
      </c>
      <c r="G39" s="402">
        <f>IF($D39="Sim",'14 - Investimentos'!F41*9.25%,0)</f>
        <v>0</v>
      </c>
      <c r="H39" s="402">
        <f>IF($D39="Sim",'14 - Investimentos'!G41*9.25%,0)</f>
        <v>0</v>
      </c>
      <c r="I39" s="402">
        <f>IF($D39="Sim",'14 - Investimentos'!H41*9.25%,0)</f>
        <v>0</v>
      </c>
      <c r="J39" s="402">
        <f>IF($D39="Sim",'14 - Investimentos'!I41*9.25%,0)</f>
        <v>0</v>
      </c>
      <c r="K39" s="402">
        <f>IF($D39="Sim",'14 - Investimentos'!J41*9.25%,0)</f>
        <v>461.9758333333333</v>
      </c>
      <c r="L39" s="402">
        <f>IF($D39="Sim",'14 - Investimentos'!K41*9.25%,0)</f>
        <v>0</v>
      </c>
      <c r="M39" s="402">
        <f>IF($D39="Sim",'14 - Investimentos'!L41*9.25%,0)</f>
        <v>0</v>
      </c>
      <c r="N39" s="402">
        <f>IF($D39="Sim",'14 - Investimentos'!M41*9.25%,0)</f>
        <v>0</v>
      </c>
      <c r="O39" s="402">
        <f>IF($D39="Sim",'14 - Investimentos'!N41*9.25%,0)</f>
        <v>0</v>
      </c>
      <c r="P39" s="402">
        <f>IF($D39="Sim",'14 - Investimentos'!O41*9.25%,0)</f>
        <v>461.9758333333333</v>
      </c>
      <c r="Q39" s="402">
        <f>IF($D39="Sim",'14 - Investimentos'!P41*9.25%,0)</f>
        <v>0</v>
      </c>
      <c r="R39" s="402">
        <f>IF($D39="Sim",'14 - Investimentos'!Q41*9.25%,0)</f>
        <v>0</v>
      </c>
      <c r="S39" s="402">
        <f>IF($D39="Sim",'14 - Investimentos'!R41*9.25%,0)</f>
        <v>0</v>
      </c>
      <c r="T39" s="402">
        <f>IF($D39="Sim",'14 - Investimentos'!S41*9.25%,0)</f>
        <v>0</v>
      </c>
      <c r="U39" s="402">
        <f>IF($D39="Sim",'14 - Investimentos'!T41*9.25%,0)</f>
        <v>461.9758333333333</v>
      </c>
      <c r="V39" s="402">
        <f>IF($D39="Sim",'14 - Investimentos'!U41*9.25%,0)</f>
        <v>0</v>
      </c>
      <c r="W39" s="402">
        <f>IF($D39="Sim",'14 - Investimentos'!V41*9.25%,0)</f>
        <v>0</v>
      </c>
      <c r="X39" s="402">
        <f>IF($D39="Sim",'14 - Investimentos'!W41*9.25%,0)</f>
        <v>0</v>
      </c>
      <c r="Y39" s="402">
        <f>IF($D39="Sim",'14 - Investimentos'!X41*9.25%,0)</f>
        <v>0</v>
      </c>
      <c r="Z39" s="402">
        <f>IF($D39="Sim",'14 - Investimentos'!Y41*9.25%,0)</f>
        <v>461.9758333333333</v>
      </c>
      <c r="AA39" s="402">
        <f>IF($D39="Sim",'14 - Investimentos'!Z41*9.25%,0)</f>
        <v>0</v>
      </c>
      <c r="AB39" s="402">
        <f>IF($D39="Sim",'14 - Investimentos'!AA41*9.25%,0)</f>
        <v>0</v>
      </c>
      <c r="AC39" s="402">
        <f>IF($D39="Sim",'14 - Investimentos'!AB41*9.25%,0)</f>
        <v>0</v>
      </c>
      <c r="AD39" s="402">
        <f>IF($D39="Sim",'14 - Investimentos'!AC41*9.25%,0)</f>
        <v>0</v>
      </c>
      <c r="AE39" s="402">
        <f>IF($D39="Sim",'14 - Investimentos'!AD41*9.25%,0)</f>
        <v>461.9758333333333</v>
      </c>
      <c r="AF39" s="402">
        <f>IF($D39="Sim",'14 - Investimentos'!AE41*9.25%,0)</f>
        <v>0</v>
      </c>
      <c r="AG39" s="402">
        <f>IF($D39="Sim",'14 - Investimentos'!AF41*9.25%,0)</f>
        <v>0</v>
      </c>
      <c r="AH39" s="402">
        <f>IF($D39="Sim",'14 - Investimentos'!AG41*9.25%,0)</f>
        <v>0</v>
      </c>
      <c r="AI39" s="402">
        <f>IF($D39="Sim",'14 - Investimentos'!AH41*9.25%,0)</f>
        <v>0</v>
      </c>
      <c r="AJ39" s="402">
        <f>IF($D39="Sim",'14 - Investimentos'!AI41*9.25%,0)</f>
        <v>461.9758333333333</v>
      </c>
      <c r="AK39" s="402">
        <f>IF($D39="Sim",'14 - Investimentos'!AJ41*9.25%,0)</f>
        <v>0</v>
      </c>
      <c r="AL39" s="402">
        <f>IF($D39="Sim",'14 - Investimentos'!AK41*9.25%,0)</f>
        <v>0</v>
      </c>
      <c r="AM39" s="402">
        <f>IF($D39="Sim",'14 - Investimentos'!AL41*9.25%,0)</f>
        <v>0</v>
      </c>
      <c r="AN39" s="402">
        <f>IF($D39="Sim",'14 - Investimentos'!AM41*9.25%,0)</f>
        <v>0</v>
      </c>
    </row>
    <row r="40" spans="2:40" ht="13.15" customHeight="1" outlineLevel="1" x14ac:dyDescent="0.2">
      <c r="B40" s="404" t="s">
        <v>151</v>
      </c>
      <c r="C40" s="413">
        <v>1</v>
      </c>
      <c r="D40" s="405" t="s">
        <v>1333</v>
      </c>
      <c r="E40" s="402">
        <f t="shared" si="1"/>
        <v>3843.1067499999999</v>
      </c>
      <c r="F40" s="402">
        <f>IF($D40="Sim",'14 - Investimentos'!E42*9.25%,0)</f>
        <v>549.01525000000004</v>
      </c>
      <c r="G40" s="402">
        <f>IF($D40="Sim",'14 - Investimentos'!F42*9.25%,0)</f>
        <v>0</v>
      </c>
      <c r="H40" s="402">
        <f>IF($D40="Sim",'14 - Investimentos'!G42*9.25%,0)</f>
        <v>0</v>
      </c>
      <c r="I40" s="402">
        <f>IF($D40="Sim",'14 - Investimentos'!H42*9.25%,0)</f>
        <v>0</v>
      </c>
      <c r="J40" s="402">
        <f>IF($D40="Sim",'14 - Investimentos'!I42*9.25%,0)</f>
        <v>0</v>
      </c>
      <c r="K40" s="402">
        <f>IF($D40="Sim",'14 - Investimentos'!J42*9.25%,0)</f>
        <v>549.01525000000004</v>
      </c>
      <c r="L40" s="402">
        <f>IF($D40="Sim",'14 - Investimentos'!K42*9.25%,0)</f>
        <v>0</v>
      </c>
      <c r="M40" s="402">
        <f>IF($D40="Sim",'14 - Investimentos'!L42*9.25%,0)</f>
        <v>0</v>
      </c>
      <c r="N40" s="402">
        <f>IF($D40="Sim",'14 - Investimentos'!M42*9.25%,0)</f>
        <v>0</v>
      </c>
      <c r="O40" s="402">
        <f>IF($D40="Sim",'14 - Investimentos'!N42*9.25%,0)</f>
        <v>0</v>
      </c>
      <c r="P40" s="402">
        <f>IF($D40="Sim",'14 - Investimentos'!O42*9.25%,0)</f>
        <v>549.01525000000004</v>
      </c>
      <c r="Q40" s="402">
        <f>IF($D40="Sim",'14 - Investimentos'!P42*9.25%,0)</f>
        <v>0</v>
      </c>
      <c r="R40" s="402">
        <f>IF($D40="Sim",'14 - Investimentos'!Q42*9.25%,0)</f>
        <v>0</v>
      </c>
      <c r="S40" s="402">
        <f>IF($D40="Sim",'14 - Investimentos'!R42*9.25%,0)</f>
        <v>0</v>
      </c>
      <c r="T40" s="402">
        <f>IF($D40="Sim",'14 - Investimentos'!S42*9.25%,0)</f>
        <v>0</v>
      </c>
      <c r="U40" s="402">
        <f>IF($D40="Sim",'14 - Investimentos'!T42*9.25%,0)</f>
        <v>549.01525000000004</v>
      </c>
      <c r="V40" s="402">
        <f>IF($D40="Sim",'14 - Investimentos'!U42*9.25%,0)</f>
        <v>0</v>
      </c>
      <c r="W40" s="402">
        <f>IF($D40="Sim",'14 - Investimentos'!V42*9.25%,0)</f>
        <v>0</v>
      </c>
      <c r="X40" s="402">
        <f>IF($D40="Sim",'14 - Investimentos'!W42*9.25%,0)</f>
        <v>0</v>
      </c>
      <c r="Y40" s="402">
        <f>IF($D40="Sim",'14 - Investimentos'!X42*9.25%,0)</f>
        <v>0</v>
      </c>
      <c r="Z40" s="402">
        <f>IF($D40="Sim",'14 - Investimentos'!Y42*9.25%,0)</f>
        <v>549.01525000000004</v>
      </c>
      <c r="AA40" s="402">
        <f>IF($D40="Sim",'14 - Investimentos'!Z42*9.25%,0)</f>
        <v>0</v>
      </c>
      <c r="AB40" s="402">
        <f>IF($D40="Sim",'14 - Investimentos'!AA42*9.25%,0)</f>
        <v>0</v>
      </c>
      <c r="AC40" s="402">
        <f>IF($D40="Sim",'14 - Investimentos'!AB42*9.25%,0)</f>
        <v>0</v>
      </c>
      <c r="AD40" s="402">
        <f>IF($D40="Sim",'14 - Investimentos'!AC42*9.25%,0)</f>
        <v>0</v>
      </c>
      <c r="AE40" s="402">
        <f>IF($D40="Sim",'14 - Investimentos'!AD42*9.25%,0)</f>
        <v>549.01525000000004</v>
      </c>
      <c r="AF40" s="402">
        <f>IF($D40="Sim",'14 - Investimentos'!AE42*9.25%,0)</f>
        <v>0</v>
      </c>
      <c r="AG40" s="402">
        <f>IF($D40="Sim",'14 - Investimentos'!AF42*9.25%,0)</f>
        <v>0</v>
      </c>
      <c r="AH40" s="402">
        <f>IF($D40="Sim",'14 - Investimentos'!AG42*9.25%,0)</f>
        <v>0</v>
      </c>
      <c r="AI40" s="402">
        <f>IF($D40="Sim",'14 - Investimentos'!AH42*9.25%,0)</f>
        <v>0</v>
      </c>
      <c r="AJ40" s="402">
        <f>IF($D40="Sim",'14 - Investimentos'!AI42*9.25%,0)</f>
        <v>549.01525000000004</v>
      </c>
      <c r="AK40" s="402">
        <f>IF($D40="Sim",'14 - Investimentos'!AJ42*9.25%,0)</f>
        <v>0</v>
      </c>
      <c r="AL40" s="402">
        <f>IF($D40="Sim",'14 - Investimentos'!AK42*9.25%,0)</f>
        <v>0</v>
      </c>
      <c r="AM40" s="402">
        <f>IF($D40="Sim",'14 - Investimentos'!AL42*9.25%,0)</f>
        <v>0</v>
      </c>
      <c r="AN40" s="402">
        <f>IF($D40="Sim",'14 - Investimentos'!AM42*9.25%,0)</f>
        <v>0</v>
      </c>
    </row>
    <row r="41" spans="2:40" ht="13.15" customHeight="1" outlineLevel="1" x14ac:dyDescent="0.2">
      <c r="B41" s="404" t="s">
        <v>818</v>
      </c>
      <c r="C41" s="413">
        <v>1</v>
      </c>
      <c r="D41" s="405" t="s">
        <v>1333</v>
      </c>
      <c r="E41" s="402">
        <f t="shared" si="1"/>
        <v>1921.553375</v>
      </c>
      <c r="F41" s="402">
        <f>IF($D41="Sim",'14 - Investimentos'!E43*9.25%,0)</f>
        <v>274.50762500000002</v>
      </c>
      <c r="G41" s="402">
        <f>IF($D41="Sim",'14 - Investimentos'!F43*9.25%,0)</f>
        <v>0</v>
      </c>
      <c r="H41" s="402">
        <f>IF($D41="Sim",'14 - Investimentos'!G43*9.25%,0)</f>
        <v>0</v>
      </c>
      <c r="I41" s="402">
        <f>IF($D41="Sim",'14 - Investimentos'!H43*9.25%,0)</f>
        <v>0</v>
      </c>
      <c r="J41" s="402">
        <f>IF($D41="Sim",'14 - Investimentos'!I43*9.25%,0)</f>
        <v>0</v>
      </c>
      <c r="K41" s="402">
        <f>IF($D41="Sim",'14 - Investimentos'!J43*9.25%,0)</f>
        <v>274.50762500000002</v>
      </c>
      <c r="L41" s="402">
        <f>IF($D41="Sim",'14 - Investimentos'!K43*9.25%,0)</f>
        <v>0</v>
      </c>
      <c r="M41" s="402">
        <f>IF($D41="Sim",'14 - Investimentos'!L43*9.25%,0)</f>
        <v>0</v>
      </c>
      <c r="N41" s="402">
        <f>IF($D41="Sim",'14 - Investimentos'!M43*9.25%,0)</f>
        <v>0</v>
      </c>
      <c r="O41" s="402">
        <f>IF($D41="Sim",'14 - Investimentos'!N43*9.25%,0)</f>
        <v>0</v>
      </c>
      <c r="P41" s="402">
        <f>IF($D41="Sim",'14 - Investimentos'!O43*9.25%,0)</f>
        <v>274.50762500000002</v>
      </c>
      <c r="Q41" s="402">
        <f>IF($D41="Sim",'14 - Investimentos'!P43*9.25%,0)</f>
        <v>0</v>
      </c>
      <c r="R41" s="402">
        <f>IF($D41="Sim",'14 - Investimentos'!Q43*9.25%,0)</f>
        <v>0</v>
      </c>
      <c r="S41" s="402">
        <f>IF($D41="Sim",'14 - Investimentos'!R43*9.25%,0)</f>
        <v>0</v>
      </c>
      <c r="T41" s="402">
        <f>IF($D41="Sim",'14 - Investimentos'!S43*9.25%,0)</f>
        <v>0</v>
      </c>
      <c r="U41" s="402">
        <f>IF($D41="Sim",'14 - Investimentos'!T43*9.25%,0)</f>
        <v>274.50762500000002</v>
      </c>
      <c r="V41" s="402">
        <f>IF($D41="Sim",'14 - Investimentos'!U43*9.25%,0)</f>
        <v>0</v>
      </c>
      <c r="W41" s="402">
        <f>IF($D41="Sim",'14 - Investimentos'!V43*9.25%,0)</f>
        <v>0</v>
      </c>
      <c r="X41" s="402">
        <f>IF($D41="Sim",'14 - Investimentos'!W43*9.25%,0)</f>
        <v>0</v>
      </c>
      <c r="Y41" s="402">
        <f>IF($D41="Sim",'14 - Investimentos'!X43*9.25%,0)</f>
        <v>0</v>
      </c>
      <c r="Z41" s="402">
        <f>IF($D41="Sim",'14 - Investimentos'!Y43*9.25%,0)</f>
        <v>274.50762500000002</v>
      </c>
      <c r="AA41" s="402">
        <f>IF($D41="Sim",'14 - Investimentos'!Z43*9.25%,0)</f>
        <v>0</v>
      </c>
      <c r="AB41" s="402">
        <f>IF($D41="Sim",'14 - Investimentos'!AA43*9.25%,0)</f>
        <v>0</v>
      </c>
      <c r="AC41" s="402">
        <f>IF($D41="Sim",'14 - Investimentos'!AB43*9.25%,0)</f>
        <v>0</v>
      </c>
      <c r="AD41" s="402">
        <f>IF($D41="Sim",'14 - Investimentos'!AC43*9.25%,0)</f>
        <v>0</v>
      </c>
      <c r="AE41" s="402">
        <f>IF($D41="Sim",'14 - Investimentos'!AD43*9.25%,0)</f>
        <v>274.50762500000002</v>
      </c>
      <c r="AF41" s="402">
        <f>IF($D41="Sim",'14 - Investimentos'!AE43*9.25%,0)</f>
        <v>0</v>
      </c>
      <c r="AG41" s="402">
        <f>IF($D41="Sim",'14 - Investimentos'!AF43*9.25%,0)</f>
        <v>0</v>
      </c>
      <c r="AH41" s="402">
        <f>IF($D41="Sim",'14 - Investimentos'!AG43*9.25%,0)</f>
        <v>0</v>
      </c>
      <c r="AI41" s="402">
        <f>IF($D41="Sim",'14 - Investimentos'!AH43*9.25%,0)</f>
        <v>0</v>
      </c>
      <c r="AJ41" s="402">
        <f>IF($D41="Sim",'14 - Investimentos'!AI43*9.25%,0)</f>
        <v>274.50762500000002</v>
      </c>
      <c r="AK41" s="402">
        <f>IF($D41="Sim",'14 - Investimentos'!AJ43*9.25%,0)</f>
        <v>0</v>
      </c>
      <c r="AL41" s="402">
        <f>IF($D41="Sim",'14 - Investimentos'!AK43*9.25%,0)</f>
        <v>0</v>
      </c>
      <c r="AM41" s="402">
        <f>IF($D41="Sim",'14 - Investimentos'!AL43*9.25%,0)</f>
        <v>0</v>
      </c>
      <c r="AN41" s="402">
        <f>IF($D41="Sim",'14 - Investimentos'!AM43*9.25%,0)</f>
        <v>0</v>
      </c>
    </row>
    <row r="42" spans="2:40" ht="13.15" customHeight="1" outlineLevel="1" x14ac:dyDescent="0.2">
      <c r="B42" s="404" t="s">
        <v>565</v>
      </c>
      <c r="C42" s="413">
        <v>1</v>
      </c>
      <c r="D42" s="405" t="s">
        <v>1333</v>
      </c>
      <c r="E42" s="402">
        <f t="shared" si="1"/>
        <v>316812.5</v>
      </c>
      <c r="F42" s="402">
        <f>IF($D42="Sim",'14 - Investimentos'!E45*9.25%,0)</f>
        <v>63362.5</v>
      </c>
      <c r="G42" s="402">
        <f>IF($D42="Sim",'14 - Investimentos'!F45*9.25%,0)</f>
        <v>0</v>
      </c>
      <c r="H42" s="402">
        <f>IF($D42="Sim",'14 - Investimentos'!G45*9.25%,0)</f>
        <v>0</v>
      </c>
      <c r="I42" s="402">
        <f>IF($D42="Sim",'14 - Investimentos'!H45*9.25%,0)</f>
        <v>0</v>
      </c>
      <c r="J42" s="402">
        <f>IF($D42="Sim",'14 - Investimentos'!I45*9.25%,0)</f>
        <v>0</v>
      </c>
      <c r="K42" s="402">
        <f>IF($D42="Sim",'14 - Investimentos'!J45*9.25%,0)</f>
        <v>0</v>
      </c>
      <c r="L42" s="402">
        <f>IF($D42="Sim",'14 - Investimentos'!K45*9.25%,0)</f>
        <v>0</v>
      </c>
      <c r="M42" s="402">
        <f>IF($D42="Sim",'14 - Investimentos'!L45*9.25%,0)</f>
        <v>63362.5</v>
      </c>
      <c r="N42" s="402">
        <f>IF($D42="Sim",'14 - Investimentos'!M45*9.25%,0)</f>
        <v>0</v>
      </c>
      <c r="O42" s="402">
        <f>IF($D42="Sim",'14 - Investimentos'!N45*9.25%,0)</f>
        <v>0</v>
      </c>
      <c r="P42" s="402">
        <f>IF($D42="Sim",'14 - Investimentos'!O45*9.25%,0)</f>
        <v>0</v>
      </c>
      <c r="Q42" s="402">
        <f>IF($D42="Sim",'14 - Investimentos'!P45*9.25%,0)</f>
        <v>0</v>
      </c>
      <c r="R42" s="402">
        <f>IF($D42="Sim",'14 - Investimentos'!Q45*9.25%,0)</f>
        <v>0</v>
      </c>
      <c r="S42" s="402">
        <f>IF($D42="Sim",'14 - Investimentos'!R45*9.25%,0)</f>
        <v>0</v>
      </c>
      <c r="T42" s="402">
        <f>IF($D42="Sim",'14 - Investimentos'!S45*9.25%,0)</f>
        <v>63362.5</v>
      </c>
      <c r="U42" s="402">
        <f>IF($D42="Sim",'14 - Investimentos'!T45*9.25%,0)</f>
        <v>0</v>
      </c>
      <c r="V42" s="402">
        <f>IF($D42="Sim",'14 - Investimentos'!U45*9.25%,0)</f>
        <v>0</v>
      </c>
      <c r="W42" s="402">
        <f>IF($D42="Sim",'14 - Investimentos'!V45*9.25%,0)</f>
        <v>0</v>
      </c>
      <c r="X42" s="402">
        <f>IF($D42="Sim",'14 - Investimentos'!W45*9.25%,0)</f>
        <v>0</v>
      </c>
      <c r="Y42" s="402">
        <f>IF($D42="Sim",'14 - Investimentos'!X45*9.25%,0)</f>
        <v>0</v>
      </c>
      <c r="Z42" s="402">
        <f>IF($D42="Sim",'14 - Investimentos'!Y45*9.25%,0)</f>
        <v>0</v>
      </c>
      <c r="AA42" s="402">
        <f>IF($D42="Sim",'14 - Investimentos'!Z45*9.25%,0)</f>
        <v>63362.5</v>
      </c>
      <c r="AB42" s="402">
        <f>IF($D42="Sim",'14 - Investimentos'!AA45*9.25%,0)</f>
        <v>0</v>
      </c>
      <c r="AC42" s="402">
        <f>IF($D42="Sim",'14 - Investimentos'!AB45*9.25%,0)</f>
        <v>0</v>
      </c>
      <c r="AD42" s="402">
        <f>IF($D42="Sim",'14 - Investimentos'!AC45*9.25%,0)</f>
        <v>0</v>
      </c>
      <c r="AE42" s="402">
        <f>IF($D42="Sim",'14 - Investimentos'!AD45*9.25%,0)</f>
        <v>0</v>
      </c>
      <c r="AF42" s="402">
        <f>IF($D42="Sim",'14 - Investimentos'!AE45*9.25%,0)</f>
        <v>0</v>
      </c>
      <c r="AG42" s="402">
        <f>IF($D42="Sim",'14 - Investimentos'!AF45*9.25%,0)</f>
        <v>0</v>
      </c>
      <c r="AH42" s="402">
        <f>IF($D42="Sim",'14 - Investimentos'!AG45*9.25%,0)</f>
        <v>63362.5</v>
      </c>
      <c r="AI42" s="402">
        <f>IF($D42="Sim",'14 - Investimentos'!AH45*9.25%,0)</f>
        <v>0</v>
      </c>
      <c r="AJ42" s="402">
        <f>IF($D42="Sim",'14 - Investimentos'!AI45*9.25%,0)</f>
        <v>0</v>
      </c>
      <c r="AK42" s="402">
        <f>IF($D42="Sim",'14 - Investimentos'!AJ45*9.25%,0)</f>
        <v>0</v>
      </c>
      <c r="AL42" s="402">
        <f>IF($D42="Sim",'14 - Investimentos'!AK45*9.25%,0)</f>
        <v>0</v>
      </c>
      <c r="AM42" s="402">
        <f>IF($D42="Sim",'14 - Investimentos'!AL45*9.25%,0)</f>
        <v>0</v>
      </c>
      <c r="AN42" s="402">
        <f>IF($D42="Sim",'14 - Investimentos'!AM45*9.25%,0)</f>
        <v>0</v>
      </c>
    </row>
    <row r="43" spans="2:40" ht="13.15" customHeight="1" outlineLevel="1" x14ac:dyDescent="0.2">
      <c r="B43" s="404" t="s">
        <v>582</v>
      </c>
      <c r="C43" s="413">
        <v>1</v>
      </c>
      <c r="D43" s="405" t="s">
        <v>1333</v>
      </c>
      <c r="E43" s="402">
        <f t="shared" si="1"/>
        <v>67409.19</v>
      </c>
      <c r="F43" s="402">
        <f>IF($D43="Sim",'14 - Investimentos'!E46*9.25%,0)</f>
        <v>33704.595000000001</v>
      </c>
      <c r="G43" s="402">
        <f>IF($D43="Sim",'14 - Investimentos'!F46*9.25%,0)</f>
        <v>0</v>
      </c>
      <c r="H43" s="402">
        <f>IF($D43="Sim",'14 - Investimentos'!G46*9.25%,0)</f>
        <v>0</v>
      </c>
      <c r="I43" s="402">
        <f>IF($D43="Sim",'14 - Investimentos'!H46*9.25%,0)</f>
        <v>0</v>
      </c>
      <c r="J43" s="402">
        <f>IF($D43="Sim",'14 - Investimentos'!I46*9.25%,0)</f>
        <v>0</v>
      </c>
      <c r="K43" s="402">
        <f>IF($D43="Sim",'14 - Investimentos'!J46*9.25%,0)</f>
        <v>0</v>
      </c>
      <c r="L43" s="402">
        <f>IF($D43="Sim",'14 - Investimentos'!K46*9.25%,0)</f>
        <v>0</v>
      </c>
      <c r="M43" s="402">
        <f>IF($D43="Sim",'14 - Investimentos'!L46*9.25%,0)</f>
        <v>33704.595000000001</v>
      </c>
      <c r="N43" s="402">
        <f>IF($D43="Sim",'14 - Investimentos'!M46*9.25%,0)</f>
        <v>0</v>
      </c>
      <c r="O43" s="402">
        <f>IF($D43="Sim",'14 - Investimentos'!N46*9.25%,0)</f>
        <v>0</v>
      </c>
      <c r="P43" s="402">
        <f>IF($D43="Sim",'14 - Investimentos'!O46*9.25%,0)</f>
        <v>0</v>
      </c>
      <c r="Q43" s="402">
        <f>IF($D43="Sim",'14 - Investimentos'!P46*9.25%,0)</f>
        <v>0</v>
      </c>
      <c r="R43" s="402">
        <f>IF($D43="Sim",'14 - Investimentos'!Q46*9.25%,0)</f>
        <v>0</v>
      </c>
      <c r="S43" s="402">
        <f>IF($D43="Sim",'14 - Investimentos'!R46*9.25%,0)</f>
        <v>0</v>
      </c>
      <c r="T43" s="402">
        <f>IF($D43="Sim",'14 - Investimentos'!S46*9.25%,0)</f>
        <v>0</v>
      </c>
      <c r="U43" s="402">
        <f>IF($D43="Sim",'14 - Investimentos'!T46*9.25%,0)</f>
        <v>0</v>
      </c>
      <c r="V43" s="402">
        <f>IF($D43="Sim",'14 - Investimentos'!U46*9.25%,0)</f>
        <v>0</v>
      </c>
      <c r="W43" s="402">
        <f>IF($D43="Sim",'14 - Investimentos'!V46*9.25%,0)</f>
        <v>0</v>
      </c>
      <c r="X43" s="402">
        <f>IF($D43="Sim",'14 - Investimentos'!W46*9.25%,0)</f>
        <v>0</v>
      </c>
      <c r="Y43" s="402">
        <f>IF($D43="Sim",'14 - Investimentos'!X46*9.25%,0)</f>
        <v>0</v>
      </c>
      <c r="Z43" s="402">
        <f>IF($D43="Sim",'14 - Investimentos'!Y46*9.25%,0)</f>
        <v>0</v>
      </c>
      <c r="AA43" s="402">
        <f>IF($D43="Sim",'14 - Investimentos'!Z46*9.25%,0)</f>
        <v>0</v>
      </c>
      <c r="AB43" s="402">
        <f>IF($D43="Sim",'14 - Investimentos'!AA46*9.25%,0)</f>
        <v>0</v>
      </c>
      <c r="AC43" s="402">
        <f>IF($D43="Sim",'14 - Investimentos'!AB46*9.25%,0)</f>
        <v>0</v>
      </c>
      <c r="AD43" s="402">
        <f>IF($D43="Sim",'14 - Investimentos'!AC46*9.25%,0)</f>
        <v>0</v>
      </c>
      <c r="AE43" s="402">
        <f>IF($D43="Sim",'14 - Investimentos'!AD46*9.25%,0)</f>
        <v>0</v>
      </c>
      <c r="AF43" s="402">
        <f>IF($D43="Sim",'14 - Investimentos'!AE46*9.25%,0)</f>
        <v>0</v>
      </c>
      <c r="AG43" s="402">
        <f>IF($D43="Sim",'14 - Investimentos'!AF46*9.25%,0)</f>
        <v>0</v>
      </c>
      <c r="AH43" s="402">
        <f>IF($D43="Sim",'14 - Investimentos'!AG46*9.25%,0)</f>
        <v>0</v>
      </c>
      <c r="AI43" s="402">
        <f>IF($D43="Sim",'14 - Investimentos'!AH46*9.25%,0)</f>
        <v>0</v>
      </c>
      <c r="AJ43" s="402">
        <f>IF($D43="Sim",'14 - Investimentos'!AI46*9.25%,0)</f>
        <v>0</v>
      </c>
      <c r="AK43" s="402">
        <f>IF($D43="Sim",'14 - Investimentos'!AJ46*9.25%,0)</f>
        <v>0</v>
      </c>
      <c r="AL43" s="402">
        <f>IF($D43="Sim",'14 - Investimentos'!AK46*9.25%,0)</f>
        <v>0</v>
      </c>
      <c r="AM43" s="402">
        <f>IF($D43="Sim",'14 - Investimentos'!AL46*9.25%,0)</f>
        <v>0</v>
      </c>
      <c r="AN43" s="402">
        <f>IF($D43="Sim",'14 - Investimentos'!AM46*9.25%,0)</f>
        <v>0</v>
      </c>
    </row>
    <row r="44" spans="2:40" ht="13.15" customHeight="1" outlineLevel="1" x14ac:dyDescent="0.2">
      <c r="B44" s="404" t="s">
        <v>819</v>
      </c>
      <c r="C44" s="413">
        <v>1</v>
      </c>
      <c r="D44" s="405" t="s">
        <v>1333</v>
      </c>
      <c r="E44" s="402">
        <f t="shared" si="1"/>
        <v>14251.567499999999</v>
      </c>
      <c r="F44" s="402">
        <f>IF($D44="Sim",'14 - Investimentos'!E47*9.25%,0)</f>
        <v>1583.5074999999999</v>
      </c>
      <c r="G44" s="402">
        <f>IF($D44="Sim",'14 - Investimentos'!F47*9.25%,0)</f>
        <v>0</v>
      </c>
      <c r="H44" s="402">
        <f>IF($D44="Sim",'14 - Investimentos'!G47*9.25%,0)</f>
        <v>0</v>
      </c>
      <c r="I44" s="402">
        <f>IF($D44="Sim",'14 - Investimentos'!H47*9.25%,0)</f>
        <v>0</v>
      </c>
      <c r="J44" s="402">
        <f>IF($D44="Sim",'14 - Investimentos'!I47*9.25%,0)</f>
        <v>1583.5074999999999</v>
      </c>
      <c r="K44" s="402">
        <f>IF($D44="Sim",'14 - Investimentos'!J47*9.25%,0)</f>
        <v>0</v>
      </c>
      <c r="L44" s="402">
        <f>IF($D44="Sim",'14 - Investimentos'!K47*9.25%,0)</f>
        <v>0</v>
      </c>
      <c r="M44" s="402">
        <f>IF($D44="Sim",'14 - Investimentos'!L47*9.25%,0)</f>
        <v>0</v>
      </c>
      <c r="N44" s="402">
        <f>IF($D44="Sim",'14 - Investimentos'!M47*9.25%,0)</f>
        <v>1583.5074999999999</v>
      </c>
      <c r="O44" s="402">
        <f>IF($D44="Sim",'14 - Investimentos'!N47*9.25%,0)</f>
        <v>0</v>
      </c>
      <c r="P44" s="402">
        <f>IF($D44="Sim",'14 - Investimentos'!O47*9.25%,0)</f>
        <v>0</v>
      </c>
      <c r="Q44" s="402">
        <f>IF($D44="Sim",'14 - Investimentos'!P47*9.25%,0)</f>
        <v>0</v>
      </c>
      <c r="R44" s="402">
        <f>IF($D44="Sim",'14 - Investimentos'!Q47*9.25%,0)</f>
        <v>1583.5074999999999</v>
      </c>
      <c r="S44" s="402">
        <f>IF($D44="Sim",'14 - Investimentos'!R47*9.25%,0)</f>
        <v>0</v>
      </c>
      <c r="T44" s="402">
        <f>IF($D44="Sim",'14 - Investimentos'!S47*9.25%,0)</f>
        <v>0</v>
      </c>
      <c r="U44" s="402">
        <f>IF($D44="Sim",'14 - Investimentos'!T47*9.25%,0)</f>
        <v>0</v>
      </c>
      <c r="V44" s="402">
        <f>IF($D44="Sim",'14 - Investimentos'!U47*9.25%,0)</f>
        <v>1583.5074999999999</v>
      </c>
      <c r="W44" s="402">
        <f>IF($D44="Sim",'14 - Investimentos'!V47*9.25%,0)</f>
        <v>0</v>
      </c>
      <c r="X44" s="402">
        <f>IF($D44="Sim",'14 - Investimentos'!W47*9.25%,0)</f>
        <v>0</v>
      </c>
      <c r="Y44" s="402">
        <f>IF($D44="Sim",'14 - Investimentos'!X47*9.25%,0)</f>
        <v>0</v>
      </c>
      <c r="Z44" s="402">
        <f>IF($D44="Sim",'14 - Investimentos'!Y47*9.25%,0)</f>
        <v>1583.5074999999999</v>
      </c>
      <c r="AA44" s="402">
        <f>IF($D44="Sim",'14 - Investimentos'!Z47*9.25%,0)</f>
        <v>0</v>
      </c>
      <c r="AB44" s="402">
        <f>IF($D44="Sim",'14 - Investimentos'!AA47*9.25%,0)</f>
        <v>0</v>
      </c>
      <c r="AC44" s="402">
        <f>IF($D44="Sim",'14 - Investimentos'!AB47*9.25%,0)</f>
        <v>0</v>
      </c>
      <c r="AD44" s="402">
        <f>IF($D44="Sim",'14 - Investimentos'!AC47*9.25%,0)</f>
        <v>1583.5074999999999</v>
      </c>
      <c r="AE44" s="402">
        <f>IF($D44="Sim",'14 - Investimentos'!AD47*9.25%,0)</f>
        <v>0</v>
      </c>
      <c r="AF44" s="402">
        <f>IF($D44="Sim",'14 - Investimentos'!AE47*9.25%,0)</f>
        <v>0</v>
      </c>
      <c r="AG44" s="402">
        <f>IF($D44="Sim",'14 - Investimentos'!AF47*9.25%,0)</f>
        <v>0</v>
      </c>
      <c r="AH44" s="402">
        <f>IF($D44="Sim",'14 - Investimentos'!AG47*9.25%,0)</f>
        <v>1583.5074999999999</v>
      </c>
      <c r="AI44" s="402">
        <f>IF($D44="Sim",'14 - Investimentos'!AH47*9.25%,0)</f>
        <v>0</v>
      </c>
      <c r="AJ44" s="402">
        <f>IF($D44="Sim",'14 - Investimentos'!AI47*9.25%,0)</f>
        <v>0</v>
      </c>
      <c r="AK44" s="402">
        <f>IF($D44="Sim",'14 - Investimentos'!AJ47*9.25%,0)</f>
        <v>0</v>
      </c>
      <c r="AL44" s="402">
        <f>IF($D44="Sim",'14 - Investimentos'!AK47*9.25%,0)</f>
        <v>1583.5074999999999</v>
      </c>
      <c r="AM44" s="402">
        <f>IF($D44="Sim",'14 - Investimentos'!AL47*9.25%,0)</f>
        <v>0</v>
      </c>
      <c r="AN44" s="402">
        <f>IF($D44="Sim",'14 - Investimentos'!AM47*9.25%,0)</f>
        <v>0</v>
      </c>
    </row>
    <row r="45" spans="2:40" ht="13.15" customHeight="1" outlineLevel="1" x14ac:dyDescent="0.2">
      <c r="B45" s="404" t="s">
        <v>580</v>
      </c>
      <c r="C45" s="413">
        <v>1</v>
      </c>
      <c r="D45" s="405" t="s">
        <v>1333</v>
      </c>
      <c r="E45" s="402">
        <f t="shared" si="1"/>
        <v>286270.355125</v>
      </c>
      <c r="F45" s="402">
        <f>IF($D45="Sim",'14 - Investimentos'!E49*9.25%,0)</f>
        <v>57254.071025000005</v>
      </c>
      <c r="G45" s="402">
        <f>IF($D45="Sim",'14 - Investimentos'!F49*9.25%,0)</f>
        <v>0</v>
      </c>
      <c r="H45" s="402">
        <f>IF($D45="Sim",'14 - Investimentos'!G49*9.25%,0)</f>
        <v>0</v>
      </c>
      <c r="I45" s="402">
        <f>IF($D45="Sim",'14 - Investimentos'!H49*9.25%,0)</f>
        <v>0</v>
      </c>
      <c r="J45" s="402">
        <f>IF($D45="Sim",'14 - Investimentos'!I49*9.25%,0)</f>
        <v>0</v>
      </c>
      <c r="K45" s="402">
        <f>IF($D45="Sim",'14 - Investimentos'!J49*9.25%,0)</f>
        <v>0</v>
      </c>
      <c r="L45" s="402">
        <f>IF($D45="Sim",'14 - Investimentos'!K49*9.25%,0)</f>
        <v>0</v>
      </c>
      <c r="M45" s="402">
        <f>IF($D45="Sim",'14 - Investimentos'!L49*9.25%,0)</f>
        <v>57254.071025000005</v>
      </c>
      <c r="N45" s="402">
        <f>IF($D45="Sim",'14 - Investimentos'!M49*9.25%,0)</f>
        <v>0</v>
      </c>
      <c r="O45" s="402">
        <f>IF($D45="Sim",'14 - Investimentos'!N49*9.25%,0)</f>
        <v>0</v>
      </c>
      <c r="P45" s="402">
        <f>IF($D45="Sim",'14 - Investimentos'!O49*9.25%,0)</f>
        <v>0</v>
      </c>
      <c r="Q45" s="402">
        <f>IF($D45="Sim",'14 - Investimentos'!P49*9.25%,0)</f>
        <v>0</v>
      </c>
      <c r="R45" s="402">
        <f>IF($D45="Sim",'14 - Investimentos'!Q49*9.25%,0)</f>
        <v>0</v>
      </c>
      <c r="S45" s="402">
        <f>IF($D45="Sim",'14 - Investimentos'!R49*9.25%,0)</f>
        <v>0</v>
      </c>
      <c r="T45" s="402">
        <f>IF($D45="Sim",'14 - Investimentos'!S49*9.25%,0)</f>
        <v>57254.071025000005</v>
      </c>
      <c r="U45" s="402">
        <f>IF($D45="Sim",'14 - Investimentos'!T49*9.25%,0)</f>
        <v>0</v>
      </c>
      <c r="V45" s="402">
        <f>IF($D45="Sim",'14 - Investimentos'!U49*9.25%,0)</f>
        <v>0</v>
      </c>
      <c r="W45" s="402">
        <f>IF($D45="Sim",'14 - Investimentos'!V49*9.25%,0)</f>
        <v>0</v>
      </c>
      <c r="X45" s="402">
        <f>IF($D45="Sim",'14 - Investimentos'!W49*9.25%,0)</f>
        <v>0</v>
      </c>
      <c r="Y45" s="402">
        <f>IF($D45="Sim",'14 - Investimentos'!X49*9.25%,0)</f>
        <v>0</v>
      </c>
      <c r="Z45" s="402">
        <f>IF($D45="Sim",'14 - Investimentos'!Y49*9.25%,0)</f>
        <v>0</v>
      </c>
      <c r="AA45" s="402">
        <f>IF($D45="Sim",'14 - Investimentos'!Z49*9.25%,0)</f>
        <v>57254.071025000005</v>
      </c>
      <c r="AB45" s="402">
        <f>IF($D45="Sim",'14 - Investimentos'!AA49*9.25%,0)</f>
        <v>0</v>
      </c>
      <c r="AC45" s="402">
        <f>IF($D45="Sim",'14 - Investimentos'!AB49*9.25%,0)</f>
        <v>0</v>
      </c>
      <c r="AD45" s="402">
        <f>IF($D45="Sim",'14 - Investimentos'!AC49*9.25%,0)</f>
        <v>0</v>
      </c>
      <c r="AE45" s="402">
        <f>IF($D45="Sim",'14 - Investimentos'!AD49*9.25%,0)</f>
        <v>0</v>
      </c>
      <c r="AF45" s="402">
        <f>IF($D45="Sim",'14 - Investimentos'!AE49*9.25%,0)</f>
        <v>0</v>
      </c>
      <c r="AG45" s="402">
        <f>IF($D45="Sim",'14 - Investimentos'!AF49*9.25%,0)</f>
        <v>0</v>
      </c>
      <c r="AH45" s="402">
        <f>IF($D45="Sim",'14 - Investimentos'!AG49*9.25%,0)</f>
        <v>57254.071025000005</v>
      </c>
      <c r="AI45" s="402">
        <f>IF($D45="Sim",'14 - Investimentos'!AH49*9.25%,0)</f>
        <v>0</v>
      </c>
      <c r="AJ45" s="402">
        <f>IF($D45="Sim",'14 - Investimentos'!AI49*9.25%,0)</f>
        <v>0</v>
      </c>
      <c r="AK45" s="402">
        <f>IF($D45="Sim",'14 - Investimentos'!AJ49*9.25%,0)</f>
        <v>0</v>
      </c>
      <c r="AL45" s="402">
        <f>IF($D45="Sim",'14 - Investimentos'!AK49*9.25%,0)</f>
        <v>0</v>
      </c>
      <c r="AM45" s="402">
        <f>IF($D45="Sim",'14 - Investimentos'!AL49*9.25%,0)</f>
        <v>0</v>
      </c>
      <c r="AN45" s="402">
        <f>IF($D45="Sim",'14 - Investimentos'!AM49*9.25%,0)</f>
        <v>0</v>
      </c>
    </row>
    <row r="46" spans="2:40" ht="13.15" customHeight="1" outlineLevel="1" x14ac:dyDescent="0.2">
      <c r="B46" s="404" t="s">
        <v>582</v>
      </c>
      <c r="C46" s="413">
        <v>1</v>
      </c>
      <c r="D46" s="405" t="s">
        <v>1333</v>
      </c>
      <c r="E46" s="402">
        <f t="shared" si="1"/>
        <v>84261.487500000003</v>
      </c>
      <c r="F46" s="402">
        <f>IF($D46="Sim",'14 - Investimentos'!E50*9.25%,0)</f>
        <v>16852.297500000001</v>
      </c>
      <c r="G46" s="402">
        <f>IF($D46="Sim",'14 - Investimentos'!F50*9.25%,0)</f>
        <v>0</v>
      </c>
      <c r="H46" s="402">
        <f>IF($D46="Sim",'14 - Investimentos'!G50*9.25%,0)</f>
        <v>0</v>
      </c>
      <c r="I46" s="402">
        <f>IF($D46="Sim",'14 - Investimentos'!H50*9.25%,0)</f>
        <v>0</v>
      </c>
      <c r="J46" s="402">
        <f>IF($D46="Sim",'14 - Investimentos'!I50*9.25%,0)</f>
        <v>0</v>
      </c>
      <c r="K46" s="402">
        <f>IF($D46="Sim",'14 - Investimentos'!J50*9.25%,0)</f>
        <v>0</v>
      </c>
      <c r="L46" s="402">
        <f>IF($D46="Sim",'14 - Investimentos'!K50*9.25%,0)</f>
        <v>0</v>
      </c>
      <c r="M46" s="402">
        <f>IF($D46="Sim",'14 - Investimentos'!L50*9.25%,0)</f>
        <v>16852.297500000001</v>
      </c>
      <c r="N46" s="402">
        <f>IF($D46="Sim",'14 - Investimentos'!M50*9.25%,0)</f>
        <v>0</v>
      </c>
      <c r="O46" s="402">
        <f>IF($D46="Sim",'14 - Investimentos'!N50*9.25%,0)</f>
        <v>0</v>
      </c>
      <c r="P46" s="402">
        <f>IF($D46="Sim",'14 - Investimentos'!O50*9.25%,0)</f>
        <v>0</v>
      </c>
      <c r="Q46" s="402">
        <f>IF($D46="Sim",'14 - Investimentos'!P50*9.25%,0)</f>
        <v>0</v>
      </c>
      <c r="R46" s="402">
        <f>IF($D46="Sim",'14 - Investimentos'!Q50*9.25%,0)</f>
        <v>0</v>
      </c>
      <c r="S46" s="402">
        <f>IF($D46="Sim",'14 - Investimentos'!R50*9.25%,0)</f>
        <v>0</v>
      </c>
      <c r="T46" s="402">
        <f>IF($D46="Sim",'14 - Investimentos'!S50*9.25%,0)</f>
        <v>16852.297500000001</v>
      </c>
      <c r="U46" s="402">
        <f>IF($D46="Sim",'14 - Investimentos'!T50*9.25%,0)</f>
        <v>0</v>
      </c>
      <c r="V46" s="402">
        <f>IF($D46="Sim",'14 - Investimentos'!U50*9.25%,0)</f>
        <v>0</v>
      </c>
      <c r="W46" s="402">
        <f>IF($D46="Sim",'14 - Investimentos'!V50*9.25%,0)</f>
        <v>0</v>
      </c>
      <c r="X46" s="402">
        <f>IF($D46="Sim",'14 - Investimentos'!W50*9.25%,0)</f>
        <v>0</v>
      </c>
      <c r="Y46" s="402">
        <f>IF($D46="Sim",'14 - Investimentos'!X50*9.25%,0)</f>
        <v>0</v>
      </c>
      <c r="Z46" s="402">
        <f>IF($D46="Sim",'14 - Investimentos'!Y50*9.25%,0)</f>
        <v>0</v>
      </c>
      <c r="AA46" s="402">
        <f>IF($D46="Sim",'14 - Investimentos'!Z50*9.25%,0)</f>
        <v>16852.297500000001</v>
      </c>
      <c r="AB46" s="402">
        <f>IF($D46="Sim",'14 - Investimentos'!AA50*9.25%,0)</f>
        <v>0</v>
      </c>
      <c r="AC46" s="402">
        <f>IF($D46="Sim",'14 - Investimentos'!AB50*9.25%,0)</f>
        <v>0</v>
      </c>
      <c r="AD46" s="402">
        <f>IF($D46="Sim",'14 - Investimentos'!AC50*9.25%,0)</f>
        <v>0</v>
      </c>
      <c r="AE46" s="402">
        <f>IF($D46="Sim",'14 - Investimentos'!AD50*9.25%,0)</f>
        <v>0</v>
      </c>
      <c r="AF46" s="402">
        <f>IF($D46="Sim",'14 - Investimentos'!AE50*9.25%,0)</f>
        <v>0</v>
      </c>
      <c r="AG46" s="402">
        <f>IF($D46="Sim",'14 - Investimentos'!AF50*9.25%,0)</f>
        <v>0</v>
      </c>
      <c r="AH46" s="402">
        <f>IF($D46="Sim",'14 - Investimentos'!AG50*9.25%,0)</f>
        <v>16852.297500000001</v>
      </c>
      <c r="AI46" s="402">
        <f>IF($D46="Sim",'14 - Investimentos'!AH50*9.25%,0)</f>
        <v>0</v>
      </c>
      <c r="AJ46" s="402">
        <f>IF($D46="Sim",'14 - Investimentos'!AI50*9.25%,0)</f>
        <v>0</v>
      </c>
      <c r="AK46" s="402">
        <f>IF($D46="Sim",'14 - Investimentos'!AJ50*9.25%,0)</f>
        <v>0</v>
      </c>
      <c r="AL46" s="402">
        <f>IF($D46="Sim",'14 - Investimentos'!AK50*9.25%,0)</f>
        <v>0</v>
      </c>
      <c r="AM46" s="402">
        <f>IF($D46="Sim",'14 - Investimentos'!AL50*9.25%,0)</f>
        <v>0</v>
      </c>
      <c r="AN46" s="402">
        <f>IF($D46="Sim",'14 - Investimentos'!AM50*9.25%,0)</f>
        <v>0</v>
      </c>
    </row>
    <row r="47" spans="2:40" ht="13.15" customHeight="1" outlineLevel="1" x14ac:dyDescent="0.2">
      <c r="B47" s="404" t="s">
        <v>819</v>
      </c>
      <c r="C47" s="413">
        <v>1</v>
      </c>
      <c r="D47" s="405" t="s">
        <v>1333</v>
      </c>
      <c r="E47" s="402">
        <f t="shared" si="1"/>
        <v>14251.567499999999</v>
      </c>
      <c r="F47" s="402">
        <f>IF($D47="Sim",'14 - Investimentos'!E51*9.25%,0)</f>
        <v>1583.5074999999999</v>
      </c>
      <c r="G47" s="402">
        <f>IF($D47="Sim",'14 - Investimentos'!F51*9.25%,0)</f>
        <v>0</v>
      </c>
      <c r="H47" s="402">
        <f>IF($D47="Sim",'14 - Investimentos'!G51*9.25%,0)</f>
        <v>0</v>
      </c>
      <c r="I47" s="402">
        <f>IF($D47="Sim",'14 - Investimentos'!H51*9.25%,0)</f>
        <v>0</v>
      </c>
      <c r="J47" s="402">
        <f>IF($D47="Sim",'14 - Investimentos'!I51*9.25%,0)</f>
        <v>1583.5074999999999</v>
      </c>
      <c r="K47" s="402">
        <f>IF($D47="Sim",'14 - Investimentos'!J51*9.25%,0)</f>
        <v>0</v>
      </c>
      <c r="L47" s="402">
        <f>IF($D47="Sim",'14 - Investimentos'!K51*9.25%,0)</f>
        <v>0</v>
      </c>
      <c r="M47" s="402">
        <f>IF($D47="Sim",'14 - Investimentos'!L51*9.25%,0)</f>
        <v>0</v>
      </c>
      <c r="N47" s="402">
        <f>IF($D47="Sim",'14 - Investimentos'!M51*9.25%,0)</f>
        <v>1583.5074999999999</v>
      </c>
      <c r="O47" s="402">
        <f>IF($D47="Sim",'14 - Investimentos'!N51*9.25%,0)</f>
        <v>0</v>
      </c>
      <c r="P47" s="402">
        <f>IF($D47="Sim",'14 - Investimentos'!O51*9.25%,0)</f>
        <v>0</v>
      </c>
      <c r="Q47" s="402">
        <f>IF($D47="Sim",'14 - Investimentos'!P51*9.25%,0)</f>
        <v>0</v>
      </c>
      <c r="R47" s="402">
        <f>IF($D47="Sim",'14 - Investimentos'!Q51*9.25%,0)</f>
        <v>1583.5074999999999</v>
      </c>
      <c r="S47" s="402">
        <f>IF($D47="Sim",'14 - Investimentos'!R51*9.25%,0)</f>
        <v>0</v>
      </c>
      <c r="T47" s="402">
        <f>IF($D47="Sim",'14 - Investimentos'!S51*9.25%,0)</f>
        <v>0</v>
      </c>
      <c r="U47" s="402">
        <f>IF($D47="Sim",'14 - Investimentos'!T51*9.25%,0)</f>
        <v>0</v>
      </c>
      <c r="V47" s="402">
        <f>IF($D47="Sim",'14 - Investimentos'!U51*9.25%,0)</f>
        <v>1583.5074999999999</v>
      </c>
      <c r="W47" s="402">
        <f>IF($D47="Sim",'14 - Investimentos'!V51*9.25%,0)</f>
        <v>0</v>
      </c>
      <c r="X47" s="402">
        <f>IF($D47="Sim",'14 - Investimentos'!W51*9.25%,0)</f>
        <v>0</v>
      </c>
      <c r="Y47" s="402">
        <f>IF($D47="Sim",'14 - Investimentos'!X51*9.25%,0)</f>
        <v>0</v>
      </c>
      <c r="Z47" s="402">
        <f>IF($D47="Sim",'14 - Investimentos'!Y51*9.25%,0)</f>
        <v>1583.5074999999999</v>
      </c>
      <c r="AA47" s="402">
        <f>IF($D47="Sim",'14 - Investimentos'!Z51*9.25%,0)</f>
        <v>0</v>
      </c>
      <c r="AB47" s="402">
        <f>IF($D47="Sim",'14 - Investimentos'!AA51*9.25%,0)</f>
        <v>0</v>
      </c>
      <c r="AC47" s="402">
        <f>IF($D47="Sim",'14 - Investimentos'!AB51*9.25%,0)</f>
        <v>0</v>
      </c>
      <c r="AD47" s="402">
        <f>IF($D47="Sim",'14 - Investimentos'!AC51*9.25%,0)</f>
        <v>1583.5074999999999</v>
      </c>
      <c r="AE47" s="402">
        <f>IF($D47="Sim",'14 - Investimentos'!AD51*9.25%,0)</f>
        <v>0</v>
      </c>
      <c r="AF47" s="402">
        <f>IF($D47="Sim",'14 - Investimentos'!AE51*9.25%,0)</f>
        <v>0</v>
      </c>
      <c r="AG47" s="402">
        <f>IF($D47="Sim",'14 - Investimentos'!AF51*9.25%,0)</f>
        <v>0</v>
      </c>
      <c r="AH47" s="402">
        <f>IF($D47="Sim",'14 - Investimentos'!AG51*9.25%,0)</f>
        <v>1583.5074999999999</v>
      </c>
      <c r="AI47" s="402">
        <f>IF($D47="Sim",'14 - Investimentos'!AH51*9.25%,0)</f>
        <v>0</v>
      </c>
      <c r="AJ47" s="402">
        <f>IF($D47="Sim",'14 - Investimentos'!AI51*9.25%,0)</f>
        <v>0</v>
      </c>
      <c r="AK47" s="402">
        <f>IF($D47="Sim",'14 - Investimentos'!AJ51*9.25%,0)</f>
        <v>0</v>
      </c>
      <c r="AL47" s="402">
        <f>IF($D47="Sim",'14 - Investimentos'!AK51*9.25%,0)</f>
        <v>1583.5074999999999</v>
      </c>
      <c r="AM47" s="402">
        <f>IF($D47="Sim",'14 - Investimentos'!AL51*9.25%,0)</f>
        <v>0</v>
      </c>
      <c r="AN47" s="402">
        <f>IF($D47="Sim",'14 - Investimentos'!AM51*9.25%,0)</f>
        <v>0</v>
      </c>
    </row>
    <row r="48" spans="2:40" ht="13.15" customHeight="1" x14ac:dyDescent="0.2">
      <c r="B48" s="323" t="s">
        <v>1343</v>
      </c>
      <c r="C48" s="418"/>
      <c r="D48" s="405"/>
      <c r="E48" s="387">
        <f>SUM(E49:E56)</f>
        <v>534588.18224999995</v>
      </c>
      <c r="F48" s="387">
        <f t="shared" ref="F48:AN48" si="8">SUM(F49:F56)</f>
        <v>93033.841549999997</v>
      </c>
      <c r="G48" s="387">
        <f t="shared" si="8"/>
        <v>0</v>
      </c>
      <c r="H48" s="387">
        <f t="shared" si="8"/>
        <v>0</v>
      </c>
      <c r="I48" s="387">
        <f t="shared" si="8"/>
        <v>0</v>
      </c>
      <c r="J48" s="387">
        <f t="shared" si="8"/>
        <v>1583.5074999999999</v>
      </c>
      <c r="K48" s="387">
        <f t="shared" si="8"/>
        <v>31542.472250000003</v>
      </c>
      <c r="L48" s="387">
        <f t="shared" si="8"/>
        <v>0</v>
      </c>
      <c r="M48" s="387">
        <f t="shared" si="8"/>
        <v>59907.861800000006</v>
      </c>
      <c r="N48" s="387">
        <f t="shared" si="8"/>
        <v>1583.5074999999999</v>
      </c>
      <c r="O48" s="387">
        <f t="shared" si="8"/>
        <v>0</v>
      </c>
      <c r="P48" s="387">
        <f t="shared" si="8"/>
        <v>31542.472250000003</v>
      </c>
      <c r="Q48" s="387">
        <f t="shared" si="8"/>
        <v>0</v>
      </c>
      <c r="R48" s="387">
        <f t="shared" si="8"/>
        <v>1583.5074999999999</v>
      </c>
      <c r="S48" s="387">
        <f t="shared" si="8"/>
        <v>0</v>
      </c>
      <c r="T48" s="387">
        <f t="shared" si="8"/>
        <v>59907.861800000006</v>
      </c>
      <c r="U48" s="387">
        <f t="shared" si="8"/>
        <v>31542.472250000003</v>
      </c>
      <c r="V48" s="387">
        <f t="shared" si="8"/>
        <v>1583.5074999999999</v>
      </c>
      <c r="W48" s="387">
        <f t="shared" si="8"/>
        <v>0</v>
      </c>
      <c r="X48" s="387">
        <f t="shared" si="8"/>
        <v>0</v>
      </c>
      <c r="Y48" s="387">
        <f t="shared" si="8"/>
        <v>0</v>
      </c>
      <c r="Z48" s="387">
        <f t="shared" si="8"/>
        <v>33125.979749999999</v>
      </c>
      <c r="AA48" s="387">
        <f t="shared" si="8"/>
        <v>59907.861800000006</v>
      </c>
      <c r="AB48" s="387">
        <f t="shared" si="8"/>
        <v>0</v>
      </c>
      <c r="AC48" s="387">
        <f t="shared" si="8"/>
        <v>0</v>
      </c>
      <c r="AD48" s="387">
        <f t="shared" si="8"/>
        <v>1583.5074999999999</v>
      </c>
      <c r="AE48" s="387">
        <f t="shared" si="8"/>
        <v>31542.472250000003</v>
      </c>
      <c r="AF48" s="387">
        <f t="shared" si="8"/>
        <v>0</v>
      </c>
      <c r="AG48" s="387">
        <f t="shared" si="8"/>
        <v>0</v>
      </c>
      <c r="AH48" s="387">
        <f t="shared" si="8"/>
        <v>61491.369300000006</v>
      </c>
      <c r="AI48" s="387">
        <f t="shared" si="8"/>
        <v>0</v>
      </c>
      <c r="AJ48" s="387">
        <f t="shared" si="8"/>
        <v>31542.472250000003</v>
      </c>
      <c r="AK48" s="387">
        <f t="shared" si="8"/>
        <v>0</v>
      </c>
      <c r="AL48" s="387">
        <f t="shared" si="8"/>
        <v>1583.5074999999999</v>
      </c>
      <c r="AM48" s="387">
        <f t="shared" si="8"/>
        <v>0</v>
      </c>
      <c r="AN48" s="387">
        <f t="shared" si="8"/>
        <v>0</v>
      </c>
    </row>
    <row r="49" spans="2:40" ht="13.15" customHeight="1" outlineLevel="1" x14ac:dyDescent="0.2">
      <c r="B49" s="404" t="s">
        <v>816</v>
      </c>
      <c r="C49" s="413">
        <v>1</v>
      </c>
      <c r="D49" s="405" t="s">
        <v>1333</v>
      </c>
      <c r="E49" s="402">
        <f t="shared" si="1"/>
        <v>299539.30900000001</v>
      </c>
      <c r="F49" s="402">
        <f>IF($D49="Sim",'14 - Investimentos'!E59*9.25%,0)</f>
        <v>59907.861800000006</v>
      </c>
      <c r="G49" s="402">
        <f>IF($D49="Sim",'14 - Investimentos'!F59*9.25%,0)</f>
        <v>0</v>
      </c>
      <c r="H49" s="402">
        <f>IF($D49="Sim",'14 - Investimentos'!G59*9.25%,0)</f>
        <v>0</v>
      </c>
      <c r="I49" s="402">
        <f>IF($D49="Sim",'14 - Investimentos'!H59*9.25%,0)</f>
        <v>0</v>
      </c>
      <c r="J49" s="402">
        <f>IF($D49="Sim",'14 - Investimentos'!I59*9.25%,0)</f>
        <v>0</v>
      </c>
      <c r="K49" s="402">
        <f>IF($D49="Sim",'14 - Investimentos'!J59*9.25%,0)</f>
        <v>0</v>
      </c>
      <c r="L49" s="402">
        <f>IF($D49="Sim",'14 - Investimentos'!K59*9.25%,0)</f>
        <v>0</v>
      </c>
      <c r="M49" s="402">
        <f>IF($D49="Sim",'14 - Investimentos'!L59*9.25%,0)</f>
        <v>59907.861800000006</v>
      </c>
      <c r="N49" s="402">
        <f>IF($D49="Sim",'14 - Investimentos'!M59*9.25%,0)</f>
        <v>0</v>
      </c>
      <c r="O49" s="402">
        <f>IF($D49="Sim",'14 - Investimentos'!N59*9.25%,0)</f>
        <v>0</v>
      </c>
      <c r="P49" s="402">
        <f>IF($D49="Sim",'14 - Investimentos'!O59*9.25%,0)</f>
        <v>0</v>
      </c>
      <c r="Q49" s="402">
        <f>IF($D49="Sim",'14 - Investimentos'!P59*9.25%,0)</f>
        <v>0</v>
      </c>
      <c r="R49" s="402">
        <f>IF($D49="Sim",'14 - Investimentos'!Q59*9.25%,0)</f>
        <v>0</v>
      </c>
      <c r="S49" s="402">
        <f>IF($D49="Sim",'14 - Investimentos'!R59*9.25%,0)</f>
        <v>0</v>
      </c>
      <c r="T49" s="402">
        <f>IF($D49="Sim",'14 - Investimentos'!S59*9.25%,0)</f>
        <v>59907.861800000006</v>
      </c>
      <c r="U49" s="402">
        <f>IF($D49="Sim",'14 - Investimentos'!T59*9.25%,0)</f>
        <v>0</v>
      </c>
      <c r="V49" s="402">
        <f>IF($D49="Sim",'14 - Investimentos'!U59*9.25%,0)</f>
        <v>0</v>
      </c>
      <c r="W49" s="402">
        <f>IF($D49="Sim",'14 - Investimentos'!V59*9.25%,0)</f>
        <v>0</v>
      </c>
      <c r="X49" s="402">
        <f>IF($D49="Sim",'14 - Investimentos'!W59*9.25%,0)</f>
        <v>0</v>
      </c>
      <c r="Y49" s="402">
        <f>IF($D49="Sim",'14 - Investimentos'!X59*9.25%,0)</f>
        <v>0</v>
      </c>
      <c r="Z49" s="402">
        <f>IF($D49="Sim",'14 - Investimentos'!Y59*9.25%,0)</f>
        <v>0</v>
      </c>
      <c r="AA49" s="402">
        <f>IF($D49="Sim",'14 - Investimentos'!Z59*9.25%,0)</f>
        <v>59907.861800000006</v>
      </c>
      <c r="AB49" s="402">
        <f>IF($D49="Sim",'14 - Investimentos'!AA59*9.25%,0)</f>
        <v>0</v>
      </c>
      <c r="AC49" s="402">
        <f>IF($D49="Sim",'14 - Investimentos'!AB59*9.25%,0)</f>
        <v>0</v>
      </c>
      <c r="AD49" s="402">
        <f>IF($D49="Sim",'14 - Investimentos'!AC59*9.25%,0)</f>
        <v>0</v>
      </c>
      <c r="AE49" s="402">
        <f>IF($D49="Sim",'14 - Investimentos'!AD59*9.25%,0)</f>
        <v>0</v>
      </c>
      <c r="AF49" s="402">
        <f>IF($D49="Sim",'14 - Investimentos'!AE59*9.25%,0)</f>
        <v>0</v>
      </c>
      <c r="AG49" s="402">
        <f>IF($D49="Sim",'14 - Investimentos'!AF59*9.25%,0)</f>
        <v>0</v>
      </c>
      <c r="AH49" s="402">
        <f>IF($D49="Sim",'14 - Investimentos'!AG59*9.25%,0)</f>
        <v>59907.861800000006</v>
      </c>
      <c r="AI49" s="402">
        <f>IF($D49="Sim",'14 - Investimentos'!AH59*9.25%,0)</f>
        <v>0</v>
      </c>
      <c r="AJ49" s="402">
        <f>IF($D49="Sim",'14 - Investimentos'!AI59*9.25%,0)</f>
        <v>0</v>
      </c>
      <c r="AK49" s="402">
        <f>IF($D49="Sim",'14 - Investimentos'!AJ59*9.25%,0)</f>
        <v>0</v>
      </c>
      <c r="AL49" s="402">
        <f>IF($D49="Sim",'14 - Investimentos'!AK59*9.25%,0)</f>
        <v>0</v>
      </c>
      <c r="AM49" s="402">
        <f>IF($D49="Sim",'14 - Investimentos'!AL59*9.25%,0)</f>
        <v>0</v>
      </c>
      <c r="AN49" s="402">
        <f>IF($D49="Sim",'14 - Investimentos'!AM59*9.25%,0)</f>
        <v>0</v>
      </c>
    </row>
    <row r="50" spans="2:40" ht="13.15" customHeight="1" outlineLevel="1" x14ac:dyDescent="0.2">
      <c r="B50" s="404" t="s">
        <v>819</v>
      </c>
      <c r="C50" s="413">
        <v>1</v>
      </c>
      <c r="D50" s="405" t="s">
        <v>1333</v>
      </c>
      <c r="E50" s="402">
        <f t="shared" si="1"/>
        <v>14251.567499999999</v>
      </c>
      <c r="F50" s="402">
        <f>IF($D50="Sim",'14 - Investimentos'!E60*9.25%,0)</f>
        <v>1583.5074999999999</v>
      </c>
      <c r="G50" s="402">
        <f>IF($D50="Sim",'14 - Investimentos'!F60*9.25%,0)</f>
        <v>0</v>
      </c>
      <c r="H50" s="402">
        <f>IF($D50="Sim",'14 - Investimentos'!G60*9.25%,0)</f>
        <v>0</v>
      </c>
      <c r="I50" s="402">
        <f>IF($D50="Sim",'14 - Investimentos'!H60*9.25%,0)</f>
        <v>0</v>
      </c>
      <c r="J50" s="402">
        <f>IF($D50="Sim",'14 - Investimentos'!I60*9.25%,0)</f>
        <v>1583.5074999999999</v>
      </c>
      <c r="K50" s="402">
        <f>IF($D50="Sim",'14 - Investimentos'!J60*9.25%,0)</f>
        <v>0</v>
      </c>
      <c r="L50" s="402">
        <f>IF($D50="Sim",'14 - Investimentos'!K60*9.25%,0)</f>
        <v>0</v>
      </c>
      <c r="M50" s="402">
        <f>IF($D50="Sim",'14 - Investimentos'!L60*9.25%,0)</f>
        <v>0</v>
      </c>
      <c r="N50" s="402">
        <f>IF($D50="Sim",'14 - Investimentos'!M60*9.25%,0)</f>
        <v>1583.5074999999999</v>
      </c>
      <c r="O50" s="402">
        <f>IF($D50="Sim",'14 - Investimentos'!N60*9.25%,0)</f>
        <v>0</v>
      </c>
      <c r="P50" s="402">
        <f>IF($D50="Sim",'14 - Investimentos'!O60*9.25%,0)</f>
        <v>0</v>
      </c>
      <c r="Q50" s="402">
        <f>IF($D50="Sim",'14 - Investimentos'!P60*9.25%,0)</f>
        <v>0</v>
      </c>
      <c r="R50" s="402">
        <f>IF($D50="Sim",'14 - Investimentos'!Q60*9.25%,0)</f>
        <v>1583.5074999999999</v>
      </c>
      <c r="S50" s="402">
        <f>IF($D50="Sim",'14 - Investimentos'!R60*9.25%,0)</f>
        <v>0</v>
      </c>
      <c r="T50" s="402">
        <f>IF($D50="Sim",'14 - Investimentos'!S60*9.25%,0)</f>
        <v>0</v>
      </c>
      <c r="U50" s="402">
        <f>IF($D50="Sim",'14 - Investimentos'!T60*9.25%,0)</f>
        <v>0</v>
      </c>
      <c r="V50" s="402">
        <f>IF($D50="Sim",'14 - Investimentos'!U60*9.25%,0)</f>
        <v>1583.5074999999999</v>
      </c>
      <c r="W50" s="402">
        <f>IF($D50="Sim",'14 - Investimentos'!V60*9.25%,0)</f>
        <v>0</v>
      </c>
      <c r="X50" s="402">
        <f>IF($D50="Sim",'14 - Investimentos'!W60*9.25%,0)</f>
        <v>0</v>
      </c>
      <c r="Y50" s="402">
        <f>IF($D50="Sim",'14 - Investimentos'!X60*9.25%,0)</f>
        <v>0</v>
      </c>
      <c r="Z50" s="402">
        <f>IF($D50="Sim",'14 - Investimentos'!Y60*9.25%,0)</f>
        <v>1583.5074999999999</v>
      </c>
      <c r="AA50" s="402">
        <f>IF($D50="Sim",'14 - Investimentos'!Z60*9.25%,0)</f>
        <v>0</v>
      </c>
      <c r="AB50" s="402">
        <f>IF($D50="Sim",'14 - Investimentos'!AA60*9.25%,0)</f>
        <v>0</v>
      </c>
      <c r="AC50" s="402">
        <f>IF($D50="Sim",'14 - Investimentos'!AB60*9.25%,0)</f>
        <v>0</v>
      </c>
      <c r="AD50" s="402">
        <f>IF($D50="Sim",'14 - Investimentos'!AC60*9.25%,0)</f>
        <v>1583.5074999999999</v>
      </c>
      <c r="AE50" s="402">
        <f>IF($D50="Sim",'14 - Investimentos'!AD60*9.25%,0)</f>
        <v>0</v>
      </c>
      <c r="AF50" s="402">
        <f>IF($D50="Sim",'14 - Investimentos'!AE60*9.25%,0)</f>
        <v>0</v>
      </c>
      <c r="AG50" s="402">
        <f>IF($D50="Sim",'14 - Investimentos'!AF60*9.25%,0)</f>
        <v>0</v>
      </c>
      <c r="AH50" s="402">
        <f>IF($D50="Sim",'14 - Investimentos'!AG60*9.25%,0)</f>
        <v>1583.5074999999999</v>
      </c>
      <c r="AI50" s="402">
        <f>IF($D50="Sim",'14 - Investimentos'!AH60*9.25%,0)</f>
        <v>0</v>
      </c>
      <c r="AJ50" s="402">
        <f>IF($D50="Sim",'14 - Investimentos'!AI60*9.25%,0)</f>
        <v>0</v>
      </c>
      <c r="AK50" s="402">
        <f>IF($D50="Sim",'14 - Investimentos'!AJ60*9.25%,0)</f>
        <v>0</v>
      </c>
      <c r="AL50" s="402">
        <f>IF($D50="Sim",'14 - Investimentos'!AK60*9.25%,0)</f>
        <v>1583.5074999999999</v>
      </c>
      <c r="AM50" s="402">
        <f>IF($D50="Sim",'14 - Investimentos'!AL60*9.25%,0)</f>
        <v>0</v>
      </c>
      <c r="AN50" s="402">
        <f>IF($D50="Sim",'14 - Investimentos'!AM60*9.25%,0)</f>
        <v>0</v>
      </c>
    </row>
    <row r="51" spans="2:40" ht="13.15" customHeight="1" outlineLevel="1" x14ac:dyDescent="0.2">
      <c r="B51" s="404" t="s">
        <v>439</v>
      </c>
      <c r="C51" s="413">
        <v>1</v>
      </c>
      <c r="D51" s="405" t="s">
        <v>1333</v>
      </c>
      <c r="E51" s="402">
        <f t="shared" si="1"/>
        <v>103600</v>
      </c>
      <c r="F51" s="402">
        <f>IF($D51="Sim",'14 - Investimentos'!E61*9.25%,0)</f>
        <v>14800</v>
      </c>
      <c r="G51" s="402">
        <f>IF($D51="Sim",'14 - Investimentos'!F61*9.25%,0)</f>
        <v>0</v>
      </c>
      <c r="H51" s="402">
        <f>IF($D51="Sim",'14 - Investimentos'!G61*9.25%,0)</f>
        <v>0</v>
      </c>
      <c r="I51" s="402">
        <f>IF($D51="Sim",'14 - Investimentos'!H61*9.25%,0)</f>
        <v>0</v>
      </c>
      <c r="J51" s="402">
        <f>IF($D51="Sim",'14 - Investimentos'!I61*9.25%,0)</f>
        <v>0</v>
      </c>
      <c r="K51" s="402">
        <f>IF($D51="Sim",'14 - Investimentos'!J61*9.25%,0)</f>
        <v>14800</v>
      </c>
      <c r="L51" s="402">
        <f>IF($D51="Sim",'14 - Investimentos'!K61*9.25%,0)</f>
        <v>0</v>
      </c>
      <c r="M51" s="402">
        <f>IF($D51="Sim",'14 - Investimentos'!L61*9.25%,0)</f>
        <v>0</v>
      </c>
      <c r="N51" s="402">
        <f>IF($D51="Sim",'14 - Investimentos'!M61*9.25%,0)</f>
        <v>0</v>
      </c>
      <c r="O51" s="402">
        <f>IF($D51="Sim",'14 - Investimentos'!N61*9.25%,0)</f>
        <v>0</v>
      </c>
      <c r="P51" s="402">
        <f>IF($D51="Sim",'14 - Investimentos'!O61*9.25%,0)</f>
        <v>14800</v>
      </c>
      <c r="Q51" s="402">
        <f>IF($D51="Sim",'14 - Investimentos'!P61*9.25%,0)</f>
        <v>0</v>
      </c>
      <c r="R51" s="402">
        <f>IF($D51="Sim",'14 - Investimentos'!Q61*9.25%,0)</f>
        <v>0</v>
      </c>
      <c r="S51" s="402">
        <f>IF($D51="Sim",'14 - Investimentos'!R61*9.25%,0)</f>
        <v>0</v>
      </c>
      <c r="T51" s="402">
        <f>IF($D51="Sim",'14 - Investimentos'!S61*9.25%,0)</f>
        <v>0</v>
      </c>
      <c r="U51" s="402">
        <f>IF($D51="Sim",'14 - Investimentos'!T61*9.25%,0)</f>
        <v>14800</v>
      </c>
      <c r="V51" s="402">
        <f>IF($D51="Sim",'14 - Investimentos'!U61*9.25%,0)</f>
        <v>0</v>
      </c>
      <c r="W51" s="402">
        <f>IF($D51="Sim",'14 - Investimentos'!V61*9.25%,0)</f>
        <v>0</v>
      </c>
      <c r="X51" s="402">
        <f>IF($D51="Sim",'14 - Investimentos'!W61*9.25%,0)</f>
        <v>0</v>
      </c>
      <c r="Y51" s="402">
        <f>IF($D51="Sim",'14 - Investimentos'!X61*9.25%,0)</f>
        <v>0</v>
      </c>
      <c r="Z51" s="402">
        <f>IF($D51="Sim",'14 - Investimentos'!Y61*9.25%,0)</f>
        <v>14800</v>
      </c>
      <c r="AA51" s="402">
        <f>IF($D51="Sim",'14 - Investimentos'!Z61*9.25%,0)</f>
        <v>0</v>
      </c>
      <c r="AB51" s="402">
        <f>IF($D51="Sim",'14 - Investimentos'!AA61*9.25%,0)</f>
        <v>0</v>
      </c>
      <c r="AC51" s="402">
        <f>IF($D51="Sim",'14 - Investimentos'!AB61*9.25%,0)</f>
        <v>0</v>
      </c>
      <c r="AD51" s="402">
        <f>IF($D51="Sim",'14 - Investimentos'!AC61*9.25%,0)</f>
        <v>0</v>
      </c>
      <c r="AE51" s="402">
        <f>IF($D51="Sim",'14 - Investimentos'!AD61*9.25%,0)</f>
        <v>14800</v>
      </c>
      <c r="AF51" s="402">
        <f>IF($D51="Sim",'14 - Investimentos'!AE61*9.25%,0)</f>
        <v>0</v>
      </c>
      <c r="AG51" s="402">
        <f>IF($D51="Sim",'14 - Investimentos'!AF61*9.25%,0)</f>
        <v>0</v>
      </c>
      <c r="AH51" s="402">
        <f>IF($D51="Sim",'14 - Investimentos'!AG61*9.25%,0)</f>
        <v>0</v>
      </c>
      <c r="AI51" s="402">
        <f>IF($D51="Sim",'14 - Investimentos'!AH61*9.25%,0)</f>
        <v>0</v>
      </c>
      <c r="AJ51" s="402">
        <f>IF($D51="Sim",'14 - Investimentos'!AI61*9.25%,0)</f>
        <v>14800</v>
      </c>
      <c r="AK51" s="402">
        <f>IF($D51="Sim",'14 - Investimentos'!AJ61*9.25%,0)</f>
        <v>0</v>
      </c>
      <c r="AL51" s="402">
        <f>IF($D51="Sim",'14 - Investimentos'!AK61*9.25%,0)</f>
        <v>0</v>
      </c>
      <c r="AM51" s="402">
        <f>IF($D51="Sim",'14 - Investimentos'!AL61*9.25%,0)</f>
        <v>0</v>
      </c>
      <c r="AN51" s="402">
        <f>IF($D51="Sim",'14 - Investimentos'!AM61*9.25%,0)</f>
        <v>0</v>
      </c>
    </row>
    <row r="52" spans="2:40" ht="13.15" customHeight="1" outlineLevel="1" x14ac:dyDescent="0.2">
      <c r="B52" s="404" t="s">
        <v>825</v>
      </c>
      <c r="C52" s="413">
        <v>1</v>
      </c>
      <c r="D52" s="405" t="s">
        <v>1333</v>
      </c>
      <c r="E52" s="402">
        <f t="shared" si="1"/>
        <v>103600</v>
      </c>
      <c r="F52" s="402">
        <f>IF($D52="Sim",'14 - Investimentos'!E62*9.25%,0)</f>
        <v>14800</v>
      </c>
      <c r="G52" s="402">
        <f>IF($D52="Sim",'14 - Investimentos'!F62*9.25%,0)</f>
        <v>0</v>
      </c>
      <c r="H52" s="402">
        <f>IF($D52="Sim",'14 - Investimentos'!G62*9.25%,0)</f>
        <v>0</v>
      </c>
      <c r="I52" s="402">
        <f>IF($D52="Sim",'14 - Investimentos'!H62*9.25%,0)</f>
        <v>0</v>
      </c>
      <c r="J52" s="402">
        <f>IF($D52="Sim",'14 - Investimentos'!I62*9.25%,0)</f>
        <v>0</v>
      </c>
      <c r="K52" s="402">
        <f>IF($D52="Sim",'14 - Investimentos'!J62*9.25%,0)</f>
        <v>14800</v>
      </c>
      <c r="L52" s="402">
        <f>IF($D52="Sim",'14 - Investimentos'!K62*9.25%,0)</f>
        <v>0</v>
      </c>
      <c r="M52" s="402">
        <f>IF($D52="Sim",'14 - Investimentos'!L62*9.25%,0)</f>
        <v>0</v>
      </c>
      <c r="N52" s="402">
        <f>IF($D52="Sim",'14 - Investimentos'!M62*9.25%,0)</f>
        <v>0</v>
      </c>
      <c r="O52" s="402">
        <f>IF($D52="Sim",'14 - Investimentos'!N62*9.25%,0)</f>
        <v>0</v>
      </c>
      <c r="P52" s="402">
        <f>IF($D52="Sim",'14 - Investimentos'!O62*9.25%,0)</f>
        <v>14800</v>
      </c>
      <c r="Q52" s="402">
        <f>IF($D52="Sim",'14 - Investimentos'!P62*9.25%,0)</f>
        <v>0</v>
      </c>
      <c r="R52" s="402">
        <f>IF($D52="Sim",'14 - Investimentos'!Q62*9.25%,0)</f>
        <v>0</v>
      </c>
      <c r="S52" s="402">
        <f>IF($D52="Sim",'14 - Investimentos'!R62*9.25%,0)</f>
        <v>0</v>
      </c>
      <c r="T52" s="402">
        <f>IF($D52="Sim",'14 - Investimentos'!S62*9.25%,0)</f>
        <v>0</v>
      </c>
      <c r="U52" s="402">
        <f>IF($D52="Sim",'14 - Investimentos'!T62*9.25%,0)</f>
        <v>14800</v>
      </c>
      <c r="V52" s="402">
        <f>IF($D52="Sim",'14 - Investimentos'!U62*9.25%,0)</f>
        <v>0</v>
      </c>
      <c r="W52" s="402">
        <f>IF($D52="Sim",'14 - Investimentos'!V62*9.25%,0)</f>
        <v>0</v>
      </c>
      <c r="X52" s="402">
        <f>IF($D52="Sim",'14 - Investimentos'!W62*9.25%,0)</f>
        <v>0</v>
      </c>
      <c r="Y52" s="402">
        <f>IF($D52="Sim",'14 - Investimentos'!X62*9.25%,0)</f>
        <v>0</v>
      </c>
      <c r="Z52" s="402">
        <f>IF($D52="Sim",'14 - Investimentos'!Y62*9.25%,0)</f>
        <v>14800</v>
      </c>
      <c r="AA52" s="402">
        <f>IF($D52="Sim",'14 - Investimentos'!Z62*9.25%,0)</f>
        <v>0</v>
      </c>
      <c r="AB52" s="402">
        <f>IF($D52="Sim",'14 - Investimentos'!AA62*9.25%,0)</f>
        <v>0</v>
      </c>
      <c r="AC52" s="402">
        <f>IF($D52="Sim",'14 - Investimentos'!AB62*9.25%,0)</f>
        <v>0</v>
      </c>
      <c r="AD52" s="402">
        <f>IF($D52="Sim",'14 - Investimentos'!AC62*9.25%,0)</f>
        <v>0</v>
      </c>
      <c r="AE52" s="402">
        <f>IF($D52="Sim",'14 - Investimentos'!AD62*9.25%,0)</f>
        <v>14800</v>
      </c>
      <c r="AF52" s="402">
        <f>IF($D52="Sim",'14 - Investimentos'!AE62*9.25%,0)</f>
        <v>0</v>
      </c>
      <c r="AG52" s="402">
        <f>IF($D52="Sim",'14 - Investimentos'!AF62*9.25%,0)</f>
        <v>0</v>
      </c>
      <c r="AH52" s="402">
        <f>IF($D52="Sim",'14 - Investimentos'!AG62*9.25%,0)</f>
        <v>0</v>
      </c>
      <c r="AI52" s="402">
        <f>IF($D52="Sim",'14 - Investimentos'!AH62*9.25%,0)</f>
        <v>0</v>
      </c>
      <c r="AJ52" s="402">
        <f>IF($D52="Sim",'14 - Investimentos'!AI62*9.25%,0)</f>
        <v>14800</v>
      </c>
      <c r="AK52" s="402">
        <f>IF($D52="Sim",'14 - Investimentos'!AJ62*9.25%,0)</f>
        <v>0</v>
      </c>
      <c r="AL52" s="402">
        <f>IF($D52="Sim",'14 - Investimentos'!AK62*9.25%,0)</f>
        <v>0</v>
      </c>
      <c r="AM52" s="402">
        <f>IF($D52="Sim",'14 - Investimentos'!AL62*9.25%,0)</f>
        <v>0</v>
      </c>
      <c r="AN52" s="402">
        <f>IF($D52="Sim",'14 - Investimentos'!AM62*9.25%,0)</f>
        <v>0</v>
      </c>
    </row>
    <row r="53" spans="2:40" ht="13.15" customHeight="1" outlineLevel="1" x14ac:dyDescent="0.2">
      <c r="B53" s="404" t="s">
        <v>826</v>
      </c>
      <c r="C53" s="413">
        <v>1</v>
      </c>
      <c r="D53" s="405" t="s">
        <v>1333</v>
      </c>
      <c r="E53" s="402">
        <f t="shared" si="1"/>
        <v>4791.5</v>
      </c>
      <c r="F53" s="402">
        <f>IF($D53="Sim",'14 - Investimentos'!E63*9.25%,0)</f>
        <v>684.5</v>
      </c>
      <c r="G53" s="402">
        <f>IF($D53="Sim",'14 - Investimentos'!F63*9.25%,0)</f>
        <v>0</v>
      </c>
      <c r="H53" s="402">
        <f>IF($D53="Sim",'14 - Investimentos'!G63*9.25%,0)</f>
        <v>0</v>
      </c>
      <c r="I53" s="402">
        <f>IF($D53="Sim",'14 - Investimentos'!H63*9.25%,0)</f>
        <v>0</v>
      </c>
      <c r="J53" s="402">
        <f>IF($D53="Sim",'14 - Investimentos'!I63*9.25%,0)</f>
        <v>0</v>
      </c>
      <c r="K53" s="402">
        <f>IF($D53="Sim",'14 - Investimentos'!J63*9.25%,0)</f>
        <v>684.5</v>
      </c>
      <c r="L53" s="402">
        <f>IF($D53="Sim",'14 - Investimentos'!K63*9.25%,0)</f>
        <v>0</v>
      </c>
      <c r="M53" s="402">
        <f>IF($D53="Sim",'14 - Investimentos'!L63*9.25%,0)</f>
        <v>0</v>
      </c>
      <c r="N53" s="402">
        <f>IF($D53="Sim",'14 - Investimentos'!M63*9.25%,0)</f>
        <v>0</v>
      </c>
      <c r="O53" s="402">
        <f>IF($D53="Sim",'14 - Investimentos'!N63*9.25%,0)</f>
        <v>0</v>
      </c>
      <c r="P53" s="402">
        <f>IF($D53="Sim",'14 - Investimentos'!O63*9.25%,0)</f>
        <v>684.5</v>
      </c>
      <c r="Q53" s="402">
        <f>IF($D53="Sim",'14 - Investimentos'!P63*9.25%,0)</f>
        <v>0</v>
      </c>
      <c r="R53" s="402">
        <f>IF($D53="Sim",'14 - Investimentos'!Q63*9.25%,0)</f>
        <v>0</v>
      </c>
      <c r="S53" s="402">
        <f>IF($D53="Sim",'14 - Investimentos'!R63*9.25%,0)</f>
        <v>0</v>
      </c>
      <c r="T53" s="402">
        <f>IF($D53="Sim",'14 - Investimentos'!S63*9.25%,0)</f>
        <v>0</v>
      </c>
      <c r="U53" s="402">
        <f>IF($D53="Sim",'14 - Investimentos'!T63*9.25%,0)</f>
        <v>684.5</v>
      </c>
      <c r="V53" s="402">
        <f>IF($D53="Sim",'14 - Investimentos'!U63*9.25%,0)</f>
        <v>0</v>
      </c>
      <c r="W53" s="402">
        <f>IF($D53="Sim",'14 - Investimentos'!V63*9.25%,0)</f>
        <v>0</v>
      </c>
      <c r="X53" s="402">
        <f>IF($D53="Sim",'14 - Investimentos'!W63*9.25%,0)</f>
        <v>0</v>
      </c>
      <c r="Y53" s="402">
        <f>IF($D53="Sim",'14 - Investimentos'!X63*9.25%,0)</f>
        <v>0</v>
      </c>
      <c r="Z53" s="402">
        <f>IF($D53="Sim",'14 - Investimentos'!Y63*9.25%,0)</f>
        <v>684.5</v>
      </c>
      <c r="AA53" s="402">
        <f>IF($D53="Sim",'14 - Investimentos'!Z63*9.25%,0)</f>
        <v>0</v>
      </c>
      <c r="AB53" s="402">
        <f>IF($D53="Sim",'14 - Investimentos'!AA63*9.25%,0)</f>
        <v>0</v>
      </c>
      <c r="AC53" s="402">
        <f>IF($D53="Sim",'14 - Investimentos'!AB63*9.25%,0)</f>
        <v>0</v>
      </c>
      <c r="AD53" s="402">
        <f>IF($D53="Sim",'14 - Investimentos'!AC63*9.25%,0)</f>
        <v>0</v>
      </c>
      <c r="AE53" s="402">
        <f>IF($D53="Sim",'14 - Investimentos'!AD63*9.25%,0)</f>
        <v>684.5</v>
      </c>
      <c r="AF53" s="402">
        <f>IF($D53="Sim",'14 - Investimentos'!AE63*9.25%,0)</f>
        <v>0</v>
      </c>
      <c r="AG53" s="402">
        <f>IF($D53="Sim",'14 - Investimentos'!AF63*9.25%,0)</f>
        <v>0</v>
      </c>
      <c r="AH53" s="402">
        <f>IF($D53="Sim",'14 - Investimentos'!AG63*9.25%,0)</f>
        <v>0</v>
      </c>
      <c r="AI53" s="402">
        <f>IF($D53="Sim",'14 - Investimentos'!AH63*9.25%,0)</f>
        <v>0</v>
      </c>
      <c r="AJ53" s="402">
        <f>IF($D53="Sim",'14 - Investimentos'!AI63*9.25%,0)</f>
        <v>684.5</v>
      </c>
      <c r="AK53" s="402">
        <f>IF($D53="Sim",'14 - Investimentos'!AJ63*9.25%,0)</f>
        <v>0</v>
      </c>
      <c r="AL53" s="402">
        <f>IF($D53="Sim",'14 - Investimentos'!AK63*9.25%,0)</f>
        <v>0</v>
      </c>
      <c r="AM53" s="402">
        <f>IF($D53="Sim",'14 - Investimentos'!AL63*9.25%,0)</f>
        <v>0</v>
      </c>
      <c r="AN53" s="402">
        <f>IF($D53="Sim",'14 - Investimentos'!AM63*9.25%,0)</f>
        <v>0</v>
      </c>
    </row>
    <row r="54" spans="2:40" ht="13.15" customHeight="1" outlineLevel="1" x14ac:dyDescent="0.2">
      <c r="B54" s="404" t="s">
        <v>1098</v>
      </c>
      <c r="C54" s="413">
        <v>1</v>
      </c>
      <c r="D54" s="405" t="s">
        <v>1333</v>
      </c>
      <c r="E54" s="402">
        <f t="shared" si="1"/>
        <v>2395.75</v>
      </c>
      <c r="F54" s="402">
        <f>IF($D54="Sim",'14 - Investimentos'!E64*9.25%,0)</f>
        <v>342.25</v>
      </c>
      <c r="G54" s="402">
        <f>IF($D54="Sim",'14 - Investimentos'!F64*9.25%,0)</f>
        <v>0</v>
      </c>
      <c r="H54" s="402">
        <f>IF($D54="Sim",'14 - Investimentos'!G64*9.25%,0)</f>
        <v>0</v>
      </c>
      <c r="I54" s="402">
        <f>IF($D54="Sim",'14 - Investimentos'!H64*9.25%,0)</f>
        <v>0</v>
      </c>
      <c r="J54" s="402">
        <f>IF($D54="Sim",'14 - Investimentos'!I64*9.25%,0)</f>
        <v>0</v>
      </c>
      <c r="K54" s="402">
        <f>IF($D54="Sim",'14 - Investimentos'!J64*9.25%,0)</f>
        <v>342.25</v>
      </c>
      <c r="L54" s="402">
        <f>IF($D54="Sim",'14 - Investimentos'!K64*9.25%,0)</f>
        <v>0</v>
      </c>
      <c r="M54" s="402">
        <f>IF($D54="Sim",'14 - Investimentos'!L64*9.25%,0)</f>
        <v>0</v>
      </c>
      <c r="N54" s="402">
        <f>IF($D54="Sim",'14 - Investimentos'!M64*9.25%,0)</f>
        <v>0</v>
      </c>
      <c r="O54" s="402">
        <f>IF($D54="Sim",'14 - Investimentos'!N64*9.25%,0)</f>
        <v>0</v>
      </c>
      <c r="P54" s="402">
        <f>IF($D54="Sim",'14 - Investimentos'!O64*9.25%,0)</f>
        <v>342.25</v>
      </c>
      <c r="Q54" s="402">
        <f>IF($D54="Sim",'14 - Investimentos'!P64*9.25%,0)</f>
        <v>0</v>
      </c>
      <c r="R54" s="402">
        <f>IF($D54="Sim",'14 - Investimentos'!Q64*9.25%,0)</f>
        <v>0</v>
      </c>
      <c r="S54" s="402">
        <f>IF($D54="Sim",'14 - Investimentos'!R64*9.25%,0)</f>
        <v>0</v>
      </c>
      <c r="T54" s="402">
        <f>IF($D54="Sim",'14 - Investimentos'!S64*9.25%,0)</f>
        <v>0</v>
      </c>
      <c r="U54" s="402">
        <f>IF($D54="Sim",'14 - Investimentos'!T64*9.25%,0)</f>
        <v>342.25</v>
      </c>
      <c r="V54" s="402">
        <f>IF($D54="Sim",'14 - Investimentos'!U64*9.25%,0)</f>
        <v>0</v>
      </c>
      <c r="W54" s="402">
        <f>IF($D54="Sim",'14 - Investimentos'!V64*9.25%,0)</f>
        <v>0</v>
      </c>
      <c r="X54" s="402">
        <f>IF($D54="Sim",'14 - Investimentos'!W64*9.25%,0)</f>
        <v>0</v>
      </c>
      <c r="Y54" s="402">
        <f>IF($D54="Sim",'14 - Investimentos'!X64*9.25%,0)</f>
        <v>0</v>
      </c>
      <c r="Z54" s="402">
        <f>IF($D54="Sim",'14 - Investimentos'!Y64*9.25%,0)</f>
        <v>342.25</v>
      </c>
      <c r="AA54" s="402">
        <f>IF($D54="Sim",'14 - Investimentos'!Z64*9.25%,0)</f>
        <v>0</v>
      </c>
      <c r="AB54" s="402">
        <f>IF($D54="Sim",'14 - Investimentos'!AA64*9.25%,0)</f>
        <v>0</v>
      </c>
      <c r="AC54" s="402">
        <f>IF($D54="Sim",'14 - Investimentos'!AB64*9.25%,0)</f>
        <v>0</v>
      </c>
      <c r="AD54" s="402">
        <f>IF($D54="Sim",'14 - Investimentos'!AC64*9.25%,0)</f>
        <v>0</v>
      </c>
      <c r="AE54" s="402">
        <f>IF($D54="Sim",'14 - Investimentos'!AD64*9.25%,0)</f>
        <v>342.25</v>
      </c>
      <c r="AF54" s="402">
        <f>IF($D54="Sim",'14 - Investimentos'!AE64*9.25%,0)</f>
        <v>0</v>
      </c>
      <c r="AG54" s="402">
        <f>IF($D54="Sim",'14 - Investimentos'!AF64*9.25%,0)</f>
        <v>0</v>
      </c>
      <c r="AH54" s="402">
        <f>IF($D54="Sim",'14 - Investimentos'!AG64*9.25%,0)</f>
        <v>0</v>
      </c>
      <c r="AI54" s="402">
        <f>IF($D54="Sim",'14 - Investimentos'!AH64*9.25%,0)</f>
        <v>0</v>
      </c>
      <c r="AJ54" s="402">
        <f>IF($D54="Sim",'14 - Investimentos'!AI64*9.25%,0)</f>
        <v>342.25</v>
      </c>
      <c r="AK54" s="402">
        <f>IF($D54="Sim",'14 - Investimentos'!AJ64*9.25%,0)</f>
        <v>0</v>
      </c>
      <c r="AL54" s="402">
        <f>IF($D54="Sim",'14 - Investimentos'!AK64*9.25%,0)</f>
        <v>0</v>
      </c>
      <c r="AM54" s="402">
        <f>IF($D54="Sim",'14 - Investimentos'!AL64*9.25%,0)</f>
        <v>0</v>
      </c>
      <c r="AN54" s="402">
        <f>IF($D54="Sim",'14 - Investimentos'!AM64*9.25%,0)</f>
        <v>0</v>
      </c>
    </row>
    <row r="55" spans="2:40" ht="13.15" customHeight="1" outlineLevel="1" x14ac:dyDescent="0.2">
      <c r="B55" s="404" t="s">
        <v>165</v>
      </c>
      <c r="C55" s="413">
        <v>1</v>
      </c>
      <c r="D55" s="405" t="s">
        <v>1333</v>
      </c>
      <c r="E55" s="402">
        <f t="shared" si="1"/>
        <v>4273.3705</v>
      </c>
      <c r="F55" s="402">
        <f>IF($D55="Sim",'14 - Investimentos'!E65*9.25%,0)</f>
        <v>610.48149999999998</v>
      </c>
      <c r="G55" s="402">
        <f>IF($D55="Sim",'14 - Investimentos'!F65*9.25%,0)</f>
        <v>0</v>
      </c>
      <c r="H55" s="402">
        <f>IF($D55="Sim",'14 - Investimentos'!G65*9.25%,0)</f>
        <v>0</v>
      </c>
      <c r="I55" s="402">
        <f>IF($D55="Sim",'14 - Investimentos'!H65*9.25%,0)</f>
        <v>0</v>
      </c>
      <c r="J55" s="402">
        <f>IF($D55="Sim",'14 - Investimentos'!I65*9.25%,0)</f>
        <v>0</v>
      </c>
      <c r="K55" s="402">
        <f>IF($D55="Sim",'14 - Investimentos'!J65*9.25%,0)</f>
        <v>610.48149999999998</v>
      </c>
      <c r="L55" s="402">
        <f>IF($D55="Sim",'14 - Investimentos'!K65*9.25%,0)</f>
        <v>0</v>
      </c>
      <c r="M55" s="402">
        <f>IF($D55="Sim",'14 - Investimentos'!L65*9.25%,0)</f>
        <v>0</v>
      </c>
      <c r="N55" s="402">
        <f>IF($D55="Sim",'14 - Investimentos'!M65*9.25%,0)</f>
        <v>0</v>
      </c>
      <c r="O55" s="402">
        <f>IF($D55="Sim",'14 - Investimentos'!N65*9.25%,0)</f>
        <v>0</v>
      </c>
      <c r="P55" s="402">
        <f>IF($D55="Sim",'14 - Investimentos'!O65*9.25%,0)</f>
        <v>610.48149999999998</v>
      </c>
      <c r="Q55" s="402">
        <f>IF($D55="Sim",'14 - Investimentos'!P65*9.25%,0)</f>
        <v>0</v>
      </c>
      <c r="R55" s="402">
        <f>IF($D55="Sim",'14 - Investimentos'!Q65*9.25%,0)</f>
        <v>0</v>
      </c>
      <c r="S55" s="402">
        <f>IF($D55="Sim",'14 - Investimentos'!R65*9.25%,0)</f>
        <v>0</v>
      </c>
      <c r="T55" s="402">
        <f>IF($D55="Sim",'14 - Investimentos'!S65*9.25%,0)</f>
        <v>0</v>
      </c>
      <c r="U55" s="402">
        <f>IF($D55="Sim",'14 - Investimentos'!T65*9.25%,0)</f>
        <v>610.48149999999998</v>
      </c>
      <c r="V55" s="402">
        <f>IF($D55="Sim",'14 - Investimentos'!U65*9.25%,0)</f>
        <v>0</v>
      </c>
      <c r="W55" s="402">
        <f>IF($D55="Sim",'14 - Investimentos'!V65*9.25%,0)</f>
        <v>0</v>
      </c>
      <c r="X55" s="402">
        <f>IF($D55="Sim",'14 - Investimentos'!W65*9.25%,0)</f>
        <v>0</v>
      </c>
      <c r="Y55" s="402">
        <f>IF($D55="Sim",'14 - Investimentos'!X65*9.25%,0)</f>
        <v>0</v>
      </c>
      <c r="Z55" s="402">
        <f>IF($D55="Sim",'14 - Investimentos'!Y65*9.25%,0)</f>
        <v>610.48149999999998</v>
      </c>
      <c r="AA55" s="402">
        <f>IF($D55="Sim",'14 - Investimentos'!Z65*9.25%,0)</f>
        <v>0</v>
      </c>
      <c r="AB55" s="402">
        <f>IF($D55="Sim",'14 - Investimentos'!AA65*9.25%,0)</f>
        <v>0</v>
      </c>
      <c r="AC55" s="402">
        <f>IF($D55="Sim",'14 - Investimentos'!AB65*9.25%,0)</f>
        <v>0</v>
      </c>
      <c r="AD55" s="402">
        <f>IF($D55="Sim",'14 - Investimentos'!AC65*9.25%,0)</f>
        <v>0</v>
      </c>
      <c r="AE55" s="402">
        <f>IF($D55="Sim",'14 - Investimentos'!AD65*9.25%,0)</f>
        <v>610.48149999999998</v>
      </c>
      <c r="AF55" s="402">
        <f>IF($D55="Sim",'14 - Investimentos'!AE65*9.25%,0)</f>
        <v>0</v>
      </c>
      <c r="AG55" s="402">
        <f>IF($D55="Sim",'14 - Investimentos'!AF65*9.25%,0)</f>
        <v>0</v>
      </c>
      <c r="AH55" s="402">
        <f>IF($D55="Sim",'14 - Investimentos'!AG65*9.25%,0)</f>
        <v>0</v>
      </c>
      <c r="AI55" s="402">
        <f>IF($D55="Sim",'14 - Investimentos'!AH65*9.25%,0)</f>
        <v>0</v>
      </c>
      <c r="AJ55" s="402">
        <f>IF($D55="Sim",'14 - Investimentos'!AI65*9.25%,0)</f>
        <v>610.48149999999998</v>
      </c>
      <c r="AK55" s="402">
        <f>IF($D55="Sim",'14 - Investimentos'!AJ65*9.25%,0)</f>
        <v>0</v>
      </c>
      <c r="AL55" s="402">
        <f>IF($D55="Sim",'14 - Investimentos'!AK65*9.25%,0)</f>
        <v>0</v>
      </c>
      <c r="AM55" s="402">
        <f>IF($D55="Sim",'14 - Investimentos'!AL65*9.25%,0)</f>
        <v>0</v>
      </c>
      <c r="AN55" s="402">
        <f>IF($D55="Sim",'14 - Investimentos'!AM65*9.25%,0)</f>
        <v>0</v>
      </c>
    </row>
    <row r="56" spans="2:40" ht="13.15" customHeight="1" outlineLevel="1" x14ac:dyDescent="0.2">
      <c r="B56" s="404" t="s">
        <v>828</v>
      </c>
      <c r="C56" s="413">
        <v>1</v>
      </c>
      <c r="D56" s="405" t="s">
        <v>1333</v>
      </c>
      <c r="E56" s="402">
        <f t="shared" si="1"/>
        <v>2136.68525</v>
      </c>
      <c r="F56" s="402">
        <f>IF($D56="Sim",'14 - Investimentos'!E66*9.25%,0)</f>
        <v>305.24074999999999</v>
      </c>
      <c r="G56" s="402">
        <f>IF($D56="Sim",'14 - Investimentos'!F66*9.25%,0)</f>
        <v>0</v>
      </c>
      <c r="H56" s="402">
        <f>IF($D56="Sim",'14 - Investimentos'!G66*9.25%,0)</f>
        <v>0</v>
      </c>
      <c r="I56" s="402">
        <f>IF($D56="Sim",'14 - Investimentos'!H66*9.25%,0)</f>
        <v>0</v>
      </c>
      <c r="J56" s="402">
        <f>IF($D56="Sim",'14 - Investimentos'!I66*9.25%,0)</f>
        <v>0</v>
      </c>
      <c r="K56" s="402">
        <f>IF($D56="Sim",'14 - Investimentos'!J66*9.25%,0)</f>
        <v>305.24074999999999</v>
      </c>
      <c r="L56" s="402">
        <f>IF($D56="Sim",'14 - Investimentos'!K66*9.25%,0)</f>
        <v>0</v>
      </c>
      <c r="M56" s="402">
        <f>IF($D56="Sim",'14 - Investimentos'!L66*9.25%,0)</f>
        <v>0</v>
      </c>
      <c r="N56" s="402">
        <f>IF($D56="Sim",'14 - Investimentos'!M66*9.25%,0)</f>
        <v>0</v>
      </c>
      <c r="O56" s="402">
        <f>IF($D56="Sim",'14 - Investimentos'!N66*9.25%,0)</f>
        <v>0</v>
      </c>
      <c r="P56" s="402">
        <f>IF($D56="Sim",'14 - Investimentos'!O66*9.25%,0)</f>
        <v>305.24074999999999</v>
      </c>
      <c r="Q56" s="402">
        <f>IF($D56="Sim",'14 - Investimentos'!P66*9.25%,0)</f>
        <v>0</v>
      </c>
      <c r="R56" s="402">
        <f>IF($D56="Sim",'14 - Investimentos'!Q66*9.25%,0)</f>
        <v>0</v>
      </c>
      <c r="S56" s="402">
        <f>IF($D56="Sim",'14 - Investimentos'!R66*9.25%,0)</f>
        <v>0</v>
      </c>
      <c r="T56" s="402">
        <f>IF($D56="Sim",'14 - Investimentos'!S66*9.25%,0)</f>
        <v>0</v>
      </c>
      <c r="U56" s="402">
        <f>IF($D56="Sim",'14 - Investimentos'!T66*9.25%,0)</f>
        <v>305.24074999999999</v>
      </c>
      <c r="V56" s="402">
        <f>IF($D56="Sim",'14 - Investimentos'!U66*9.25%,0)</f>
        <v>0</v>
      </c>
      <c r="W56" s="402">
        <f>IF($D56="Sim",'14 - Investimentos'!V66*9.25%,0)</f>
        <v>0</v>
      </c>
      <c r="X56" s="402">
        <f>IF($D56="Sim",'14 - Investimentos'!W66*9.25%,0)</f>
        <v>0</v>
      </c>
      <c r="Y56" s="402">
        <f>IF($D56="Sim",'14 - Investimentos'!X66*9.25%,0)</f>
        <v>0</v>
      </c>
      <c r="Z56" s="402">
        <f>IF($D56="Sim",'14 - Investimentos'!Y66*9.25%,0)</f>
        <v>305.24074999999999</v>
      </c>
      <c r="AA56" s="402">
        <f>IF($D56="Sim",'14 - Investimentos'!Z66*9.25%,0)</f>
        <v>0</v>
      </c>
      <c r="AB56" s="402">
        <f>IF($D56="Sim",'14 - Investimentos'!AA66*9.25%,0)</f>
        <v>0</v>
      </c>
      <c r="AC56" s="402">
        <f>IF($D56="Sim",'14 - Investimentos'!AB66*9.25%,0)</f>
        <v>0</v>
      </c>
      <c r="AD56" s="402">
        <f>IF($D56="Sim",'14 - Investimentos'!AC66*9.25%,0)</f>
        <v>0</v>
      </c>
      <c r="AE56" s="402">
        <f>IF($D56="Sim",'14 - Investimentos'!AD66*9.25%,0)</f>
        <v>305.24074999999999</v>
      </c>
      <c r="AF56" s="402">
        <f>IF($D56="Sim",'14 - Investimentos'!AE66*9.25%,0)</f>
        <v>0</v>
      </c>
      <c r="AG56" s="402">
        <f>IF($D56="Sim",'14 - Investimentos'!AF66*9.25%,0)</f>
        <v>0</v>
      </c>
      <c r="AH56" s="402">
        <f>IF($D56="Sim",'14 - Investimentos'!AG66*9.25%,0)</f>
        <v>0</v>
      </c>
      <c r="AI56" s="402">
        <f>IF($D56="Sim",'14 - Investimentos'!AH66*9.25%,0)</f>
        <v>0</v>
      </c>
      <c r="AJ56" s="402">
        <f>IF($D56="Sim",'14 - Investimentos'!AI66*9.25%,0)</f>
        <v>305.24074999999999</v>
      </c>
      <c r="AK56" s="402">
        <f>IF($D56="Sim",'14 - Investimentos'!AJ66*9.25%,0)</f>
        <v>0</v>
      </c>
      <c r="AL56" s="402">
        <f>IF($D56="Sim",'14 - Investimentos'!AK66*9.25%,0)</f>
        <v>0</v>
      </c>
      <c r="AM56" s="402">
        <f>IF($D56="Sim",'14 - Investimentos'!AL66*9.25%,0)</f>
        <v>0</v>
      </c>
      <c r="AN56" s="402">
        <f>IF($D56="Sim",'14 - Investimentos'!AM66*9.25%,0)</f>
        <v>0</v>
      </c>
    </row>
    <row r="57" spans="2:40" s="8" customFormat="1" ht="13.15" customHeight="1" x14ac:dyDescent="0.2">
      <c r="B57" s="323" t="s">
        <v>1344</v>
      </c>
      <c r="C57" s="418"/>
      <c r="D57" s="386"/>
      <c r="E57" s="387">
        <f>SUM(E58)</f>
        <v>28503.134999999998</v>
      </c>
      <c r="F57" s="387">
        <f t="shared" ref="F57:AN57" si="9">SUM(F58)</f>
        <v>3167.0149999999999</v>
      </c>
      <c r="G57" s="387">
        <f t="shared" si="9"/>
        <v>0</v>
      </c>
      <c r="H57" s="387">
        <f t="shared" si="9"/>
        <v>0</v>
      </c>
      <c r="I57" s="387">
        <f t="shared" si="9"/>
        <v>0</v>
      </c>
      <c r="J57" s="387">
        <f t="shared" si="9"/>
        <v>3167.0149999999999</v>
      </c>
      <c r="K57" s="387">
        <f t="shared" si="9"/>
        <v>0</v>
      </c>
      <c r="L57" s="387">
        <f t="shared" si="9"/>
        <v>0</v>
      </c>
      <c r="M57" s="387">
        <f t="shared" si="9"/>
        <v>0</v>
      </c>
      <c r="N57" s="387">
        <f t="shared" si="9"/>
        <v>3167.0149999999999</v>
      </c>
      <c r="O57" s="387">
        <f t="shared" si="9"/>
        <v>0</v>
      </c>
      <c r="P57" s="387">
        <f t="shared" si="9"/>
        <v>0</v>
      </c>
      <c r="Q57" s="387">
        <f t="shared" si="9"/>
        <v>0</v>
      </c>
      <c r="R57" s="387">
        <f t="shared" si="9"/>
        <v>3167.0149999999999</v>
      </c>
      <c r="S57" s="387">
        <f t="shared" si="9"/>
        <v>0</v>
      </c>
      <c r="T57" s="387">
        <f t="shared" si="9"/>
        <v>0</v>
      </c>
      <c r="U57" s="387">
        <f t="shared" si="9"/>
        <v>0</v>
      </c>
      <c r="V57" s="387">
        <f t="shared" si="9"/>
        <v>3167.0149999999999</v>
      </c>
      <c r="W57" s="387">
        <f t="shared" si="9"/>
        <v>0</v>
      </c>
      <c r="X57" s="387">
        <f t="shared" si="9"/>
        <v>0</v>
      </c>
      <c r="Y57" s="387">
        <f t="shared" si="9"/>
        <v>0</v>
      </c>
      <c r="Z57" s="387">
        <f t="shared" si="9"/>
        <v>3167.0149999999999</v>
      </c>
      <c r="AA57" s="387">
        <f t="shared" si="9"/>
        <v>0</v>
      </c>
      <c r="AB57" s="387">
        <f t="shared" si="9"/>
        <v>0</v>
      </c>
      <c r="AC57" s="387">
        <f t="shared" si="9"/>
        <v>0</v>
      </c>
      <c r="AD57" s="387">
        <f t="shared" si="9"/>
        <v>3167.0149999999999</v>
      </c>
      <c r="AE57" s="387">
        <f t="shared" si="9"/>
        <v>0</v>
      </c>
      <c r="AF57" s="387">
        <f t="shared" si="9"/>
        <v>0</v>
      </c>
      <c r="AG57" s="387">
        <f t="shared" si="9"/>
        <v>0</v>
      </c>
      <c r="AH57" s="387">
        <f t="shared" si="9"/>
        <v>3167.0149999999999</v>
      </c>
      <c r="AI57" s="387">
        <f t="shared" si="9"/>
        <v>0</v>
      </c>
      <c r="AJ57" s="387">
        <f t="shared" si="9"/>
        <v>0</v>
      </c>
      <c r="AK57" s="387">
        <f t="shared" si="9"/>
        <v>0</v>
      </c>
      <c r="AL57" s="387">
        <f t="shared" si="9"/>
        <v>3167.0149999999999</v>
      </c>
      <c r="AM57" s="387">
        <f t="shared" si="9"/>
        <v>0</v>
      </c>
      <c r="AN57" s="387">
        <f t="shared" si="9"/>
        <v>0</v>
      </c>
    </row>
    <row r="58" spans="2:40" ht="13.15" customHeight="1" outlineLevel="1" x14ac:dyDescent="0.2">
      <c r="B58" s="404" t="s">
        <v>819</v>
      </c>
      <c r="C58" s="413">
        <v>1</v>
      </c>
      <c r="D58" s="405" t="s">
        <v>1333</v>
      </c>
      <c r="E58" s="402">
        <f t="shared" si="1"/>
        <v>28503.134999999998</v>
      </c>
      <c r="F58" s="402">
        <f>IF($D58="Sim",'14 - Investimentos'!E68*9.25%,0)</f>
        <v>3167.0149999999999</v>
      </c>
      <c r="G58" s="402">
        <f>IF($D58="Sim",'14 - Investimentos'!F68*9.25%,0)</f>
        <v>0</v>
      </c>
      <c r="H58" s="402">
        <f>IF($D58="Sim",'14 - Investimentos'!G68*9.25%,0)</f>
        <v>0</v>
      </c>
      <c r="I58" s="402">
        <f>IF($D58="Sim",'14 - Investimentos'!H68*9.25%,0)</f>
        <v>0</v>
      </c>
      <c r="J58" s="402">
        <f>IF($D58="Sim",'14 - Investimentos'!I68*9.25%,0)</f>
        <v>3167.0149999999999</v>
      </c>
      <c r="K58" s="402">
        <f>IF($D58="Sim",'14 - Investimentos'!J68*9.25%,0)</f>
        <v>0</v>
      </c>
      <c r="L58" s="402">
        <f>IF($D58="Sim",'14 - Investimentos'!K68*9.25%,0)</f>
        <v>0</v>
      </c>
      <c r="M58" s="402">
        <f>IF($D58="Sim",'14 - Investimentos'!L68*9.25%,0)</f>
        <v>0</v>
      </c>
      <c r="N58" s="402">
        <f>IF($D58="Sim",'14 - Investimentos'!M68*9.25%,0)</f>
        <v>3167.0149999999999</v>
      </c>
      <c r="O58" s="402">
        <f>IF($D58="Sim",'14 - Investimentos'!N68*9.25%,0)</f>
        <v>0</v>
      </c>
      <c r="P58" s="402">
        <f>IF($D58="Sim",'14 - Investimentos'!O68*9.25%,0)</f>
        <v>0</v>
      </c>
      <c r="Q58" s="402">
        <f>IF($D58="Sim",'14 - Investimentos'!P68*9.25%,0)</f>
        <v>0</v>
      </c>
      <c r="R58" s="402">
        <f>IF($D58="Sim",'14 - Investimentos'!Q68*9.25%,0)</f>
        <v>3167.0149999999999</v>
      </c>
      <c r="S58" s="402">
        <f>IF($D58="Sim",'14 - Investimentos'!R68*9.25%,0)</f>
        <v>0</v>
      </c>
      <c r="T58" s="402">
        <f>IF($D58="Sim",'14 - Investimentos'!S68*9.25%,0)</f>
        <v>0</v>
      </c>
      <c r="U58" s="402">
        <f>IF($D58="Sim",'14 - Investimentos'!T68*9.25%,0)</f>
        <v>0</v>
      </c>
      <c r="V58" s="402">
        <f>IF($D58="Sim",'14 - Investimentos'!U68*9.25%,0)</f>
        <v>3167.0149999999999</v>
      </c>
      <c r="W58" s="402">
        <f>IF($D58="Sim",'14 - Investimentos'!V68*9.25%,0)</f>
        <v>0</v>
      </c>
      <c r="X58" s="402">
        <f>IF($D58="Sim",'14 - Investimentos'!W68*9.25%,0)</f>
        <v>0</v>
      </c>
      <c r="Y58" s="402">
        <f>IF($D58="Sim",'14 - Investimentos'!X68*9.25%,0)</f>
        <v>0</v>
      </c>
      <c r="Z58" s="402">
        <f>IF($D58="Sim",'14 - Investimentos'!Y68*9.25%,0)</f>
        <v>3167.0149999999999</v>
      </c>
      <c r="AA58" s="402">
        <f>IF($D58="Sim",'14 - Investimentos'!Z68*9.25%,0)</f>
        <v>0</v>
      </c>
      <c r="AB58" s="402">
        <f>IF($D58="Sim",'14 - Investimentos'!AA68*9.25%,0)</f>
        <v>0</v>
      </c>
      <c r="AC58" s="402">
        <f>IF($D58="Sim",'14 - Investimentos'!AB68*9.25%,0)</f>
        <v>0</v>
      </c>
      <c r="AD58" s="402">
        <f>IF($D58="Sim",'14 - Investimentos'!AC68*9.25%,0)</f>
        <v>3167.0149999999999</v>
      </c>
      <c r="AE58" s="402">
        <f>IF($D58="Sim",'14 - Investimentos'!AD68*9.25%,0)</f>
        <v>0</v>
      </c>
      <c r="AF58" s="402">
        <f>IF($D58="Sim",'14 - Investimentos'!AE68*9.25%,0)</f>
        <v>0</v>
      </c>
      <c r="AG58" s="402">
        <f>IF($D58="Sim",'14 - Investimentos'!AF68*9.25%,0)</f>
        <v>0</v>
      </c>
      <c r="AH58" s="402">
        <f>IF($D58="Sim",'14 - Investimentos'!AG68*9.25%,0)</f>
        <v>3167.0149999999999</v>
      </c>
      <c r="AI58" s="402">
        <f>IF($D58="Sim",'14 - Investimentos'!AH68*9.25%,0)</f>
        <v>0</v>
      </c>
      <c r="AJ58" s="402">
        <f>IF($D58="Sim",'14 - Investimentos'!AI68*9.25%,0)</f>
        <v>0</v>
      </c>
      <c r="AK58" s="402">
        <f>IF($D58="Sim",'14 - Investimentos'!AJ68*9.25%,0)</f>
        <v>0</v>
      </c>
      <c r="AL58" s="402">
        <f>IF($D58="Sim",'14 - Investimentos'!AK68*9.25%,0)</f>
        <v>3167.0149999999999</v>
      </c>
      <c r="AM58" s="402">
        <f>IF($D58="Sim",'14 - Investimentos'!AL68*9.25%,0)</f>
        <v>0</v>
      </c>
      <c r="AN58" s="402">
        <f>IF($D58="Sim",'14 - Investimentos'!AM68*9.25%,0)</f>
        <v>0</v>
      </c>
    </row>
    <row r="59" spans="2:40" ht="13.15" customHeight="1" outlineLevel="1" x14ac:dyDescent="0.2">
      <c r="B59" s="404" t="s">
        <v>157</v>
      </c>
      <c r="C59" s="413">
        <v>1</v>
      </c>
      <c r="D59" s="405" t="s">
        <v>1333</v>
      </c>
      <c r="E59" s="402">
        <f t="shared" si="1"/>
        <v>12196.125</v>
      </c>
      <c r="F59" s="402">
        <f>IF($D59="Sim",'14 - Investimentos'!E69*9.25%,0)</f>
        <v>1300.92</v>
      </c>
      <c r="G59" s="402">
        <f>IF($D59="Sim",'14 - Investimentos'!F69*9.25%,0)</f>
        <v>0</v>
      </c>
      <c r="H59" s="402">
        <f>IF($D59="Sim",'14 - Investimentos'!G69*9.25%,0)</f>
        <v>0</v>
      </c>
      <c r="I59" s="402">
        <f>IF($D59="Sim",'14 - Investimentos'!H69*9.25%,0)</f>
        <v>27.102499999999999</v>
      </c>
      <c r="J59" s="402">
        <f>IF($D59="Sim",'14 - Investimentos'!I69*9.25%,0)</f>
        <v>1300.92</v>
      </c>
      <c r="K59" s="402">
        <f>IF($D59="Sim",'14 - Investimentos'!J69*9.25%,0)</f>
        <v>0</v>
      </c>
      <c r="L59" s="402">
        <f>IF($D59="Sim",'14 - Investimentos'!K69*9.25%,0)</f>
        <v>27.102499999999999</v>
      </c>
      <c r="M59" s="402">
        <f>IF($D59="Sim",'14 - Investimentos'!L69*9.25%,0)</f>
        <v>27.102499999999999</v>
      </c>
      <c r="N59" s="402">
        <f>IF($D59="Sim",'14 - Investimentos'!M69*9.25%,0)</f>
        <v>1300.92</v>
      </c>
      <c r="O59" s="402">
        <f>IF($D59="Sim",'14 - Investimentos'!N69*9.25%,0)</f>
        <v>0</v>
      </c>
      <c r="P59" s="402">
        <f>IF($D59="Sim",'14 - Investimentos'!O69*9.25%,0)</f>
        <v>27.102499999999999</v>
      </c>
      <c r="Q59" s="402">
        <f>IF($D59="Sim",'14 - Investimentos'!P69*9.25%,0)</f>
        <v>54.204999999999998</v>
      </c>
      <c r="R59" s="402">
        <f>IF($D59="Sim",'14 - Investimentos'!Q69*9.25%,0)</f>
        <v>1300.92</v>
      </c>
      <c r="S59" s="402">
        <f>IF($D59="Sim",'14 - Investimentos'!R69*9.25%,0)</f>
        <v>0</v>
      </c>
      <c r="T59" s="402">
        <f>IF($D59="Sim",'14 - Investimentos'!S69*9.25%,0)</f>
        <v>27.102499999999999</v>
      </c>
      <c r="U59" s="402">
        <f>IF($D59="Sim",'14 - Investimentos'!T69*9.25%,0)</f>
        <v>54.204999999999998</v>
      </c>
      <c r="V59" s="402">
        <f>IF($D59="Sim",'14 - Investimentos'!U69*9.25%,0)</f>
        <v>1300.92</v>
      </c>
      <c r="W59" s="402">
        <f>IF($D59="Sim",'14 - Investimentos'!V69*9.25%,0)</f>
        <v>0</v>
      </c>
      <c r="X59" s="402">
        <f>IF($D59="Sim",'14 - Investimentos'!W69*9.25%,0)</f>
        <v>27.102499999999999</v>
      </c>
      <c r="Y59" s="402">
        <f>IF($D59="Sim",'14 - Investimentos'!X69*9.25%,0)</f>
        <v>54.204999999999998</v>
      </c>
      <c r="Z59" s="402">
        <f>IF($D59="Sim",'14 - Investimentos'!Y69*9.25%,0)</f>
        <v>1300.92</v>
      </c>
      <c r="AA59" s="402">
        <f>IF($D59="Sim",'14 - Investimentos'!Z69*9.25%,0)</f>
        <v>0</v>
      </c>
      <c r="AB59" s="402">
        <f>IF($D59="Sim",'14 - Investimentos'!AA69*9.25%,0)</f>
        <v>27.102499999999999</v>
      </c>
      <c r="AC59" s="402">
        <f>IF($D59="Sim",'14 - Investimentos'!AB69*9.25%,0)</f>
        <v>54.204999999999998</v>
      </c>
      <c r="AD59" s="402">
        <f>IF($D59="Sim",'14 - Investimentos'!AC69*9.25%,0)</f>
        <v>1300.92</v>
      </c>
      <c r="AE59" s="402">
        <f>IF($D59="Sim",'14 - Investimentos'!AD69*9.25%,0)</f>
        <v>0</v>
      </c>
      <c r="AF59" s="402">
        <f>IF($D59="Sim",'14 - Investimentos'!AE69*9.25%,0)</f>
        <v>0</v>
      </c>
      <c r="AG59" s="402">
        <f>IF($D59="Sim",'14 - Investimentos'!AF69*9.25%,0)</f>
        <v>54.204999999999998</v>
      </c>
      <c r="AH59" s="402">
        <f>IF($D59="Sim",'14 - Investimentos'!AG69*9.25%,0)</f>
        <v>1300.92</v>
      </c>
      <c r="AI59" s="402">
        <f>IF($D59="Sim",'14 - Investimentos'!AH69*9.25%,0)</f>
        <v>0</v>
      </c>
      <c r="AJ59" s="402">
        <f>IF($D59="Sim",'14 - Investimentos'!AI69*9.25%,0)</f>
        <v>0</v>
      </c>
      <c r="AK59" s="402">
        <f>IF($D59="Sim",'14 - Investimentos'!AJ69*9.25%,0)</f>
        <v>54.204999999999998</v>
      </c>
      <c r="AL59" s="402">
        <f>IF($D59="Sim",'14 - Investimentos'!AK69*9.25%,0)</f>
        <v>1273.8174999999999</v>
      </c>
      <c r="AM59" s="402">
        <f>IF($D59="Sim",'14 - Investimentos'!AL69*9.25%,0)</f>
        <v>0</v>
      </c>
      <c r="AN59" s="402">
        <f>IF($D59="Sim",'14 - Investimentos'!AM69*9.25%,0)</f>
        <v>0</v>
      </c>
    </row>
    <row r="60" spans="2:40" s="8" customFormat="1" ht="13.15" customHeight="1" x14ac:dyDescent="0.2">
      <c r="B60" s="323" t="s">
        <v>1345</v>
      </c>
      <c r="C60" s="418"/>
      <c r="D60" s="386"/>
      <c r="E60" s="387">
        <f>SUM(E61:E62)</f>
        <v>0</v>
      </c>
      <c r="F60" s="387">
        <f t="shared" ref="F60:AN60" si="10">SUM(F61:F62)</f>
        <v>0</v>
      </c>
      <c r="G60" s="387">
        <f t="shared" si="10"/>
        <v>0</v>
      </c>
      <c r="H60" s="387">
        <f t="shared" si="10"/>
        <v>0</v>
      </c>
      <c r="I60" s="387">
        <f t="shared" si="10"/>
        <v>0</v>
      </c>
      <c r="J60" s="387">
        <f t="shared" si="10"/>
        <v>0</v>
      </c>
      <c r="K60" s="387">
        <f t="shared" si="10"/>
        <v>0</v>
      </c>
      <c r="L60" s="387">
        <f t="shared" si="10"/>
        <v>0</v>
      </c>
      <c r="M60" s="387">
        <f t="shared" si="10"/>
        <v>0</v>
      </c>
      <c r="N60" s="387">
        <f t="shared" si="10"/>
        <v>0</v>
      </c>
      <c r="O60" s="387">
        <f t="shared" si="10"/>
        <v>0</v>
      </c>
      <c r="P60" s="387">
        <f t="shared" si="10"/>
        <v>0</v>
      </c>
      <c r="Q60" s="387">
        <f t="shared" si="10"/>
        <v>0</v>
      </c>
      <c r="R60" s="387">
        <f t="shared" si="10"/>
        <v>0</v>
      </c>
      <c r="S60" s="387">
        <f t="shared" si="10"/>
        <v>0</v>
      </c>
      <c r="T60" s="387">
        <f t="shared" si="10"/>
        <v>0</v>
      </c>
      <c r="U60" s="387">
        <f t="shared" si="10"/>
        <v>0</v>
      </c>
      <c r="V60" s="387">
        <f t="shared" si="10"/>
        <v>0</v>
      </c>
      <c r="W60" s="387">
        <f t="shared" si="10"/>
        <v>0</v>
      </c>
      <c r="X60" s="387">
        <f t="shared" si="10"/>
        <v>0</v>
      </c>
      <c r="Y60" s="387">
        <f t="shared" si="10"/>
        <v>0</v>
      </c>
      <c r="Z60" s="387">
        <f t="shared" si="10"/>
        <v>0</v>
      </c>
      <c r="AA60" s="387">
        <f t="shared" si="10"/>
        <v>0</v>
      </c>
      <c r="AB60" s="387">
        <f t="shared" si="10"/>
        <v>0</v>
      </c>
      <c r="AC60" s="387">
        <f t="shared" si="10"/>
        <v>0</v>
      </c>
      <c r="AD60" s="387">
        <f t="shared" si="10"/>
        <v>0</v>
      </c>
      <c r="AE60" s="387">
        <f t="shared" si="10"/>
        <v>0</v>
      </c>
      <c r="AF60" s="387">
        <f t="shared" si="10"/>
        <v>0</v>
      </c>
      <c r="AG60" s="387">
        <f t="shared" si="10"/>
        <v>0</v>
      </c>
      <c r="AH60" s="387">
        <f t="shared" si="10"/>
        <v>0</v>
      </c>
      <c r="AI60" s="387">
        <f t="shared" si="10"/>
        <v>0</v>
      </c>
      <c r="AJ60" s="387">
        <f t="shared" si="10"/>
        <v>0</v>
      </c>
      <c r="AK60" s="387">
        <f t="shared" si="10"/>
        <v>0</v>
      </c>
      <c r="AL60" s="387">
        <f t="shared" si="10"/>
        <v>0</v>
      </c>
      <c r="AM60" s="387">
        <f t="shared" si="10"/>
        <v>0</v>
      </c>
      <c r="AN60" s="387">
        <f t="shared" si="10"/>
        <v>0</v>
      </c>
    </row>
    <row r="61" spans="2:40" ht="13.15" customHeight="1" outlineLevel="1" x14ac:dyDescent="0.2">
      <c r="B61" s="404" t="s">
        <v>1100</v>
      </c>
      <c r="C61" s="413">
        <v>1</v>
      </c>
      <c r="D61" s="405" t="s">
        <v>1346</v>
      </c>
      <c r="E61" s="402">
        <f t="shared" si="1"/>
        <v>0</v>
      </c>
      <c r="F61" s="402">
        <f>IF($D61="Sim",'14 - Investimentos'!E71*9.25%,0)</f>
        <v>0</v>
      </c>
      <c r="G61" s="402">
        <f>IF($D61="Sim",'14 - Investimentos'!F71*9.25%,0)</f>
        <v>0</v>
      </c>
      <c r="H61" s="402">
        <f>IF($D61="Sim",'14 - Investimentos'!G71*9.25%,0)</f>
        <v>0</v>
      </c>
      <c r="I61" s="402">
        <f>IF($D61="Sim",'14 - Investimentos'!H71*9.25%,0)</f>
        <v>0</v>
      </c>
      <c r="J61" s="402">
        <f>IF($D61="Sim",'14 - Investimentos'!I71*9.25%,0)</f>
        <v>0</v>
      </c>
      <c r="K61" s="402">
        <f>IF($D61="Sim",'14 - Investimentos'!J71*9.25%,0)</f>
        <v>0</v>
      </c>
      <c r="L61" s="402">
        <f>IF($D61="Sim",'14 - Investimentos'!K71*9.25%,0)</f>
        <v>0</v>
      </c>
      <c r="M61" s="402">
        <f>IF($D61="Sim",'14 - Investimentos'!L71*9.25%,0)</f>
        <v>0</v>
      </c>
      <c r="N61" s="402">
        <f>IF($D61="Sim",'14 - Investimentos'!M71*9.25%,0)</f>
        <v>0</v>
      </c>
      <c r="O61" s="402">
        <f>IF($D61="Sim",'14 - Investimentos'!N71*9.25%,0)</f>
        <v>0</v>
      </c>
      <c r="P61" s="402">
        <f>IF($D61="Sim",'14 - Investimentos'!O71*9.25%,0)</f>
        <v>0</v>
      </c>
      <c r="Q61" s="402">
        <f>IF($D61="Sim",'14 - Investimentos'!P71*9.25%,0)</f>
        <v>0</v>
      </c>
      <c r="R61" s="402">
        <f>IF($D61="Sim",'14 - Investimentos'!Q71*9.25%,0)</f>
        <v>0</v>
      </c>
      <c r="S61" s="402">
        <f>IF($D61="Sim",'14 - Investimentos'!R71*9.25%,0)</f>
        <v>0</v>
      </c>
      <c r="T61" s="402">
        <f>IF($D61="Sim",'14 - Investimentos'!S71*9.25%,0)</f>
        <v>0</v>
      </c>
      <c r="U61" s="402">
        <f>IF($D61="Sim",'14 - Investimentos'!T71*9.25%,0)</f>
        <v>0</v>
      </c>
      <c r="V61" s="402">
        <f>IF($D61="Sim",'14 - Investimentos'!U71*9.25%,0)</f>
        <v>0</v>
      </c>
      <c r="W61" s="402">
        <f>IF($D61="Sim",'14 - Investimentos'!V71*9.25%,0)</f>
        <v>0</v>
      </c>
      <c r="X61" s="402">
        <f>IF($D61="Sim",'14 - Investimentos'!W71*9.25%,0)</f>
        <v>0</v>
      </c>
      <c r="Y61" s="402">
        <f>IF($D61="Sim",'14 - Investimentos'!X71*9.25%,0)</f>
        <v>0</v>
      </c>
      <c r="Z61" s="402">
        <f>IF($D61="Sim",'14 - Investimentos'!Y71*9.25%,0)</f>
        <v>0</v>
      </c>
      <c r="AA61" s="402">
        <f>IF($D61="Sim",'14 - Investimentos'!Z71*9.25%,0)</f>
        <v>0</v>
      </c>
      <c r="AB61" s="402">
        <f>IF($D61="Sim",'14 - Investimentos'!AA71*9.25%,0)</f>
        <v>0</v>
      </c>
      <c r="AC61" s="402">
        <f>IF($D61="Sim",'14 - Investimentos'!AB71*9.25%,0)</f>
        <v>0</v>
      </c>
      <c r="AD61" s="402">
        <f>IF($D61="Sim",'14 - Investimentos'!AC71*9.25%,0)</f>
        <v>0</v>
      </c>
      <c r="AE61" s="402">
        <f>IF($D61="Sim",'14 - Investimentos'!AD71*9.25%,0)</f>
        <v>0</v>
      </c>
      <c r="AF61" s="402">
        <f>IF($D61="Sim",'14 - Investimentos'!AE71*9.25%,0)</f>
        <v>0</v>
      </c>
      <c r="AG61" s="402">
        <f>IF($D61="Sim",'14 - Investimentos'!AF71*9.25%,0)</f>
        <v>0</v>
      </c>
      <c r="AH61" s="402">
        <f>IF($D61="Sim",'14 - Investimentos'!AG71*9.25%,0)</f>
        <v>0</v>
      </c>
      <c r="AI61" s="402">
        <f>IF($D61="Sim",'14 - Investimentos'!AH71*9.25%,0)</f>
        <v>0</v>
      </c>
      <c r="AJ61" s="402">
        <f>IF($D61="Sim",'14 - Investimentos'!AI71*9.25%,0)</f>
        <v>0</v>
      </c>
      <c r="AK61" s="402">
        <f>IF($D61="Sim",'14 - Investimentos'!AJ71*9.25%,0)</f>
        <v>0</v>
      </c>
      <c r="AL61" s="402">
        <f>IF($D61="Sim",'14 - Investimentos'!AK71*9.25%,0)</f>
        <v>0</v>
      </c>
      <c r="AM61" s="402">
        <f>IF($D61="Sim",'14 - Investimentos'!AL71*9.25%,0)</f>
        <v>0</v>
      </c>
      <c r="AN61" s="402">
        <f>IF($D61="Sim",'14 - Investimentos'!AM71*9.25%,0)</f>
        <v>0</v>
      </c>
    </row>
    <row r="62" spans="2:40" ht="13.15" customHeight="1" outlineLevel="1" x14ac:dyDescent="0.2">
      <c r="B62" s="404" t="s">
        <v>1102</v>
      </c>
      <c r="C62" s="413">
        <v>1</v>
      </c>
      <c r="D62" s="405" t="s">
        <v>1346</v>
      </c>
      <c r="E62" s="402">
        <f>SUM(F62:AN62)</f>
        <v>0</v>
      </c>
      <c r="F62" s="402">
        <f>IF($D62="Sim",'14 - Investimentos'!E72*9.25%,0)</f>
        <v>0</v>
      </c>
      <c r="G62" s="402">
        <f>IF($D62="Sim",'14 - Investimentos'!F72*9.25%,0)</f>
        <v>0</v>
      </c>
      <c r="H62" s="402">
        <f>IF($D62="Sim",'14 - Investimentos'!G72*9.25%,0)</f>
        <v>0</v>
      </c>
      <c r="I62" s="402">
        <f>IF($D62="Sim",'14 - Investimentos'!H72*9.25%,0)</f>
        <v>0</v>
      </c>
      <c r="J62" s="402">
        <f>IF($D62="Sim",'14 - Investimentos'!I72*9.25%,0)</f>
        <v>0</v>
      </c>
      <c r="K62" s="402">
        <f>IF($D62="Sim",'14 - Investimentos'!J72*9.25%,0)</f>
        <v>0</v>
      </c>
      <c r="L62" s="402">
        <f>IF($D62="Sim",'14 - Investimentos'!K72*9.25%,0)</f>
        <v>0</v>
      </c>
      <c r="M62" s="402">
        <f>IF($D62="Sim",'14 - Investimentos'!L72*9.25%,0)</f>
        <v>0</v>
      </c>
      <c r="N62" s="402">
        <f>IF($D62="Sim",'14 - Investimentos'!M72*9.25%,0)</f>
        <v>0</v>
      </c>
      <c r="O62" s="402">
        <f>IF($D62="Sim",'14 - Investimentos'!N72*9.25%,0)</f>
        <v>0</v>
      </c>
      <c r="P62" s="402">
        <f>IF($D62="Sim",'14 - Investimentos'!O72*9.25%,0)</f>
        <v>0</v>
      </c>
      <c r="Q62" s="402">
        <f>IF($D62="Sim",'14 - Investimentos'!P72*9.25%,0)</f>
        <v>0</v>
      </c>
      <c r="R62" s="402">
        <f>IF($D62="Sim",'14 - Investimentos'!Q72*9.25%,0)</f>
        <v>0</v>
      </c>
      <c r="S62" s="402">
        <f>IF($D62="Sim",'14 - Investimentos'!R72*9.25%,0)</f>
        <v>0</v>
      </c>
      <c r="T62" s="402">
        <f>IF($D62="Sim",'14 - Investimentos'!S72*9.25%,0)</f>
        <v>0</v>
      </c>
      <c r="U62" s="402">
        <f>IF($D62="Sim",'14 - Investimentos'!T72*9.25%,0)</f>
        <v>0</v>
      </c>
      <c r="V62" s="402">
        <f>IF($D62="Sim",'14 - Investimentos'!U72*9.25%,0)</f>
        <v>0</v>
      </c>
      <c r="W62" s="402">
        <f>IF($D62="Sim",'14 - Investimentos'!V72*9.25%,0)</f>
        <v>0</v>
      </c>
      <c r="X62" s="402">
        <f>IF($D62="Sim",'14 - Investimentos'!W72*9.25%,0)</f>
        <v>0</v>
      </c>
      <c r="Y62" s="402">
        <f>IF($D62="Sim",'14 - Investimentos'!X72*9.25%,0)</f>
        <v>0</v>
      </c>
      <c r="Z62" s="402">
        <f>IF($D62="Sim",'14 - Investimentos'!Y72*9.25%,0)</f>
        <v>0</v>
      </c>
      <c r="AA62" s="402">
        <f>IF($D62="Sim",'14 - Investimentos'!Z72*9.25%,0)</f>
        <v>0</v>
      </c>
      <c r="AB62" s="402">
        <f>IF($D62="Sim",'14 - Investimentos'!AA72*9.25%,0)</f>
        <v>0</v>
      </c>
      <c r="AC62" s="402">
        <f>IF($D62="Sim",'14 - Investimentos'!AB72*9.25%,0)</f>
        <v>0</v>
      </c>
      <c r="AD62" s="402">
        <f>IF($D62="Sim",'14 - Investimentos'!AC72*9.25%,0)</f>
        <v>0</v>
      </c>
      <c r="AE62" s="402">
        <f>IF($D62="Sim",'14 - Investimentos'!AD72*9.25%,0)</f>
        <v>0</v>
      </c>
      <c r="AF62" s="402">
        <f>IF($D62="Sim",'14 - Investimentos'!AE72*9.25%,0)</f>
        <v>0</v>
      </c>
      <c r="AG62" s="402">
        <f>IF($D62="Sim",'14 - Investimentos'!AF72*9.25%,0)</f>
        <v>0</v>
      </c>
      <c r="AH62" s="402">
        <f>IF($D62="Sim",'14 - Investimentos'!AG72*9.25%,0)</f>
        <v>0</v>
      </c>
      <c r="AI62" s="402">
        <f>IF($D62="Sim",'14 - Investimentos'!AH72*9.25%,0)</f>
        <v>0</v>
      </c>
      <c r="AJ62" s="402">
        <f>IF($D62="Sim",'14 - Investimentos'!AI72*9.25%,0)</f>
        <v>0</v>
      </c>
      <c r="AK62" s="402">
        <f>IF($D62="Sim",'14 - Investimentos'!AJ72*9.25%,0)</f>
        <v>0</v>
      </c>
      <c r="AL62" s="402">
        <f>IF($D62="Sim",'14 - Investimentos'!AK72*9.25%,0)</f>
        <v>0</v>
      </c>
      <c r="AM62" s="402">
        <f>IF($D62="Sim",'14 - Investimentos'!AL72*9.25%,0)</f>
        <v>0</v>
      </c>
      <c r="AN62" s="402">
        <f>IF($D62="Sim",'14 - Investimentos'!AM72*9.25%,0)</f>
        <v>0</v>
      </c>
    </row>
    <row r="64" spans="2:40" s="8" customFormat="1" ht="13.15" customHeight="1" x14ac:dyDescent="0.2">
      <c r="B64" s="388" t="s">
        <v>1347</v>
      </c>
      <c r="C64" s="420"/>
      <c r="D64" s="388"/>
      <c r="E64" s="389">
        <f t="shared" ref="E64:AN64" si="11">E3+E13+E19+E26+E31+E34+E48+E57+E60</f>
        <v>12626288.750963334</v>
      </c>
      <c r="F64" s="389">
        <f t="shared" si="11"/>
        <v>2162407.1945916666</v>
      </c>
      <c r="G64" s="389">
        <f t="shared" si="11"/>
        <v>0</v>
      </c>
      <c r="H64" s="389">
        <f t="shared" si="11"/>
        <v>35563.031000000003</v>
      </c>
      <c r="I64" s="389">
        <f t="shared" si="11"/>
        <v>0</v>
      </c>
      <c r="J64" s="389">
        <f t="shared" si="11"/>
        <v>97392.103000000017</v>
      </c>
      <c r="K64" s="389">
        <f t="shared" si="11"/>
        <v>148643.66279166666</v>
      </c>
      <c r="L64" s="389">
        <f t="shared" si="11"/>
        <v>0</v>
      </c>
      <c r="M64" s="389">
        <f t="shared" si="11"/>
        <v>2048894.7829749999</v>
      </c>
      <c r="N64" s="389">
        <f t="shared" si="11"/>
        <v>66909.505000000005</v>
      </c>
      <c r="O64" s="389">
        <f t="shared" si="11"/>
        <v>32066.105499999998</v>
      </c>
      <c r="P64" s="389">
        <f t="shared" si="11"/>
        <v>141237.53115166666</v>
      </c>
      <c r="Q64" s="389">
        <f t="shared" si="11"/>
        <v>0</v>
      </c>
      <c r="R64" s="389">
        <f t="shared" si="11"/>
        <v>179293.78600000002</v>
      </c>
      <c r="S64" s="389">
        <f t="shared" si="11"/>
        <v>1583.5074999999999</v>
      </c>
      <c r="T64" s="389">
        <f t="shared" si="11"/>
        <v>2010109.7549749999</v>
      </c>
      <c r="U64" s="389">
        <f t="shared" si="11"/>
        <v>70238.90529166667</v>
      </c>
      <c r="V64" s="389">
        <f t="shared" si="11"/>
        <v>66909.505000000005</v>
      </c>
      <c r="W64" s="389">
        <f t="shared" si="11"/>
        <v>37146.538500000002</v>
      </c>
      <c r="X64" s="389">
        <f t="shared" si="11"/>
        <v>0</v>
      </c>
      <c r="Y64" s="389">
        <f t="shared" si="11"/>
        <v>107303.848</v>
      </c>
      <c r="Z64" s="389">
        <f t="shared" si="11"/>
        <v>208147.03615166669</v>
      </c>
      <c r="AA64" s="389">
        <f t="shared" si="11"/>
        <v>1981210.664475</v>
      </c>
      <c r="AB64" s="389">
        <f t="shared" si="11"/>
        <v>35563.031000000003</v>
      </c>
      <c r="AC64" s="389">
        <f t="shared" si="11"/>
        <v>0</v>
      </c>
      <c r="AD64" s="389">
        <f t="shared" si="11"/>
        <v>97392.103000000017</v>
      </c>
      <c r="AE64" s="389">
        <f t="shared" si="11"/>
        <v>71822.412791666662</v>
      </c>
      <c r="AF64" s="389">
        <f t="shared" si="11"/>
        <v>76821.25</v>
      </c>
      <c r="AG64" s="389">
        <f t="shared" si="11"/>
        <v>35563.031000000003</v>
      </c>
      <c r="AH64" s="389">
        <f t="shared" si="11"/>
        <v>2046536.6619749996</v>
      </c>
      <c r="AI64" s="389">
        <f t="shared" si="11"/>
        <v>32066.105499999998</v>
      </c>
      <c r="AJ64" s="389">
        <f t="shared" si="11"/>
        <v>141237.53115166666</v>
      </c>
      <c r="AK64" s="389">
        <f t="shared" si="11"/>
        <v>0</v>
      </c>
      <c r="AL64" s="389">
        <f t="shared" si="11"/>
        <v>102472.53600000002</v>
      </c>
      <c r="AM64" s="389">
        <f t="shared" si="11"/>
        <v>78404.757500000007</v>
      </c>
      <c r="AN64" s="389">
        <f t="shared" si="11"/>
        <v>30482.597999999998</v>
      </c>
    </row>
    <row r="65" spans="2:40" s="8" customFormat="1" ht="13.15" customHeight="1" x14ac:dyDescent="0.2">
      <c r="B65" s="388" t="s">
        <v>1348</v>
      </c>
      <c r="C65" s="420"/>
      <c r="D65" s="388"/>
      <c r="E65" s="389">
        <f t="shared" ref="E65:AN65" si="12">SUMIFS(E3:E62,$C$3:$C$62,1)</f>
        <v>12336740.716058338</v>
      </c>
      <c r="F65" s="389">
        <f t="shared" si="12"/>
        <v>2100360.0165333338</v>
      </c>
      <c r="G65" s="389">
        <f t="shared" si="12"/>
        <v>18895.711608333335</v>
      </c>
      <c r="H65" s="389">
        <f t="shared" si="12"/>
        <v>54458.742608333334</v>
      </c>
      <c r="I65" s="389">
        <f t="shared" si="12"/>
        <v>27.102499999999999</v>
      </c>
      <c r="J65" s="389">
        <f t="shared" si="12"/>
        <v>106829.59710833334</v>
      </c>
      <c r="K65" s="389">
        <f t="shared" si="12"/>
        <v>168567.84705833331</v>
      </c>
      <c r="L65" s="389">
        <f t="shared" si="12"/>
        <v>18922.814108333336</v>
      </c>
      <c r="M65" s="389">
        <f t="shared" si="12"/>
        <v>2067817.5970833334</v>
      </c>
      <c r="N65" s="389">
        <f t="shared" si="12"/>
        <v>68210.425000000003</v>
      </c>
      <c r="O65" s="389">
        <f t="shared" si="12"/>
        <v>40202.679608333332</v>
      </c>
      <c r="P65" s="389">
        <f t="shared" si="12"/>
        <v>95666.192058333312</v>
      </c>
      <c r="Q65" s="389">
        <f t="shared" si="12"/>
        <v>18949.916608333337</v>
      </c>
      <c r="R65" s="389">
        <f t="shared" si="12"/>
        <v>199490.41760833343</v>
      </c>
      <c r="S65" s="389">
        <f t="shared" si="12"/>
        <v>1583.5074999999999</v>
      </c>
      <c r="T65" s="389">
        <f t="shared" si="12"/>
        <v>2018273.4315833335</v>
      </c>
      <c r="U65" s="389">
        <f t="shared" si="12"/>
        <v>90217.29455833332</v>
      </c>
      <c r="V65" s="389">
        <f t="shared" si="12"/>
        <v>87106.136608333371</v>
      </c>
      <c r="W65" s="389">
        <f t="shared" si="12"/>
        <v>56042.250108333341</v>
      </c>
      <c r="X65" s="389">
        <f t="shared" si="12"/>
        <v>27.102499999999999</v>
      </c>
      <c r="Y65" s="389">
        <f t="shared" si="12"/>
        <v>115494.62710833334</v>
      </c>
      <c r="Z65" s="389">
        <f t="shared" si="12"/>
        <v>163849.51455833335</v>
      </c>
      <c r="AA65" s="389">
        <f t="shared" si="12"/>
        <v>2000106.3760833335</v>
      </c>
      <c r="AB65" s="389">
        <f t="shared" si="12"/>
        <v>54485.845108333335</v>
      </c>
      <c r="AC65" s="389">
        <f t="shared" si="12"/>
        <v>54.204999999999998</v>
      </c>
      <c r="AD65" s="389">
        <f t="shared" si="12"/>
        <v>106829.59710833334</v>
      </c>
      <c r="AE65" s="389">
        <f t="shared" si="12"/>
        <v>91746.597058333311</v>
      </c>
      <c r="AF65" s="389">
        <f t="shared" si="12"/>
        <v>95716.961608333339</v>
      </c>
      <c r="AG65" s="389">
        <f t="shared" si="12"/>
        <v>54512.947608333336</v>
      </c>
      <c r="AH65" s="389">
        <f t="shared" si="12"/>
        <v>2047837.581975</v>
      </c>
      <c r="AI65" s="389">
        <f t="shared" si="12"/>
        <v>40202.679608333332</v>
      </c>
      <c r="AJ65" s="389">
        <f t="shared" si="12"/>
        <v>95639.089558333319</v>
      </c>
      <c r="AK65" s="389">
        <f t="shared" si="12"/>
        <v>18949.916608333337</v>
      </c>
      <c r="AL65" s="389">
        <f t="shared" si="12"/>
        <v>122642.06510833337</v>
      </c>
      <c r="AM65" s="389">
        <f t="shared" si="12"/>
        <v>78404.757500000007</v>
      </c>
      <c r="AN65" s="389">
        <f t="shared" si="12"/>
        <v>38619.172108333332</v>
      </c>
    </row>
    <row r="66" spans="2:40" s="8" customFormat="1" ht="13.15" customHeight="1" x14ac:dyDescent="0.2">
      <c r="B66" s="388" t="s">
        <v>1349</v>
      </c>
      <c r="C66" s="420"/>
      <c r="D66" s="388"/>
      <c r="E66" s="389">
        <f t="shared" ref="E66:AN66" si="13">SUMIFS(E3:E62,$C$3:$C$62,24)</f>
        <v>301744.15990500001</v>
      </c>
      <c r="F66" s="389">
        <f t="shared" si="13"/>
        <v>88748.282325000007</v>
      </c>
      <c r="G66" s="389">
        <f t="shared" si="13"/>
        <v>0</v>
      </c>
      <c r="H66" s="389">
        <f t="shared" si="13"/>
        <v>0</v>
      </c>
      <c r="I66" s="389">
        <f t="shared" si="13"/>
        <v>0</v>
      </c>
      <c r="J66" s="389">
        <f t="shared" si="13"/>
        <v>0</v>
      </c>
      <c r="K66" s="389">
        <f t="shared" si="13"/>
        <v>0</v>
      </c>
      <c r="L66" s="389">
        <f t="shared" si="13"/>
        <v>0</v>
      </c>
      <c r="M66" s="389">
        <f t="shared" si="13"/>
        <v>0</v>
      </c>
      <c r="N66" s="389">
        <f t="shared" si="13"/>
        <v>0</v>
      </c>
      <c r="O66" s="389">
        <f t="shared" si="13"/>
        <v>0</v>
      </c>
      <c r="P66" s="389">
        <f t="shared" si="13"/>
        <v>70998.62586</v>
      </c>
      <c r="Q66" s="389">
        <f t="shared" si="13"/>
        <v>0</v>
      </c>
      <c r="R66" s="389">
        <f t="shared" si="13"/>
        <v>0</v>
      </c>
      <c r="S66" s="389">
        <f t="shared" si="13"/>
        <v>0</v>
      </c>
      <c r="T66" s="389">
        <f t="shared" si="13"/>
        <v>0</v>
      </c>
      <c r="U66" s="389">
        <f t="shared" si="13"/>
        <v>0</v>
      </c>
      <c r="V66" s="389">
        <f t="shared" si="13"/>
        <v>0</v>
      </c>
      <c r="W66" s="389">
        <f t="shared" si="13"/>
        <v>0</v>
      </c>
      <c r="X66" s="389">
        <f t="shared" si="13"/>
        <v>0</v>
      </c>
      <c r="Y66" s="389">
        <f t="shared" si="13"/>
        <v>0</v>
      </c>
      <c r="Z66" s="389">
        <f t="shared" si="13"/>
        <v>70998.62586</v>
      </c>
      <c r="AA66" s="389">
        <f t="shared" si="13"/>
        <v>0</v>
      </c>
      <c r="AB66" s="389">
        <f t="shared" si="13"/>
        <v>0</v>
      </c>
      <c r="AC66" s="389">
        <f t="shared" si="13"/>
        <v>0</v>
      </c>
      <c r="AD66" s="389">
        <f t="shared" si="13"/>
        <v>0</v>
      </c>
      <c r="AE66" s="389">
        <f t="shared" si="13"/>
        <v>0</v>
      </c>
      <c r="AF66" s="389">
        <f t="shared" si="13"/>
        <v>0</v>
      </c>
      <c r="AG66" s="389">
        <f t="shared" si="13"/>
        <v>0</v>
      </c>
      <c r="AH66" s="389">
        <f t="shared" si="13"/>
        <v>0</v>
      </c>
      <c r="AI66" s="389">
        <f t="shared" si="13"/>
        <v>0</v>
      </c>
      <c r="AJ66" s="389">
        <f t="shared" si="13"/>
        <v>70998.62586</v>
      </c>
      <c r="AK66" s="389">
        <f t="shared" si="13"/>
        <v>0</v>
      </c>
      <c r="AL66" s="389">
        <f t="shared" si="13"/>
        <v>0</v>
      </c>
      <c r="AM66" s="389">
        <f t="shared" si="13"/>
        <v>0</v>
      </c>
      <c r="AN66" s="389">
        <f t="shared" si="13"/>
        <v>0</v>
      </c>
    </row>
    <row r="67" spans="2:40" ht="13.15" customHeight="1" x14ac:dyDescent="0.2">
      <c r="E67" s="406"/>
    </row>
    <row r="68" spans="2:40" s="8" customFormat="1" ht="13.15" customHeight="1" x14ac:dyDescent="0.2">
      <c r="B68" s="390" t="s">
        <v>1350</v>
      </c>
      <c r="C68" s="413"/>
      <c r="D68" s="169" t="s">
        <v>1330</v>
      </c>
      <c r="E68" s="169" t="s">
        <v>1057</v>
      </c>
      <c r="F68" s="169" t="s">
        <v>708</v>
      </c>
      <c r="G68" s="169" t="s">
        <v>709</v>
      </c>
      <c r="H68" s="169" t="s">
        <v>710</v>
      </c>
      <c r="I68" s="169" t="s">
        <v>711</v>
      </c>
      <c r="J68" s="169" t="s">
        <v>712</v>
      </c>
      <c r="K68" s="169" t="s">
        <v>713</v>
      </c>
      <c r="L68" s="169" t="s">
        <v>714</v>
      </c>
      <c r="M68" s="169" t="s">
        <v>715</v>
      </c>
      <c r="N68" s="169" t="s">
        <v>716</v>
      </c>
      <c r="O68" s="169" t="s">
        <v>717</v>
      </c>
      <c r="P68" s="169" t="s">
        <v>718</v>
      </c>
      <c r="Q68" s="169" t="s">
        <v>719</v>
      </c>
      <c r="R68" s="169" t="s">
        <v>720</v>
      </c>
      <c r="S68" s="169" t="s">
        <v>721</v>
      </c>
      <c r="T68" s="169" t="s">
        <v>722</v>
      </c>
      <c r="U68" s="169" t="s">
        <v>723</v>
      </c>
      <c r="V68" s="169" t="s">
        <v>724</v>
      </c>
      <c r="W68" s="169" t="s">
        <v>725</v>
      </c>
      <c r="X68" s="169" t="s">
        <v>726</v>
      </c>
      <c r="Y68" s="169" t="s">
        <v>727</v>
      </c>
      <c r="Z68" s="169" t="s">
        <v>728</v>
      </c>
      <c r="AA68" s="169" t="s">
        <v>729</v>
      </c>
      <c r="AB68" s="169" t="s">
        <v>730</v>
      </c>
      <c r="AC68" s="169" t="s">
        <v>731</v>
      </c>
      <c r="AD68" s="169" t="s">
        <v>732</v>
      </c>
      <c r="AE68" s="169" t="s">
        <v>733</v>
      </c>
      <c r="AF68" s="169" t="s">
        <v>734</v>
      </c>
      <c r="AG68" s="169" t="s">
        <v>735</v>
      </c>
      <c r="AH68" s="169" t="s">
        <v>736</v>
      </c>
      <c r="AI68" s="169" t="s">
        <v>737</v>
      </c>
      <c r="AJ68" s="169" t="s">
        <v>738</v>
      </c>
      <c r="AK68" s="169" t="s">
        <v>739</v>
      </c>
      <c r="AL68" s="169" t="s">
        <v>740</v>
      </c>
      <c r="AM68" s="169" t="s">
        <v>741</v>
      </c>
      <c r="AN68" s="169" t="s">
        <v>742</v>
      </c>
    </row>
    <row r="69" spans="2:40" s="8" customFormat="1" ht="13.15" customHeight="1" x14ac:dyDescent="0.2">
      <c r="B69" s="323" t="s">
        <v>1351</v>
      </c>
      <c r="C69" s="418"/>
      <c r="D69" s="391" t="s">
        <v>1346</v>
      </c>
      <c r="E69" s="392">
        <f t="shared" ref="E69:E154" si="14">SUM(F69:AN69)</f>
        <v>0</v>
      </c>
      <c r="F69" s="387">
        <f>IF($D69="Sim",'07 - Custos com pessoal'!C16*9.25%,0)</f>
        <v>0</v>
      </c>
      <c r="G69" s="387">
        <f>IF($D69="Sim",'07 - Custos com pessoal'!D16*9.25%,0)</f>
        <v>0</v>
      </c>
      <c r="H69" s="387">
        <f>IF($D69="Sim",'07 - Custos com pessoal'!E16*9.25%,0)</f>
        <v>0</v>
      </c>
      <c r="I69" s="387">
        <f>IF($D69="Sim",'07 - Custos com pessoal'!F16*9.25%,0)</f>
        <v>0</v>
      </c>
      <c r="J69" s="387">
        <f>IF($D69="Sim",'07 - Custos com pessoal'!G16*9.25%,0)</f>
        <v>0</v>
      </c>
      <c r="K69" s="387">
        <f>IF($D69="Sim",'07 - Custos com pessoal'!H16*9.25%,0)</f>
        <v>0</v>
      </c>
      <c r="L69" s="387">
        <f>IF($D69="Sim",'07 - Custos com pessoal'!I16*9.25%,0)</f>
        <v>0</v>
      </c>
      <c r="M69" s="387">
        <f>IF($D69="Sim",'07 - Custos com pessoal'!J16*9.25%,0)</f>
        <v>0</v>
      </c>
      <c r="N69" s="387">
        <f>IF($D69="Sim",'07 - Custos com pessoal'!K16*9.25%,0)</f>
        <v>0</v>
      </c>
      <c r="O69" s="387">
        <f>IF($D69="Sim",'07 - Custos com pessoal'!L16*9.25%,0)</f>
        <v>0</v>
      </c>
      <c r="P69" s="387">
        <f>IF($D69="Sim",'07 - Custos com pessoal'!M16*9.25%,0)</f>
        <v>0</v>
      </c>
      <c r="Q69" s="387">
        <f>IF($D69="Sim",'07 - Custos com pessoal'!N16*9.25%,0)</f>
        <v>0</v>
      </c>
      <c r="R69" s="387">
        <f>IF($D69="Sim",'07 - Custos com pessoal'!O16*9.25%,0)</f>
        <v>0</v>
      </c>
      <c r="S69" s="387">
        <f>IF($D69="Sim",'07 - Custos com pessoal'!P16*9.25%,0)</f>
        <v>0</v>
      </c>
      <c r="T69" s="387">
        <f>IF($D69="Sim",'07 - Custos com pessoal'!Q16*9.25%,0)</f>
        <v>0</v>
      </c>
      <c r="U69" s="387">
        <f>IF($D69="Sim",'07 - Custos com pessoal'!R16*9.25%,0)</f>
        <v>0</v>
      </c>
      <c r="V69" s="387">
        <f>IF($D69="Sim",'07 - Custos com pessoal'!S16*9.25%,0)</f>
        <v>0</v>
      </c>
      <c r="W69" s="387">
        <f>IF($D69="Sim",'07 - Custos com pessoal'!T16*9.25%,0)</f>
        <v>0</v>
      </c>
      <c r="X69" s="387">
        <f>IF($D69="Sim",'07 - Custos com pessoal'!U16*9.25%,0)</f>
        <v>0</v>
      </c>
      <c r="Y69" s="387">
        <f>IF($D69="Sim",'07 - Custos com pessoal'!V16*9.25%,0)</f>
        <v>0</v>
      </c>
      <c r="Z69" s="387">
        <f>IF($D69="Sim",'07 - Custos com pessoal'!W16*9.25%,0)</f>
        <v>0</v>
      </c>
      <c r="AA69" s="387">
        <f>IF($D69="Sim",'07 - Custos com pessoal'!X16*9.25%,0)</f>
        <v>0</v>
      </c>
      <c r="AB69" s="387">
        <f>IF($D69="Sim",'07 - Custos com pessoal'!Y16*9.25%,0)</f>
        <v>0</v>
      </c>
      <c r="AC69" s="387">
        <f>IF($D69="Sim",'07 - Custos com pessoal'!Z16*9.25%,0)</f>
        <v>0</v>
      </c>
      <c r="AD69" s="387">
        <f>IF($D69="Sim",'07 - Custos com pessoal'!AA16*9.25%,0)</f>
        <v>0</v>
      </c>
      <c r="AE69" s="387">
        <f>IF($D69="Sim",'07 - Custos com pessoal'!AB16*9.25%,0)</f>
        <v>0</v>
      </c>
      <c r="AF69" s="387">
        <f>IF($D69="Sim",'07 - Custos com pessoal'!AC16*9.25%,0)</f>
        <v>0</v>
      </c>
      <c r="AG69" s="387">
        <f>IF($D69="Sim",'07 - Custos com pessoal'!AD16*9.25%,0)</f>
        <v>0</v>
      </c>
      <c r="AH69" s="387">
        <f>IF($D69="Sim",'07 - Custos com pessoal'!AE16*9.25%,0)</f>
        <v>0</v>
      </c>
      <c r="AI69" s="387">
        <f>IF($D69="Sim",'07 - Custos com pessoal'!AF16*9.25%,0)</f>
        <v>0</v>
      </c>
      <c r="AJ69" s="387">
        <f>IF($D69="Sim",'07 - Custos com pessoal'!AG16*9.25%,0)</f>
        <v>0</v>
      </c>
      <c r="AK69" s="387">
        <f>IF($D69="Sim",'07 - Custos com pessoal'!AH16*9.25%,0)</f>
        <v>0</v>
      </c>
      <c r="AL69" s="387">
        <f>IF($D69="Sim",'07 - Custos com pessoal'!AI16*9.25%,0)</f>
        <v>0</v>
      </c>
      <c r="AM69" s="387">
        <f>IF($D69="Sim",'07 - Custos com pessoal'!AJ16*9.25%,0)</f>
        <v>0</v>
      </c>
      <c r="AN69" s="387">
        <f>IF($D69="Sim",'07 - Custos com pessoal'!AK16*9.25%,0)</f>
        <v>0</v>
      </c>
    </row>
    <row r="70" spans="2:40" s="8" customFormat="1" ht="13.15" customHeight="1" x14ac:dyDescent="0.2">
      <c r="B70" s="323" t="s">
        <v>1352</v>
      </c>
      <c r="C70" s="418"/>
      <c r="D70" s="391" t="s">
        <v>1333</v>
      </c>
      <c r="E70" s="392">
        <f t="shared" si="14"/>
        <v>2233412.9828500003</v>
      </c>
      <c r="F70" s="387">
        <f>IF($D70="Sim",'08 - Custos com EPI e uniformes'!S5*9.25%,0)</f>
        <v>59994.201300000008</v>
      </c>
      <c r="G70" s="387">
        <f>IF($D70="Sim",'08 - Custos com EPI e uniformes'!T5*9.25%,0)</f>
        <v>60424.646350000017</v>
      </c>
      <c r="H70" s="387">
        <f>IF($D70="Sim",'08 - Custos com EPI e uniformes'!U5*9.25%,0)</f>
        <v>60639.868875000015</v>
      </c>
      <c r="I70" s="387">
        <f>IF($D70="Sim",'08 - Custos com EPI e uniformes'!V5*9.25%,0)</f>
        <v>60863.662450000011</v>
      </c>
      <c r="J70" s="387">
        <f>IF($D70="Sim",'08 - Custos com EPI e uniformes'!W5*9.25%,0)</f>
        <v>61078.884975000008</v>
      </c>
      <c r="K70" s="387">
        <f>IF($D70="Sim",'08 - Custos com EPI e uniformes'!X5*9.25%,0)</f>
        <v>63248.172775000014</v>
      </c>
      <c r="L70" s="387">
        <f>IF($D70="Sim",'08 - Custos com EPI e uniformes'!Y5*9.25%,0)</f>
        <v>63471.966350000017</v>
      </c>
      <c r="M70" s="387">
        <f>IF($D70="Sim",'08 - Custos com EPI e uniformes'!Z5*9.25%,0)</f>
        <v>64344.258000000016</v>
      </c>
      <c r="N70" s="387">
        <f>IF($D70="Sim",'08 - Custos com EPI e uniformes'!AA5*9.25%,0)</f>
        <v>64344.258000000016</v>
      </c>
      <c r="O70" s="387">
        <f>IF($D70="Sim",'08 - Custos com EPI e uniformes'!AB5*9.25%,0)</f>
        <v>64344.258000000016</v>
      </c>
      <c r="P70" s="387">
        <f>IF($D70="Sim",'08 - Custos com EPI e uniformes'!AC5*9.25%,0)</f>
        <v>64344.258000000016</v>
      </c>
      <c r="Q70" s="387">
        <f>IF($D70="Sim",'08 - Custos com EPI e uniformes'!AD5*9.25%,0)</f>
        <v>64568.05157500002</v>
      </c>
      <c r="R70" s="387">
        <f>IF($D70="Sim",'08 - Custos com EPI e uniformes'!AE5*9.25%,0)</f>
        <v>64568.05157500002</v>
      </c>
      <c r="S70" s="387">
        <f>IF($D70="Sim",'08 - Custos com EPI e uniformes'!AF5*9.25%,0)</f>
        <v>64568.05157500002</v>
      </c>
      <c r="T70" s="387">
        <f>IF($D70="Sim",'08 - Custos com EPI e uniformes'!AG5*9.25%,0)</f>
        <v>64568.05157500002</v>
      </c>
      <c r="U70" s="387">
        <f>IF($D70="Sim",'08 - Custos com EPI e uniformes'!AH5*9.25%,0)</f>
        <v>64568.05157500002</v>
      </c>
      <c r="V70" s="387">
        <f>IF($D70="Sim",'08 - Custos com EPI e uniformes'!AI5*9.25%,0)</f>
        <v>64568.05157500002</v>
      </c>
      <c r="W70" s="387">
        <f>IF($D70="Sim",'08 - Custos com EPI e uniformes'!AJ5*9.25%,0)</f>
        <v>64568.05157500002</v>
      </c>
      <c r="X70" s="387">
        <f>IF($D70="Sim",'08 - Custos com EPI e uniformes'!AK5*9.25%,0)</f>
        <v>64568.05157500002</v>
      </c>
      <c r="Y70" s="387">
        <f>IF($D70="Sim",'08 - Custos com EPI e uniformes'!AL5*9.25%,0)</f>
        <v>64568.05157500002</v>
      </c>
      <c r="Z70" s="387">
        <f>IF($D70="Sim",'08 - Custos com EPI e uniformes'!AM5*9.25%,0)</f>
        <v>64568.05157500002</v>
      </c>
      <c r="AA70" s="387">
        <f>IF($D70="Sim",'08 - Custos com EPI e uniformes'!AN5*9.25%,0)</f>
        <v>64568.05157500002</v>
      </c>
      <c r="AB70" s="387">
        <f>IF($D70="Sim",'08 - Custos com EPI e uniformes'!AO5*9.25%,0)</f>
        <v>64568.05157500002</v>
      </c>
      <c r="AC70" s="387">
        <f>IF($D70="Sim",'08 - Custos com EPI e uniformes'!AP5*9.25%,0)</f>
        <v>64568.05157500002</v>
      </c>
      <c r="AD70" s="387">
        <f>IF($D70="Sim",'08 - Custos com EPI e uniformes'!AQ5*9.25%,0)</f>
        <v>64568.05157500002</v>
      </c>
      <c r="AE70" s="387">
        <f>IF($D70="Sim",'08 - Custos com EPI e uniformes'!AR5*9.25%,0)</f>
        <v>64568.05157500002</v>
      </c>
      <c r="AF70" s="387">
        <f>IF($D70="Sim",'08 - Custos com EPI e uniformes'!AS5*9.25%,0)</f>
        <v>64344.258000000016</v>
      </c>
      <c r="AG70" s="387">
        <f>IF($D70="Sim",'08 - Custos com EPI e uniformes'!AT5*9.25%,0)</f>
        <v>64344.258000000016</v>
      </c>
      <c r="AH70" s="387">
        <f>IF($D70="Sim",'08 - Custos com EPI e uniformes'!AU5*9.25%,0)</f>
        <v>64344.258000000016</v>
      </c>
      <c r="AI70" s="387">
        <f>IF($D70="Sim",'08 - Custos com EPI e uniformes'!AV5*9.25%,0)</f>
        <v>64344.258000000016</v>
      </c>
      <c r="AJ70" s="387">
        <f>IF($D70="Sim",'08 - Custos com EPI e uniformes'!AW5*9.25%,0)</f>
        <v>64217.624575000016</v>
      </c>
      <c r="AK70" s="387">
        <f>IF($D70="Sim",'08 - Custos com EPI e uniformes'!AX5*9.25%,0)</f>
        <v>64217.624575000016</v>
      </c>
      <c r="AL70" s="387">
        <f>IF($D70="Sim",'08 - Custos com EPI e uniformes'!AY5*9.25%,0)</f>
        <v>63993.831000000013</v>
      </c>
      <c r="AM70" s="387">
        <f>IF($D70="Sim",'08 - Custos com EPI e uniformes'!AZ5*9.25%,0)</f>
        <v>63993.831000000013</v>
      </c>
      <c r="AN70" s="387">
        <f>IF($D70="Sim",'08 - Custos com EPI e uniformes'!BA5*9.25%,0)</f>
        <v>63993.831000000013</v>
      </c>
    </row>
    <row r="71" spans="2:40" s="8" customFormat="1" ht="13.15" customHeight="1" x14ac:dyDescent="0.2">
      <c r="B71" s="323" t="s">
        <v>1353</v>
      </c>
      <c r="C71" s="418"/>
      <c r="D71" s="391"/>
      <c r="E71" s="392">
        <f t="shared" ref="E71:AN71" si="15">SUM(E72:E104)</f>
        <v>10912334.463025432</v>
      </c>
      <c r="F71" s="392">
        <f t="shared" si="15"/>
        <v>285577.47599328181</v>
      </c>
      <c r="G71" s="392">
        <f t="shared" si="15"/>
        <v>285577.47599328181</v>
      </c>
      <c r="H71" s="392">
        <f t="shared" si="15"/>
        <v>285577.47599328181</v>
      </c>
      <c r="I71" s="392">
        <f t="shared" si="15"/>
        <v>285577.47599328181</v>
      </c>
      <c r="J71" s="392">
        <f t="shared" si="15"/>
        <v>285577.47599328181</v>
      </c>
      <c r="K71" s="392">
        <f t="shared" si="15"/>
        <v>304849.51149228594</v>
      </c>
      <c r="L71" s="392">
        <f t="shared" si="15"/>
        <v>304849.51149228594</v>
      </c>
      <c r="M71" s="392">
        <f t="shared" si="15"/>
        <v>316955.28785980196</v>
      </c>
      <c r="N71" s="392">
        <f t="shared" si="15"/>
        <v>316955.28785980196</v>
      </c>
      <c r="O71" s="392">
        <f t="shared" si="15"/>
        <v>316955.28785980196</v>
      </c>
      <c r="P71" s="392">
        <f t="shared" si="15"/>
        <v>316955.28785980196</v>
      </c>
      <c r="Q71" s="392">
        <f t="shared" si="15"/>
        <v>316955.28785980196</v>
      </c>
      <c r="R71" s="392">
        <f t="shared" si="15"/>
        <v>316955.28785980196</v>
      </c>
      <c r="S71" s="392">
        <f t="shared" si="15"/>
        <v>316955.28785980196</v>
      </c>
      <c r="T71" s="392">
        <f t="shared" si="15"/>
        <v>316955.28785980196</v>
      </c>
      <c r="U71" s="392">
        <f t="shared" si="15"/>
        <v>316955.28785980196</v>
      </c>
      <c r="V71" s="392">
        <f t="shared" si="15"/>
        <v>316955.28785980196</v>
      </c>
      <c r="W71" s="392">
        <f t="shared" si="15"/>
        <v>316955.28785980196</v>
      </c>
      <c r="X71" s="392">
        <f t="shared" si="15"/>
        <v>316955.28785980196</v>
      </c>
      <c r="Y71" s="392">
        <f t="shared" si="15"/>
        <v>316955.28785980196</v>
      </c>
      <c r="Z71" s="392">
        <f t="shared" si="15"/>
        <v>316955.28785980196</v>
      </c>
      <c r="AA71" s="392">
        <f t="shared" si="15"/>
        <v>316955.28785980196</v>
      </c>
      <c r="AB71" s="392">
        <f t="shared" si="15"/>
        <v>316955.28785980196</v>
      </c>
      <c r="AC71" s="392">
        <f t="shared" si="15"/>
        <v>316955.28785980196</v>
      </c>
      <c r="AD71" s="392">
        <f t="shared" si="15"/>
        <v>316955.28785980196</v>
      </c>
      <c r="AE71" s="392">
        <f t="shared" si="15"/>
        <v>316955.28785980196</v>
      </c>
      <c r="AF71" s="392">
        <f t="shared" si="15"/>
        <v>316955.28785980196</v>
      </c>
      <c r="AG71" s="392">
        <f t="shared" si="15"/>
        <v>316955.28785980196</v>
      </c>
      <c r="AH71" s="392">
        <f t="shared" si="15"/>
        <v>316955.28785980196</v>
      </c>
      <c r="AI71" s="392">
        <f t="shared" si="15"/>
        <v>316955.28785980196</v>
      </c>
      <c r="AJ71" s="392">
        <f t="shared" si="15"/>
        <v>316955.28785980196</v>
      </c>
      <c r="AK71" s="392">
        <f t="shared" si="15"/>
        <v>316955.28785980196</v>
      </c>
      <c r="AL71" s="392">
        <f t="shared" si="15"/>
        <v>316955.28785980196</v>
      </c>
      <c r="AM71" s="392">
        <f t="shared" si="15"/>
        <v>316955.28785980196</v>
      </c>
      <c r="AN71" s="392">
        <f t="shared" si="15"/>
        <v>316955.28785980196</v>
      </c>
    </row>
    <row r="72" spans="2:40" ht="13.15" customHeight="1" outlineLevel="1" x14ac:dyDescent="0.2">
      <c r="B72" s="404" t="s">
        <v>864</v>
      </c>
      <c r="C72" s="413"/>
      <c r="D72" s="299" t="s">
        <v>1333</v>
      </c>
      <c r="E72" s="407">
        <f t="shared" si="14"/>
        <v>4308086.8599999975</v>
      </c>
      <c r="F72" s="402">
        <f>IF($D72="Sim",'09 -Combustíveis, óleos, graxa '!C10*9.25%,0)</f>
        <v>107702.17149999998</v>
      </c>
      <c r="G72" s="402">
        <f>IF($D72="Sim",'09 -Combustíveis, óleos, graxa '!D10*9.25%,0)</f>
        <v>107702.17149999998</v>
      </c>
      <c r="H72" s="402">
        <f>IF($D72="Sim",'09 -Combustíveis, óleos, graxa '!E10*9.25%,0)</f>
        <v>107702.17149999998</v>
      </c>
      <c r="I72" s="402">
        <f>IF($D72="Sim",'09 -Combustíveis, óleos, graxa '!F10*9.25%,0)</f>
        <v>107702.17149999998</v>
      </c>
      <c r="J72" s="402">
        <f>IF($D72="Sim",'09 -Combustíveis, óleos, graxa '!G10*9.25%,0)</f>
        <v>107702.17149999998</v>
      </c>
      <c r="K72" s="402">
        <f>IF($D72="Sim",'09 -Combustíveis, óleos, graxa '!H10*9.25%,0)</f>
        <v>125652.53341666664</v>
      </c>
      <c r="L72" s="402">
        <f>IF($D72="Sim",'09 -Combustíveis, óleos, graxa '!I10*9.25%,0)</f>
        <v>125652.53341666664</v>
      </c>
      <c r="M72" s="402">
        <f>IF($D72="Sim",'09 -Combustíveis, óleos, graxa '!J10*9.25%,0)</f>
        <v>125652.53341666664</v>
      </c>
      <c r="N72" s="402">
        <f>IF($D72="Sim",'09 -Combustíveis, óleos, graxa '!K10*9.25%,0)</f>
        <v>125652.53341666664</v>
      </c>
      <c r="O72" s="402">
        <f>IF($D72="Sim",'09 -Combustíveis, óleos, graxa '!L10*9.25%,0)</f>
        <v>125652.53341666664</v>
      </c>
      <c r="P72" s="402">
        <f>IF($D72="Sim",'09 -Combustíveis, óleos, graxa '!M10*9.25%,0)</f>
        <v>125652.53341666664</v>
      </c>
      <c r="Q72" s="402">
        <f>IF($D72="Sim",'09 -Combustíveis, óleos, graxa '!N10*9.25%,0)</f>
        <v>125652.53341666664</v>
      </c>
      <c r="R72" s="402">
        <f>IF($D72="Sim",'09 -Combustíveis, óleos, graxa '!O10*9.25%,0)</f>
        <v>125652.53341666664</v>
      </c>
      <c r="S72" s="402">
        <f>IF($D72="Sim",'09 -Combustíveis, óleos, graxa '!P10*9.25%,0)</f>
        <v>125652.53341666664</v>
      </c>
      <c r="T72" s="402">
        <f>IF($D72="Sim",'09 -Combustíveis, óleos, graxa '!Q10*9.25%,0)</f>
        <v>125652.53341666664</v>
      </c>
      <c r="U72" s="402">
        <f>IF($D72="Sim",'09 -Combustíveis, óleos, graxa '!R10*9.25%,0)</f>
        <v>125652.53341666664</v>
      </c>
      <c r="V72" s="402">
        <f>IF($D72="Sim",'09 -Combustíveis, óleos, graxa '!S10*9.25%,0)</f>
        <v>125652.53341666664</v>
      </c>
      <c r="W72" s="402">
        <f>IF($D72="Sim",'09 -Combustíveis, óleos, graxa '!T10*9.25%,0)</f>
        <v>125652.53341666664</v>
      </c>
      <c r="X72" s="402">
        <f>IF($D72="Sim",'09 -Combustíveis, óleos, graxa '!U10*9.25%,0)</f>
        <v>125652.53341666664</v>
      </c>
      <c r="Y72" s="402">
        <f>IF($D72="Sim",'09 -Combustíveis, óleos, graxa '!V10*9.25%,0)</f>
        <v>125652.53341666664</v>
      </c>
      <c r="Z72" s="402">
        <f>IF($D72="Sim",'09 -Combustíveis, óleos, graxa '!W10*9.25%,0)</f>
        <v>125652.53341666664</v>
      </c>
      <c r="AA72" s="402">
        <f>IF($D72="Sim",'09 -Combustíveis, óleos, graxa '!X10*9.25%,0)</f>
        <v>125652.53341666664</v>
      </c>
      <c r="AB72" s="402">
        <f>IF($D72="Sim",'09 -Combustíveis, óleos, graxa '!Y10*9.25%,0)</f>
        <v>125652.53341666664</v>
      </c>
      <c r="AC72" s="402">
        <f>IF($D72="Sim",'09 -Combustíveis, óleos, graxa '!Z10*9.25%,0)</f>
        <v>125652.53341666664</v>
      </c>
      <c r="AD72" s="402">
        <f>IF($D72="Sim",'09 -Combustíveis, óleos, graxa '!AA10*9.25%,0)</f>
        <v>125652.53341666664</v>
      </c>
      <c r="AE72" s="402">
        <f>IF($D72="Sim",'09 -Combustíveis, óleos, graxa '!AB10*9.25%,0)</f>
        <v>125652.53341666664</v>
      </c>
      <c r="AF72" s="402">
        <f>IF($D72="Sim",'09 -Combustíveis, óleos, graxa '!AC10*9.25%,0)</f>
        <v>125652.53341666664</v>
      </c>
      <c r="AG72" s="402">
        <f>IF($D72="Sim",'09 -Combustíveis, óleos, graxa '!AD10*9.25%,0)</f>
        <v>125652.53341666664</v>
      </c>
      <c r="AH72" s="402">
        <f>IF($D72="Sim",'09 -Combustíveis, óleos, graxa '!AE10*9.25%,0)</f>
        <v>125652.53341666664</v>
      </c>
      <c r="AI72" s="402">
        <f>IF($D72="Sim",'09 -Combustíveis, óleos, graxa '!AF10*9.25%,0)</f>
        <v>125652.53341666664</v>
      </c>
      <c r="AJ72" s="402">
        <f>IF($D72="Sim",'09 -Combustíveis, óleos, graxa '!AG10*9.25%,0)</f>
        <v>125652.53341666664</v>
      </c>
      <c r="AK72" s="402">
        <f>IF($D72="Sim",'09 -Combustíveis, óleos, graxa '!AH10*9.25%,0)</f>
        <v>125652.53341666664</v>
      </c>
      <c r="AL72" s="402">
        <f>IF($D72="Sim",'09 -Combustíveis, óleos, graxa '!AI10*9.25%,0)</f>
        <v>125652.53341666664</v>
      </c>
      <c r="AM72" s="402">
        <f>IF($D72="Sim",'09 -Combustíveis, óleos, graxa '!AJ10*9.25%,0)</f>
        <v>125652.53341666664</v>
      </c>
      <c r="AN72" s="402">
        <f>IF($D72="Sim",'09 -Combustíveis, óleos, graxa '!AK10*9.25%,0)</f>
        <v>125652.53341666664</v>
      </c>
    </row>
    <row r="73" spans="2:40" ht="13.15" customHeight="1" outlineLevel="1" x14ac:dyDescent="0.2">
      <c r="B73" s="404" t="s">
        <v>939</v>
      </c>
      <c r="C73" s="413"/>
      <c r="D73" s="299" t="s">
        <v>1333</v>
      </c>
      <c r="E73" s="407">
        <f t="shared" si="14"/>
        <v>105698.26260000005</v>
      </c>
      <c r="F73" s="402">
        <f>IF($D73="Sim",'09 -Combustíveis, óleos, graxa '!C14*9.25%,0)</f>
        <v>3019.9503599999998</v>
      </c>
      <c r="G73" s="402">
        <f>IF($D73="Sim",'09 -Combustíveis, óleos, graxa '!D14*9.25%,0)</f>
        <v>3019.9503599999998</v>
      </c>
      <c r="H73" s="402">
        <f>IF($D73="Sim",'09 -Combustíveis, óleos, graxa '!E14*9.25%,0)</f>
        <v>3019.9503599999998</v>
      </c>
      <c r="I73" s="402">
        <f>IF($D73="Sim",'09 -Combustíveis, óleos, graxa '!F14*9.25%,0)</f>
        <v>3019.9503599999998</v>
      </c>
      <c r="J73" s="402">
        <f>IF($D73="Sim",'09 -Combustíveis, óleos, graxa '!G14*9.25%,0)</f>
        <v>3019.9503599999998</v>
      </c>
      <c r="K73" s="402">
        <f>IF($D73="Sim",'09 -Combustíveis, óleos, graxa '!H14*9.25%,0)</f>
        <v>3019.9503599999998</v>
      </c>
      <c r="L73" s="402">
        <f>IF($D73="Sim",'09 -Combustíveis, óleos, graxa '!I14*9.25%,0)</f>
        <v>3019.9503599999998</v>
      </c>
      <c r="M73" s="402">
        <f>IF($D73="Sim",'09 -Combustíveis, óleos, graxa '!J14*9.25%,0)</f>
        <v>3019.9503599999998</v>
      </c>
      <c r="N73" s="402">
        <f>IF($D73="Sim",'09 -Combustíveis, óleos, graxa '!K14*9.25%,0)</f>
        <v>3019.9503599999998</v>
      </c>
      <c r="O73" s="402">
        <f>IF($D73="Sim",'09 -Combustíveis, óleos, graxa '!L14*9.25%,0)</f>
        <v>3019.9503599999998</v>
      </c>
      <c r="P73" s="402">
        <f>IF($D73="Sim",'09 -Combustíveis, óleos, graxa '!M14*9.25%,0)</f>
        <v>3019.9503599999998</v>
      </c>
      <c r="Q73" s="402">
        <f>IF($D73="Sim",'09 -Combustíveis, óleos, graxa '!N14*9.25%,0)</f>
        <v>3019.9503599999998</v>
      </c>
      <c r="R73" s="402">
        <f>IF($D73="Sim",'09 -Combustíveis, óleos, graxa '!O14*9.25%,0)</f>
        <v>3019.9503599999998</v>
      </c>
      <c r="S73" s="402">
        <f>IF($D73="Sim",'09 -Combustíveis, óleos, graxa '!P14*9.25%,0)</f>
        <v>3019.9503599999998</v>
      </c>
      <c r="T73" s="402">
        <f>IF($D73="Sim",'09 -Combustíveis, óleos, graxa '!Q14*9.25%,0)</f>
        <v>3019.9503599999998</v>
      </c>
      <c r="U73" s="402">
        <f>IF($D73="Sim",'09 -Combustíveis, óleos, graxa '!R14*9.25%,0)</f>
        <v>3019.9503599999998</v>
      </c>
      <c r="V73" s="402">
        <f>IF($D73="Sim",'09 -Combustíveis, óleos, graxa '!S14*9.25%,0)</f>
        <v>3019.9503599999998</v>
      </c>
      <c r="W73" s="402">
        <f>IF($D73="Sim",'09 -Combustíveis, óleos, graxa '!T14*9.25%,0)</f>
        <v>3019.9503599999998</v>
      </c>
      <c r="X73" s="402">
        <f>IF($D73="Sim",'09 -Combustíveis, óleos, graxa '!U14*9.25%,0)</f>
        <v>3019.9503599999998</v>
      </c>
      <c r="Y73" s="402">
        <f>IF($D73="Sim",'09 -Combustíveis, óleos, graxa '!V14*9.25%,0)</f>
        <v>3019.9503599999998</v>
      </c>
      <c r="Z73" s="402">
        <f>IF($D73="Sim",'09 -Combustíveis, óleos, graxa '!W14*9.25%,0)</f>
        <v>3019.9503599999998</v>
      </c>
      <c r="AA73" s="402">
        <f>IF($D73="Sim",'09 -Combustíveis, óleos, graxa '!X14*9.25%,0)</f>
        <v>3019.9503599999998</v>
      </c>
      <c r="AB73" s="402">
        <f>IF($D73="Sim",'09 -Combustíveis, óleos, graxa '!Y14*9.25%,0)</f>
        <v>3019.9503599999998</v>
      </c>
      <c r="AC73" s="402">
        <f>IF($D73="Sim",'09 -Combustíveis, óleos, graxa '!Z14*9.25%,0)</f>
        <v>3019.9503599999998</v>
      </c>
      <c r="AD73" s="402">
        <f>IF($D73="Sim",'09 -Combustíveis, óleos, graxa '!AA14*9.25%,0)</f>
        <v>3019.9503599999998</v>
      </c>
      <c r="AE73" s="402">
        <f>IF($D73="Sim",'09 -Combustíveis, óleos, graxa '!AB14*9.25%,0)</f>
        <v>3019.9503599999998</v>
      </c>
      <c r="AF73" s="402">
        <f>IF($D73="Sim",'09 -Combustíveis, óleos, graxa '!AC14*9.25%,0)</f>
        <v>3019.9503599999998</v>
      </c>
      <c r="AG73" s="402">
        <f>IF($D73="Sim",'09 -Combustíveis, óleos, graxa '!AD14*9.25%,0)</f>
        <v>3019.9503599999998</v>
      </c>
      <c r="AH73" s="402">
        <f>IF($D73="Sim",'09 -Combustíveis, óleos, graxa '!AE14*9.25%,0)</f>
        <v>3019.9503599999998</v>
      </c>
      <c r="AI73" s="402">
        <f>IF($D73="Sim",'09 -Combustíveis, óleos, graxa '!AF14*9.25%,0)</f>
        <v>3019.9503599999998</v>
      </c>
      <c r="AJ73" s="402">
        <f>IF($D73="Sim",'09 -Combustíveis, óleos, graxa '!AG14*9.25%,0)</f>
        <v>3019.9503599999998</v>
      </c>
      <c r="AK73" s="402">
        <f>IF($D73="Sim",'09 -Combustíveis, óleos, graxa '!AH14*9.25%,0)</f>
        <v>3019.9503599999998</v>
      </c>
      <c r="AL73" s="402">
        <f>IF($D73="Sim",'09 -Combustíveis, óleos, graxa '!AI14*9.25%,0)</f>
        <v>3019.9503599999998</v>
      </c>
      <c r="AM73" s="402">
        <f>IF($D73="Sim",'09 -Combustíveis, óleos, graxa '!AJ14*9.25%,0)</f>
        <v>3019.9503599999998</v>
      </c>
      <c r="AN73" s="402">
        <f>IF($D73="Sim",'09 -Combustíveis, óleos, graxa '!AK14*9.25%,0)</f>
        <v>3019.9503599999998</v>
      </c>
    </row>
    <row r="74" spans="2:40" ht="13.15" customHeight="1" outlineLevel="1" x14ac:dyDescent="0.2">
      <c r="B74" s="404" t="s">
        <v>869</v>
      </c>
      <c r="C74" s="413"/>
      <c r="D74" s="299" t="s">
        <v>1333</v>
      </c>
      <c r="E74" s="407">
        <f t="shared" si="14"/>
        <v>3165539.3799119992</v>
      </c>
      <c r="F74" s="402">
        <f>IF($D74="Sim",'09 -Combustíveis, óleos, graxa '!C18*9.25%,0)</f>
        <v>81167.676407999999</v>
      </c>
      <c r="G74" s="402">
        <f>IF($D74="Sim",'09 -Combustíveis, óleos, graxa '!D18*9.25%,0)</f>
        <v>81167.676407999999</v>
      </c>
      <c r="H74" s="402">
        <f>IF($D74="Sim",'09 -Combustíveis, óleos, graxa '!E18*9.25%,0)</f>
        <v>81167.676407999999</v>
      </c>
      <c r="I74" s="402">
        <f>IF($D74="Sim",'09 -Combustíveis, óleos, graxa '!F18*9.25%,0)</f>
        <v>81167.676407999999</v>
      </c>
      <c r="J74" s="402">
        <f>IF($D74="Sim",'09 -Combustíveis, óleos, graxa '!G18*9.25%,0)</f>
        <v>81167.676407999999</v>
      </c>
      <c r="K74" s="402">
        <f>IF($D74="Sim",'09 -Combustíveis, óleos, graxa '!H18*9.25%,0)</f>
        <v>81167.676407999999</v>
      </c>
      <c r="L74" s="402">
        <f>IF($D74="Sim",'09 -Combustíveis, óleos, graxa '!I18*9.25%,0)</f>
        <v>81167.676407999999</v>
      </c>
      <c r="M74" s="402">
        <f>IF($D74="Sim",'09 -Combustíveis, óleos, graxa '!J18*9.25%,0)</f>
        <v>92763.058751999997</v>
      </c>
      <c r="N74" s="402">
        <f>IF($D74="Sim",'09 -Combustíveis, óleos, graxa '!K18*9.25%,0)</f>
        <v>92763.058751999997</v>
      </c>
      <c r="O74" s="402">
        <f>IF($D74="Sim",'09 -Combustíveis, óleos, graxa '!L18*9.25%,0)</f>
        <v>92763.058751999997</v>
      </c>
      <c r="P74" s="402">
        <f>IF($D74="Sim",'09 -Combustíveis, óleos, graxa '!M18*9.25%,0)</f>
        <v>92763.058751999997</v>
      </c>
      <c r="Q74" s="402">
        <f>IF($D74="Sim",'09 -Combustíveis, óleos, graxa '!N18*9.25%,0)</f>
        <v>92763.058751999997</v>
      </c>
      <c r="R74" s="402">
        <f>IF($D74="Sim",'09 -Combustíveis, óleos, graxa '!O18*9.25%,0)</f>
        <v>92763.058751999997</v>
      </c>
      <c r="S74" s="402">
        <f>IF($D74="Sim",'09 -Combustíveis, óleos, graxa '!P18*9.25%,0)</f>
        <v>92763.058751999997</v>
      </c>
      <c r="T74" s="402">
        <f>IF($D74="Sim",'09 -Combustíveis, óleos, graxa '!Q18*9.25%,0)</f>
        <v>92763.058751999997</v>
      </c>
      <c r="U74" s="402">
        <f>IF($D74="Sim",'09 -Combustíveis, óleos, graxa '!R18*9.25%,0)</f>
        <v>92763.058751999997</v>
      </c>
      <c r="V74" s="402">
        <f>IF($D74="Sim",'09 -Combustíveis, óleos, graxa '!S18*9.25%,0)</f>
        <v>92763.058751999997</v>
      </c>
      <c r="W74" s="402">
        <f>IF($D74="Sim",'09 -Combustíveis, óleos, graxa '!T18*9.25%,0)</f>
        <v>92763.058751999997</v>
      </c>
      <c r="X74" s="402">
        <f>IF($D74="Sim",'09 -Combustíveis, óleos, graxa '!U18*9.25%,0)</f>
        <v>92763.058751999997</v>
      </c>
      <c r="Y74" s="402">
        <f>IF($D74="Sim",'09 -Combustíveis, óleos, graxa '!V18*9.25%,0)</f>
        <v>92763.058751999997</v>
      </c>
      <c r="Z74" s="402">
        <f>IF($D74="Sim",'09 -Combustíveis, óleos, graxa '!W18*9.25%,0)</f>
        <v>92763.058751999997</v>
      </c>
      <c r="AA74" s="402">
        <f>IF($D74="Sim",'09 -Combustíveis, óleos, graxa '!X18*9.25%,0)</f>
        <v>92763.058751999997</v>
      </c>
      <c r="AB74" s="402">
        <f>IF($D74="Sim",'09 -Combustíveis, óleos, graxa '!Y18*9.25%,0)</f>
        <v>92763.058751999997</v>
      </c>
      <c r="AC74" s="402">
        <f>IF($D74="Sim",'09 -Combustíveis, óleos, graxa '!Z18*9.25%,0)</f>
        <v>92763.058751999997</v>
      </c>
      <c r="AD74" s="402">
        <f>IF($D74="Sim",'09 -Combustíveis, óleos, graxa '!AA18*9.25%,0)</f>
        <v>92763.058751999997</v>
      </c>
      <c r="AE74" s="402">
        <f>IF($D74="Sim",'09 -Combustíveis, óleos, graxa '!AB18*9.25%,0)</f>
        <v>92763.058751999997</v>
      </c>
      <c r="AF74" s="402">
        <f>IF($D74="Sim",'09 -Combustíveis, óleos, graxa '!AC18*9.25%,0)</f>
        <v>92763.058751999997</v>
      </c>
      <c r="AG74" s="402">
        <f>IF($D74="Sim",'09 -Combustíveis, óleos, graxa '!AD18*9.25%,0)</f>
        <v>92763.058751999997</v>
      </c>
      <c r="AH74" s="402">
        <f>IF($D74="Sim",'09 -Combustíveis, óleos, graxa '!AE18*9.25%,0)</f>
        <v>92763.058751999997</v>
      </c>
      <c r="AI74" s="402">
        <f>IF($D74="Sim",'09 -Combustíveis, óleos, graxa '!AF18*9.25%,0)</f>
        <v>92763.058751999997</v>
      </c>
      <c r="AJ74" s="402">
        <f>IF($D74="Sim",'09 -Combustíveis, óleos, graxa '!AG18*9.25%,0)</f>
        <v>92763.058751999997</v>
      </c>
      <c r="AK74" s="402">
        <f>IF($D74="Sim",'09 -Combustíveis, óleos, graxa '!AH18*9.25%,0)</f>
        <v>92763.058751999997</v>
      </c>
      <c r="AL74" s="402">
        <f>IF($D74="Sim",'09 -Combustíveis, óleos, graxa '!AI18*9.25%,0)</f>
        <v>92763.058751999997</v>
      </c>
      <c r="AM74" s="402">
        <f>IF($D74="Sim",'09 -Combustíveis, óleos, graxa '!AJ18*9.25%,0)</f>
        <v>92763.058751999997</v>
      </c>
      <c r="AN74" s="402">
        <f>IF($D74="Sim",'09 -Combustíveis, óleos, graxa '!AK18*9.25%,0)</f>
        <v>92763.058751999997</v>
      </c>
    </row>
    <row r="75" spans="2:40" ht="13.15" customHeight="1" outlineLevel="1" x14ac:dyDescent="0.2">
      <c r="B75" s="404" t="s">
        <v>941</v>
      </c>
      <c r="C75" s="413"/>
      <c r="D75" s="299" t="s">
        <v>1333</v>
      </c>
      <c r="E75" s="407">
        <f t="shared" si="14"/>
        <v>101516.73913043483</v>
      </c>
      <c r="F75" s="402">
        <f>IF($D75="Sim",'09 -Combustíveis, óleos, graxa '!C22*9.25%,0)</f>
        <v>2900.4782608695655</v>
      </c>
      <c r="G75" s="402">
        <f>IF($D75="Sim",'09 -Combustíveis, óleos, graxa '!D22*9.25%,0)</f>
        <v>2900.4782608695655</v>
      </c>
      <c r="H75" s="402">
        <f>IF($D75="Sim",'09 -Combustíveis, óleos, graxa '!E22*9.25%,0)</f>
        <v>2900.4782608695655</v>
      </c>
      <c r="I75" s="402">
        <f>IF($D75="Sim",'09 -Combustíveis, óleos, graxa '!F22*9.25%,0)</f>
        <v>2900.4782608695655</v>
      </c>
      <c r="J75" s="402">
        <f>IF($D75="Sim",'09 -Combustíveis, óleos, graxa '!G22*9.25%,0)</f>
        <v>2900.4782608695655</v>
      </c>
      <c r="K75" s="402">
        <f>IF($D75="Sim",'09 -Combustíveis, óleos, graxa '!H22*9.25%,0)</f>
        <v>2900.4782608695655</v>
      </c>
      <c r="L75" s="402">
        <f>IF($D75="Sim",'09 -Combustíveis, óleos, graxa '!I22*9.25%,0)</f>
        <v>2900.4782608695655</v>
      </c>
      <c r="M75" s="402">
        <f>IF($D75="Sim",'09 -Combustíveis, óleos, graxa '!J22*9.25%,0)</f>
        <v>2900.4782608695655</v>
      </c>
      <c r="N75" s="402">
        <f>IF($D75="Sim",'09 -Combustíveis, óleos, graxa '!K22*9.25%,0)</f>
        <v>2900.4782608695655</v>
      </c>
      <c r="O75" s="402">
        <f>IF($D75="Sim",'09 -Combustíveis, óleos, graxa '!L22*9.25%,0)</f>
        <v>2900.4782608695655</v>
      </c>
      <c r="P75" s="402">
        <f>IF($D75="Sim",'09 -Combustíveis, óleos, graxa '!M22*9.25%,0)</f>
        <v>2900.4782608695655</v>
      </c>
      <c r="Q75" s="402">
        <f>IF($D75="Sim",'09 -Combustíveis, óleos, graxa '!N22*9.25%,0)</f>
        <v>2900.4782608695655</v>
      </c>
      <c r="R75" s="402">
        <f>IF($D75="Sim",'09 -Combustíveis, óleos, graxa '!O22*9.25%,0)</f>
        <v>2900.4782608695655</v>
      </c>
      <c r="S75" s="402">
        <f>IF($D75="Sim",'09 -Combustíveis, óleos, graxa '!P22*9.25%,0)</f>
        <v>2900.4782608695655</v>
      </c>
      <c r="T75" s="402">
        <f>IF($D75="Sim",'09 -Combustíveis, óleos, graxa '!Q22*9.25%,0)</f>
        <v>2900.4782608695655</v>
      </c>
      <c r="U75" s="402">
        <f>IF($D75="Sim",'09 -Combustíveis, óleos, graxa '!R22*9.25%,0)</f>
        <v>2900.4782608695655</v>
      </c>
      <c r="V75" s="402">
        <f>IF($D75="Sim",'09 -Combustíveis, óleos, graxa '!S22*9.25%,0)</f>
        <v>2900.4782608695655</v>
      </c>
      <c r="W75" s="402">
        <f>IF($D75="Sim",'09 -Combustíveis, óleos, graxa '!T22*9.25%,0)</f>
        <v>2900.4782608695655</v>
      </c>
      <c r="X75" s="402">
        <f>IF($D75="Sim",'09 -Combustíveis, óleos, graxa '!U22*9.25%,0)</f>
        <v>2900.4782608695655</v>
      </c>
      <c r="Y75" s="402">
        <f>IF($D75="Sim",'09 -Combustíveis, óleos, graxa '!V22*9.25%,0)</f>
        <v>2900.4782608695655</v>
      </c>
      <c r="Z75" s="402">
        <f>IF($D75="Sim",'09 -Combustíveis, óleos, graxa '!W22*9.25%,0)</f>
        <v>2900.4782608695655</v>
      </c>
      <c r="AA75" s="402">
        <f>IF($D75="Sim",'09 -Combustíveis, óleos, graxa '!X22*9.25%,0)</f>
        <v>2900.4782608695655</v>
      </c>
      <c r="AB75" s="402">
        <f>IF($D75="Sim",'09 -Combustíveis, óleos, graxa '!Y22*9.25%,0)</f>
        <v>2900.4782608695655</v>
      </c>
      <c r="AC75" s="402">
        <f>IF($D75="Sim",'09 -Combustíveis, óleos, graxa '!Z22*9.25%,0)</f>
        <v>2900.4782608695655</v>
      </c>
      <c r="AD75" s="402">
        <f>IF($D75="Sim",'09 -Combustíveis, óleos, graxa '!AA22*9.25%,0)</f>
        <v>2900.4782608695655</v>
      </c>
      <c r="AE75" s="402">
        <f>IF($D75="Sim",'09 -Combustíveis, óleos, graxa '!AB22*9.25%,0)</f>
        <v>2900.4782608695655</v>
      </c>
      <c r="AF75" s="402">
        <f>IF($D75="Sim",'09 -Combustíveis, óleos, graxa '!AC22*9.25%,0)</f>
        <v>2900.4782608695655</v>
      </c>
      <c r="AG75" s="402">
        <f>IF($D75="Sim",'09 -Combustíveis, óleos, graxa '!AD22*9.25%,0)</f>
        <v>2900.4782608695655</v>
      </c>
      <c r="AH75" s="402">
        <f>IF($D75="Sim",'09 -Combustíveis, óleos, graxa '!AE22*9.25%,0)</f>
        <v>2900.4782608695655</v>
      </c>
      <c r="AI75" s="402">
        <f>IF($D75="Sim",'09 -Combustíveis, óleos, graxa '!AF22*9.25%,0)</f>
        <v>2900.4782608695655</v>
      </c>
      <c r="AJ75" s="402">
        <f>IF($D75="Sim",'09 -Combustíveis, óleos, graxa '!AG22*9.25%,0)</f>
        <v>2900.4782608695655</v>
      </c>
      <c r="AK75" s="402">
        <f>IF($D75="Sim",'09 -Combustíveis, óleos, graxa '!AH22*9.25%,0)</f>
        <v>2900.4782608695655</v>
      </c>
      <c r="AL75" s="402">
        <f>IF($D75="Sim",'09 -Combustíveis, óleos, graxa '!AI22*9.25%,0)</f>
        <v>2900.4782608695655</v>
      </c>
      <c r="AM75" s="402">
        <f>IF($D75="Sim",'09 -Combustíveis, óleos, graxa '!AJ22*9.25%,0)</f>
        <v>2900.4782608695655</v>
      </c>
      <c r="AN75" s="402">
        <f>IF($D75="Sim",'09 -Combustíveis, óleos, graxa '!AK22*9.25%,0)</f>
        <v>2900.4782608695655</v>
      </c>
    </row>
    <row r="76" spans="2:40" ht="13.15" customHeight="1" outlineLevel="1" x14ac:dyDescent="0.2">
      <c r="B76" s="404" t="s">
        <v>942</v>
      </c>
      <c r="C76" s="413"/>
      <c r="D76" s="299" t="s">
        <v>1333</v>
      </c>
      <c r="E76" s="407">
        <f t="shared" si="14"/>
        <v>253791.84782608712</v>
      </c>
      <c r="F76" s="402">
        <f>IF($D76="Sim",'09 -Combustíveis, óleos, graxa '!C26*9.25%,0)</f>
        <v>7251.1956521739139</v>
      </c>
      <c r="G76" s="402">
        <f>IF($D76="Sim",'09 -Combustíveis, óleos, graxa '!D26*9.25%,0)</f>
        <v>7251.1956521739139</v>
      </c>
      <c r="H76" s="402">
        <f>IF($D76="Sim",'09 -Combustíveis, óleos, graxa '!E26*9.25%,0)</f>
        <v>7251.1956521739139</v>
      </c>
      <c r="I76" s="402">
        <f>IF($D76="Sim",'09 -Combustíveis, óleos, graxa '!F26*9.25%,0)</f>
        <v>7251.1956521739139</v>
      </c>
      <c r="J76" s="402">
        <f>IF($D76="Sim",'09 -Combustíveis, óleos, graxa '!G26*9.25%,0)</f>
        <v>7251.1956521739139</v>
      </c>
      <c r="K76" s="402">
        <f>IF($D76="Sim",'09 -Combustíveis, óleos, graxa '!H26*9.25%,0)</f>
        <v>7251.1956521739139</v>
      </c>
      <c r="L76" s="402">
        <f>IF($D76="Sim",'09 -Combustíveis, óleos, graxa '!I26*9.25%,0)</f>
        <v>7251.1956521739139</v>
      </c>
      <c r="M76" s="402">
        <f>IF($D76="Sim",'09 -Combustíveis, óleos, graxa '!J26*9.25%,0)</f>
        <v>7251.1956521739139</v>
      </c>
      <c r="N76" s="402">
        <f>IF($D76="Sim",'09 -Combustíveis, óleos, graxa '!K26*9.25%,0)</f>
        <v>7251.1956521739139</v>
      </c>
      <c r="O76" s="402">
        <f>IF($D76="Sim",'09 -Combustíveis, óleos, graxa '!L26*9.25%,0)</f>
        <v>7251.1956521739139</v>
      </c>
      <c r="P76" s="402">
        <f>IF($D76="Sim",'09 -Combustíveis, óleos, graxa '!M26*9.25%,0)</f>
        <v>7251.1956521739139</v>
      </c>
      <c r="Q76" s="402">
        <f>IF($D76="Sim",'09 -Combustíveis, óleos, graxa '!N26*9.25%,0)</f>
        <v>7251.1956521739139</v>
      </c>
      <c r="R76" s="402">
        <f>IF($D76="Sim",'09 -Combustíveis, óleos, graxa '!O26*9.25%,0)</f>
        <v>7251.1956521739139</v>
      </c>
      <c r="S76" s="402">
        <f>IF($D76="Sim",'09 -Combustíveis, óleos, graxa '!P26*9.25%,0)</f>
        <v>7251.1956521739139</v>
      </c>
      <c r="T76" s="402">
        <f>IF($D76="Sim",'09 -Combustíveis, óleos, graxa '!Q26*9.25%,0)</f>
        <v>7251.1956521739139</v>
      </c>
      <c r="U76" s="402">
        <f>IF($D76="Sim",'09 -Combustíveis, óleos, graxa '!R26*9.25%,0)</f>
        <v>7251.1956521739139</v>
      </c>
      <c r="V76" s="402">
        <f>IF($D76="Sim",'09 -Combustíveis, óleos, graxa '!S26*9.25%,0)</f>
        <v>7251.1956521739139</v>
      </c>
      <c r="W76" s="402">
        <f>IF($D76="Sim",'09 -Combustíveis, óleos, graxa '!T26*9.25%,0)</f>
        <v>7251.1956521739139</v>
      </c>
      <c r="X76" s="402">
        <f>IF($D76="Sim",'09 -Combustíveis, óleos, graxa '!U26*9.25%,0)</f>
        <v>7251.1956521739139</v>
      </c>
      <c r="Y76" s="402">
        <f>IF($D76="Sim",'09 -Combustíveis, óleos, graxa '!V26*9.25%,0)</f>
        <v>7251.1956521739139</v>
      </c>
      <c r="Z76" s="402">
        <f>IF($D76="Sim",'09 -Combustíveis, óleos, graxa '!W26*9.25%,0)</f>
        <v>7251.1956521739139</v>
      </c>
      <c r="AA76" s="402">
        <f>IF($D76="Sim",'09 -Combustíveis, óleos, graxa '!X26*9.25%,0)</f>
        <v>7251.1956521739139</v>
      </c>
      <c r="AB76" s="402">
        <f>IF($D76="Sim",'09 -Combustíveis, óleos, graxa '!Y26*9.25%,0)</f>
        <v>7251.1956521739139</v>
      </c>
      <c r="AC76" s="402">
        <f>IF($D76="Sim",'09 -Combustíveis, óleos, graxa '!Z26*9.25%,0)</f>
        <v>7251.1956521739139</v>
      </c>
      <c r="AD76" s="402">
        <f>IF($D76="Sim",'09 -Combustíveis, óleos, graxa '!AA26*9.25%,0)</f>
        <v>7251.1956521739139</v>
      </c>
      <c r="AE76" s="402">
        <f>IF($D76="Sim",'09 -Combustíveis, óleos, graxa '!AB26*9.25%,0)</f>
        <v>7251.1956521739139</v>
      </c>
      <c r="AF76" s="402">
        <f>IF($D76="Sim",'09 -Combustíveis, óleos, graxa '!AC26*9.25%,0)</f>
        <v>7251.1956521739139</v>
      </c>
      <c r="AG76" s="402">
        <f>IF($D76="Sim",'09 -Combustíveis, óleos, graxa '!AD26*9.25%,0)</f>
        <v>7251.1956521739139</v>
      </c>
      <c r="AH76" s="402">
        <f>IF($D76="Sim",'09 -Combustíveis, óleos, graxa '!AE26*9.25%,0)</f>
        <v>7251.1956521739139</v>
      </c>
      <c r="AI76" s="402">
        <f>IF($D76="Sim",'09 -Combustíveis, óleos, graxa '!AF26*9.25%,0)</f>
        <v>7251.1956521739139</v>
      </c>
      <c r="AJ76" s="402">
        <f>IF($D76="Sim",'09 -Combustíveis, óleos, graxa '!AG26*9.25%,0)</f>
        <v>7251.1956521739139</v>
      </c>
      <c r="AK76" s="402">
        <f>IF($D76="Sim",'09 -Combustíveis, óleos, graxa '!AH26*9.25%,0)</f>
        <v>7251.1956521739139</v>
      </c>
      <c r="AL76" s="402">
        <f>IF($D76="Sim",'09 -Combustíveis, óleos, graxa '!AI26*9.25%,0)</f>
        <v>7251.1956521739139</v>
      </c>
      <c r="AM76" s="402">
        <f>IF($D76="Sim",'09 -Combustíveis, óleos, graxa '!AJ26*9.25%,0)</f>
        <v>7251.1956521739139</v>
      </c>
      <c r="AN76" s="402">
        <f>IF($D76="Sim",'09 -Combustíveis, óleos, graxa '!AK26*9.25%,0)</f>
        <v>7251.1956521739139</v>
      </c>
    </row>
    <row r="77" spans="2:40" ht="13.15" customHeight="1" outlineLevel="1" x14ac:dyDescent="0.2">
      <c r="B77" s="404" t="s">
        <v>943</v>
      </c>
      <c r="C77" s="413"/>
      <c r="D77" s="299" t="s">
        <v>1333</v>
      </c>
      <c r="E77" s="407">
        <f t="shared" si="14"/>
        <v>37862.999999999985</v>
      </c>
      <c r="F77" s="402">
        <f>IF($D77="Sim",'09 -Combustíveis, óleos, graxa '!C30*9.25%,0)</f>
        <v>757.26</v>
      </c>
      <c r="G77" s="402">
        <f>IF($D77="Sim",'09 -Combustíveis, óleos, graxa '!D30*9.25%,0)</f>
        <v>757.26</v>
      </c>
      <c r="H77" s="402">
        <f>IF($D77="Sim",'09 -Combustíveis, óleos, graxa '!E30*9.25%,0)</f>
        <v>757.26</v>
      </c>
      <c r="I77" s="402">
        <f>IF($D77="Sim",'09 -Combustíveis, óleos, graxa '!F30*9.25%,0)</f>
        <v>757.26</v>
      </c>
      <c r="J77" s="402">
        <f>IF($D77="Sim",'09 -Combustíveis, óleos, graxa '!G30*9.25%,0)</f>
        <v>757.26</v>
      </c>
      <c r="K77" s="402">
        <f>IF($D77="Sim",'09 -Combustíveis, óleos, graxa '!H30*9.25%,0)</f>
        <v>1135.8899999999999</v>
      </c>
      <c r="L77" s="402">
        <f>IF($D77="Sim",'09 -Combustíveis, óleos, graxa '!I30*9.25%,0)</f>
        <v>1135.8899999999999</v>
      </c>
      <c r="M77" s="402">
        <f>IF($D77="Sim",'09 -Combustíveis, óleos, graxa '!J30*9.25%,0)</f>
        <v>1135.8899999999999</v>
      </c>
      <c r="N77" s="402">
        <f>IF($D77="Sim",'09 -Combustíveis, óleos, graxa '!K30*9.25%,0)</f>
        <v>1135.8899999999999</v>
      </c>
      <c r="O77" s="402">
        <f>IF($D77="Sim",'09 -Combustíveis, óleos, graxa '!L30*9.25%,0)</f>
        <v>1135.8899999999999</v>
      </c>
      <c r="P77" s="402">
        <f>IF($D77="Sim",'09 -Combustíveis, óleos, graxa '!M30*9.25%,0)</f>
        <v>1135.8899999999999</v>
      </c>
      <c r="Q77" s="402">
        <f>IF($D77="Sim",'09 -Combustíveis, óleos, graxa '!N30*9.25%,0)</f>
        <v>1135.8899999999999</v>
      </c>
      <c r="R77" s="402">
        <f>IF($D77="Sim",'09 -Combustíveis, óleos, graxa '!O30*9.25%,0)</f>
        <v>1135.8899999999999</v>
      </c>
      <c r="S77" s="402">
        <f>IF($D77="Sim",'09 -Combustíveis, óleos, graxa '!P30*9.25%,0)</f>
        <v>1135.8899999999999</v>
      </c>
      <c r="T77" s="402">
        <f>IF($D77="Sim",'09 -Combustíveis, óleos, graxa '!Q30*9.25%,0)</f>
        <v>1135.8899999999999</v>
      </c>
      <c r="U77" s="402">
        <f>IF($D77="Sim",'09 -Combustíveis, óleos, graxa '!R30*9.25%,0)</f>
        <v>1135.8899999999999</v>
      </c>
      <c r="V77" s="402">
        <f>IF($D77="Sim",'09 -Combustíveis, óleos, graxa '!S30*9.25%,0)</f>
        <v>1135.8899999999999</v>
      </c>
      <c r="W77" s="402">
        <f>IF($D77="Sim",'09 -Combustíveis, óleos, graxa '!T30*9.25%,0)</f>
        <v>1135.8899999999999</v>
      </c>
      <c r="X77" s="402">
        <f>IF($D77="Sim",'09 -Combustíveis, óleos, graxa '!U30*9.25%,0)</f>
        <v>1135.8899999999999</v>
      </c>
      <c r="Y77" s="402">
        <f>IF($D77="Sim",'09 -Combustíveis, óleos, graxa '!V30*9.25%,0)</f>
        <v>1135.8899999999999</v>
      </c>
      <c r="Z77" s="402">
        <f>IF($D77="Sim",'09 -Combustíveis, óleos, graxa '!W30*9.25%,0)</f>
        <v>1135.8899999999999</v>
      </c>
      <c r="AA77" s="402">
        <f>IF($D77="Sim",'09 -Combustíveis, óleos, graxa '!X30*9.25%,0)</f>
        <v>1135.8899999999999</v>
      </c>
      <c r="AB77" s="402">
        <f>IF($D77="Sim",'09 -Combustíveis, óleos, graxa '!Y30*9.25%,0)</f>
        <v>1135.8899999999999</v>
      </c>
      <c r="AC77" s="402">
        <f>IF($D77="Sim",'09 -Combustíveis, óleos, graxa '!Z30*9.25%,0)</f>
        <v>1135.8899999999999</v>
      </c>
      <c r="AD77" s="402">
        <f>IF($D77="Sim",'09 -Combustíveis, óleos, graxa '!AA30*9.25%,0)</f>
        <v>1135.8899999999999</v>
      </c>
      <c r="AE77" s="402">
        <f>IF($D77="Sim",'09 -Combustíveis, óleos, graxa '!AB30*9.25%,0)</f>
        <v>1135.8899999999999</v>
      </c>
      <c r="AF77" s="402">
        <f>IF($D77="Sim",'09 -Combustíveis, óleos, graxa '!AC30*9.25%,0)</f>
        <v>1135.8899999999999</v>
      </c>
      <c r="AG77" s="402">
        <f>IF($D77="Sim",'09 -Combustíveis, óleos, graxa '!AD30*9.25%,0)</f>
        <v>1135.8899999999999</v>
      </c>
      <c r="AH77" s="402">
        <f>IF($D77="Sim",'09 -Combustíveis, óleos, graxa '!AE30*9.25%,0)</f>
        <v>1135.8899999999999</v>
      </c>
      <c r="AI77" s="402">
        <f>IF($D77="Sim",'09 -Combustíveis, óleos, graxa '!AF30*9.25%,0)</f>
        <v>1135.8899999999999</v>
      </c>
      <c r="AJ77" s="402">
        <f>IF($D77="Sim",'09 -Combustíveis, óleos, graxa '!AG30*9.25%,0)</f>
        <v>1135.8899999999999</v>
      </c>
      <c r="AK77" s="402">
        <f>IF($D77="Sim",'09 -Combustíveis, óleos, graxa '!AH30*9.25%,0)</f>
        <v>1135.8899999999999</v>
      </c>
      <c r="AL77" s="402">
        <f>IF($D77="Sim",'09 -Combustíveis, óleos, graxa '!AI30*9.25%,0)</f>
        <v>1135.8899999999999</v>
      </c>
      <c r="AM77" s="402">
        <f>IF($D77="Sim",'09 -Combustíveis, óleos, graxa '!AJ30*9.25%,0)</f>
        <v>1135.8899999999999</v>
      </c>
      <c r="AN77" s="402">
        <f>IF($D77="Sim",'09 -Combustíveis, óleos, graxa '!AK30*9.25%,0)</f>
        <v>1135.8899999999999</v>
      </c>
    </row>
    <row r="78" spans="2:40" ht="13.15" customHeight="1" outlineLevel="1" x14ac:dyDescent="0.2">
      <c r="B78" s="404" t="s">
        <v>1354</v>
      </c>
      <c r="C78" s="413"/>
      <c r="D78" s="299" t="s">
        <v>1333</v>
      </c>
      <c r="E78" s="407">
        <f t="shared" si="14"/>
        <v>712726.56000000017</v>
      </c>
      <c r="F78" s="402">
        <f>IF($D78="Sim",'09 -Combustíveis, óleos, graxa '!C34*9.25%,0)</f>
        <v>20363.615999999998</v>
      </c>
      <c r="G78" s="402">
        <f>IF($D78="Sim",'09 -Combustíveis, óleos, graxa '!D34*9.25%,0)</f>
        <v>20363.615999999998</v>
      </c>
      <c r="H78" s="402">
        <f>IF($D78="Sim",'09 -Combustíveis, óleos, graxa '!E34*9.25%,0)</f>
        <v>20363.615999999998</v>
      </c>
      <c r="I78" s="402">
        <f>IF($D78="Sim",'09 -Combustíveis, óleos, graxa '!F34*9.25%,0)</f>
        <v>20363.615999999998</v>
      </c>
      <c r="J78" s="402">
        <f>IF($D78="Sim",'09 -Combustíveis, óleos, graxa '!G34*9.25%,0)</f>
        <v>20363.615999999998</v>
      </c>
      <c r="K78" s="402">
        <f>IF($D78="Sim",'09 -Combustíveis, óleos, graxa '!H34*9.25%,0)</f>
        <v>20363.615999999998</v>
      </c>
      <c r="L78" s="402">
        <f>IF($D78="Sim",'09 -Combustíveis, óleos, graxa '!I34*9.25%,0)</f>
        <v>20363.615999999998</v>
      </c>
      <c r="M78" s="402">
        <f>IF($D78="Sim",'09 -Combustíveis, óleos, graxa '!J34*9.25%,0)</f>
        <v>20363.615999999998</v>
      </c>
      <c r="N78" s="402">
        <f>IF($D78="Sim",'09 -Combustíveis, óleos, graxa '!K34*9.25%,0)</f>
        <v>20363.615999999998</v>
      </c>
      <c r="O78" s="402">
        <f>IF($D78="Sim",'09 -Combustíveis, óleos, graxa '!L34*9.25%,0)</f>
        <v>20363.615999999998</v>
      </c>
      <c r="P78" s="402">
        <f>IF($D78="Sim",'09 -Combustíveis, óleos, graxa '!M34*9.25%,0)</f>
        <v>20363.615999999998</v>
      </c>
      <c r="Q78" s="402">
        <f>IF($D78="Sim",'09 -Combustíveis, óleos, graxa '!N34*9.25%,0)</f>
        <v>20363.615999999998</v>
      </c>
      <c r="R78" s="402">
        <f>IF($D78="Sim",'09 -Combustíveis, óleos, graxa '!O34*9.25%,0)</f>
        <v>20363.615999999998</v>
      </c>
      <c r="S78" s="402">
        <f>IF($D78="Sim",'09 -Combustíveis, óleos, graxa '!P34*9.25%,0)</f>
        <v>20363.615999999998</v>
      </c>
      <c r="T78" s="402">
        <f>IF($D78="Sim",'09 -Combustíveis, óleos, graxa '!Q34*9.25%,0)</f>
        <v>20363.615999999998</v>
      </c>
      <c r="U78" s="402">
        <f>IF($D78="Sim",'09 -Combustíveis, óleos, graxa '!R34*9.25%,0)</f>
        <v>20363.615999999998</v>
      </c>
      <c r="V78" s="402">
        <f>IF($D78="Sim",'09 -Combustíveis, óleos, graxa '!S34*9.25%,0)</f>
        <v>20363.615999999998</v>
      </c>
      <c r="W78" s="402">
        <f>IF($D78="Sim",'09 -Combustíveis, óleos, graxa '!T34*9.25%,0)</f>
        <v>20363.615999999998</v>
      </c>
      <c r="X78" s="402">
        <f>IF($D78="Sim",'09 -Combustíveis, óleos, graxa '!U34*9.25%,0)</f>
        <v>20363.615999999998</v>
      </c>
      <c r="Y78" s="402">
        <f>IF($D78="Sim",'09 -Combustíveis, óleos, graxa '!V34*9.25%,0)</f>
        <v>20363.615999999998</v>
      </c>
      <c r="Z78" s="402">
        <f>IF($D78="Sim",'09 -Combustíveis, óleos, graxa '!W34*9.25%,0)</f>
        <v>20363.615999999998</v>
      </c>
      <c r="AA78" s="402">
        <f>IF($D78="Sim",'09 -Combustíveis, óleos, graxa '!X34*9.25%,0)</f>
        <v>20363.615999999998</v>
      </c>
      <c r="AB78" s="402">
        <f>IF($D78="Sim",'09 -Combustíveis, óleos, graxa '!Y34*9.25%,0)</f>
        <v>20363.615999999998</v>
      </c>
      <c r="AC78" s="402">
        <f>IF($D78="Sim",'09 -Combustíveis, óleos, graxa '!Z34*9.25%,0)</f>
        <v>20363.615999999998</v>
      </c>
      <c r="AD78" s="402">
        <f>IF($D78="Sim",'09 -Combustíveis, óleos, graxa '!AA34*9.25%,0)</f>
        <v>20363.615999999998</v>
      </c>
      <c r="AE78" s="402">
        <f>IF($D78="Sim",'09 -Combustíveis, óleos, graxa '!AB34*9.25%,0)</f>
        <v>20363.615999999998</v>
      </c>
      <c r="AF78" s="402">
        <f>IF($D78="Sim",'09 -Combustíveis, óleos, graxa '!AC34*9.25%,0)</f>
        <v>20363.615999999998</v>
      </c>
      <c r="AG78" s="402">
        <f>IF($D78="Sim",'09 -Combustíveis, óleos, graxa '!AD34*9.25%,0)</f>
        <v>20363.615999999998</v>
      </c>
      <c r="AH78" s="402">
        <f>IF($D78="Sim",'09 -Combustíveis, óleos, graxa '!AE34*9.25%,0)</f>
        <v>20363.615999999998</v>
      </c>
      <c r="AI78" s="402">
        <f>IF($D78="Sim",'09 -Combustíveis, óleos, graxa '!AF34*9.25%,0)</f>
        <v>20363.615999999998</v>
      </c>
      <c r="AJ78" s="402">
        <f>IF($D78="Sim",'09 -Combustíveis, óleos, graxa '!AG34*9.25%,0)</f>
        <v>20363.615999999998</v>
      </c>
      <c r="AK78" s="402">
        <f>IF($D78="Sim",'09 -Combustíveis, óleos, graxa '!AH34*9.25%,0)</f>
        <v>20363.615999999998</v>
      </c>
      <c r="AL78" s="402">
        <f>IF($D78="Sim",'09 -Combustíveis, óleos, graxa '!AI34*9.25%,0)</f>
        <v>20363.615999999998</v>
      </c>
      <c r="AM78" s="402">
        <f>IF($D78="Sim",'09 -Combustíveis, óleos, graxa '!AJ34*9.25%,0)</f>
        <v>20363.615999999998</v>
      </c>
      <c r="AN78" s="402">
        <f>IF($D78="Sim",'09 -Combustíveis, óleos, graxa '!AK34*9.25%,0)</f>
        <v>20363.615999999998</v>
      </c>
    </row>
    <row r="79" spans="2:40" ht="13.15" customHeight="1" outlineLevel="1" x14ac:dyDescent="0.2">
      <c r="B79" s="404" t="s">
        <v>945</v>
      </c>
      <c r="C79" s="413"/>
      <c r="D79" s="299" t="s">
        <v>1333</v>
      </c>
      <c r="E79" s="407">
        <f t="shared" si="14"/>
        <v>304584</v>
      </c>
      <c r="F79" s="402">
        <f>IF($D79="Sim",'09 -Combustíveis, óleos, graxa '!C38*9.25%,0)</f>
        <v>8702.4</v>
      </c>
      <c r="G79" s="402">
        <f>IF($D79="Sim",'09 -Combustíveis, óleos, graxa '!D38*9.25%,0)</f>
        <v>8702.4</v>
      </c>
      <c r="H79" s="402">
        <f>IF($D79="Sim",'09 -Combustíveis, óleos, graxa '!E38*9.25%,0)</f>
        <v>8702.4</v>
      </c>
      <c r="I79" s="402">
        <f>IF($D79="Sim",'09 -Combustíveis, óleos, graxa '!F38*9.25%,0)</f>
        <v>8702.4</v>
      </c>
      <c r="J79" s="402">
        <f>IF($D79="Sim",'09 -Combustíveis, óleos, graxa '!G38*9.25%,0)</f>
        <v>8702.4</v>
      </c>
      <c r="K79" s="402">
        <f>IF($D79="Sim",'09 -Combustíveis, óleos, graxa '!H38*9.25%,0)</f>
        <v>8702.4</v>
      </c>
      <c r="L79" s="402">
        <f>IF($D79="Sim",'09 -Combustíveis, óleos, graxa '!I38*9.25%,0)</f>
        <v>8702.4</v>
      </c>
      <c r="M79" s="402">
        <f>IF($D79="Sim",'09 -Combustíveis, óleos, graxa '!J38*9.25%,0)</f>
        <v>8702.4</v>
      </c>
      <c r="N79" s="402">
        <f>IF($D79="Sim",'09 -Combustíveis, óleos, graxa '!K38*9.25%,0)</f>
        <v>8702.4</v>
      </c>
      <c r="O79" s="402">
        <f>IF($D79="Sim",'09 -Combustíveis, óleos, graxa '!L38*9.25%,0)</f>
        <v>8702.4</v>
      </c>
      <c r="P79" s="402">
        <f>IF($D79="Sim",'09 -Combustíveis, óleos, graxa '!M38*9.25%,0)</f>
        <v>8702.4</v>
      </c>
      <c r="Q79" s="402">
        <f>IF($D79="Sim",'09 -Combustíveis, óleos, graxa '!N38*9.25%,0)</f>
        <v>8702.4</v>
      </c>
      <c r="R79" s="402">
        <f>IF($D79="Sim",'09 -Combustíveis, óleos, graxa '!O38*9.25%,0)</f>
        <v>8702.4</v>
      </c>
      <c r="S79" s="402">
        <f>IF($D79="Sim",'09 -Combustíveis, óleos, graxa '!P38*9.25%,0)</f>
        <v>8702.4</v>
      </c>
      <c r="T79" s="402">
        <f>IF($D79="Sim",'09 -Combustíveis, óleos, graxa '!Q38*9.25%,0)</f>
        <v>8702.4</v>
      </c>
      <c r="U79" s="402">
        <f>IF($D79="Sim",'09 -Combustíveis, óleos, graxa '!R38*9.25%,0)</f>
        <v>8702.4</v>
      </c>
      <c r="V79" s="402">
        <f>IF($D79="Sim",'09 -Combustíveis, óleos, graxa '!S38*9.25%,0)</f>
        <v>8702.4</v>
      </c>
      <c r="W79" s="402">
        <f>IF($D79="Sim",'09 -Combustíveis, óleos, graxa '!T38*9.25%,0)</f>
        <v>8702.4</v>
      </c>
      <c r="X79" s="402">
        <f>IF($D79="Sim",'09 -Combustíveis, óleos, graxa '!U38*9.25%,0)</f>
        <v>8702.4</v>
      </c>
      <c r="Y79" s="402">
        <f>IF($D79="Sim",'09 -Combustíveis, óleos, graxa '!V38*9.25%,0)</f>
        <v>8702.4</v>
      </c>
      <c r="Z79" s="402">
        <f>IF($D79="Sim",'09 -Combustíveis, óleos, graxa '!W38*9.25%,0)</f>
        <v>8702.4</v>
      </c>
      <c r="AA79" s="402">
        <f>IF($D79="Sim",'09 -Combustíveis, óleos, graxa '!X38*9.25%,0)</f>
        <v>8702.4</v>
      </c>
      <c r="AB79" s="402">
        <f>IF($D79="Sim",'09 -Combustíveis, óleos, graxa '!Y38*9.25%,0)</f>
        <v>8702.4</v>
      </c>
      <c r="AC79" s="402">
        <f>IF($D79="Sim",'09 -Combustíveis, óleos, graxa '!Z38*9.25%,0)</f>
        <v>8702.4</v>
      </c>
      <c r="AD79" s="402">
        <f>IF($D79="Sim",'09 -Combustíveis, óleos, graxa '!AA38*9.25%,0)</f>
        <v>8702.4</v>
      </c>
      <c r="AE79" s="402">
        <f>IF($D79="Sim",'09 -Combustíveis, óleos, graxa '!AB38*9.25%,0)</f>
        <v>8702.4</v>
      </c>
      <c r="AF79" s="402">
        <f>IF($D79="Sim",'09 -Combustíveis, óleos, graxa '!AC38*9.25%,0)</f>
        <v>8702.4</v>
      </c>
      <c r="AG79" s="402">
        <f>IF($D79="Sim",'09 -Combustíveis, óleos, graxa '!AD38*9.25%,0)</f>
        <v>8702.4</v>
      </c>
      <c r="AH79" s="402">
        <f>IF($D79="Sim",'09 -Combustíveis, óleos, graxa '!AE38*9.25%,0)</f>
        <v>8702.4</v>
      </c>
      <c r="AI79" s="402">
        <f>IF($D79="Sim",'09 -Combustíveis, óleos, graxa '!AF38*9.25%,0)</f>
        <v>8702.4</v>
      </c>
      <c r="AJ79" s="402">
        <f>IF($D79="Sim",'09 -Combustíveis, óleos, graxa '!AG38*9.25%,0)</f>
        <v>8702.4</v>
      </c>
      <c r="AK79" s="402">
        <f>IF($D79="Sim",'09 -Combustíveis, óleos, graxa '!AH38*9.25%,0)</f>
        <v>8702.4</v>
      </c>
      <c r="AL79" s="402">
        <f>IF($D79="Sim",'09 -Combustíveis, óleos, graxa '!AI38*9.25%,0)</f>
        <v>8702.4</v>
      </c>
      <c r="AM79" s="402">
        <f>IF($D79="Sim",'09 -Combustíveis, óleos, graxa '!AJ38*9.25%,0)</f>
        <v>8702.4</v>
      </c>
      <c r="AN79" s="402">
        <f>IF($D79="Sim",'09 -Combustíveis, óleos, graxa '!AK38*9.25%,0)</f>
        <v>8702.4</v>
      </c>
    </row>
    <row r="80" spans="2:40" ht="13.15" customHeight="1" outlineLevel="1" x14ac:dyDescent="0.2">
      <c r="B80" s="404" t="s">
        <v>946</v>
      </c>
      <c r="C80" s="413"/>
      <c r="D80" s="299" t="s">
        <v>1333</v>
      </c>
      <c r="E80" s="407">
        <f t="shared" si="14"/>
        <v>66475.457999999955</v>
      </c>
      <c r="F80" s="402">
        <f>IF($D80="Sim",'09 -Combustíveis, óleos, graxa '!C42*9.25%,0)</f>
        <v>1899.2987999999996</v>
      </c>
      <c r="G80" s="402">
        <f>IF($D80="Sim",'09 -Combustíveis, óleos, graxa '!D42*9.25%,0)</f>
        <v>1899.2987999999996</v>
      </c>
      <c r="H80" s="402">
        <f>IF($D80="Sim",'09 -Combustíveis, óleos, graxa '!E42*9.25%,0)</f>
        <v>1899.2987999999996</v>
      </c>
      <c r="I80" s="402">
        <f>IF($D80="Sim",'09 -Combustíveis, óleos, graxa '!F42*9.25%,0)</f>
        <v>1899.2987999999996</v>
      </c>
      <c r="J80" s="402">
        <f>IF($D80="Sim",'09 -Combustíveis, óleos, graxa '!G42*9.25%,0)</f>
        <v>1899.2987999999996</v>
      </c>
      <c r="K80" s="402">
        <f>IF($D80="Sim",'09 -Combustíveis, óleos, graxa '!H42*9.25%,0)</f>
        <v>1899.2987999999996</v>
      </c>
      <c r="L80" s="402">
        <f>IF($D80="Sim",'09 -Combustíveis, óleos, graxa '!I42*9.25%,0)</f>
        <v>1899.2987999999996</v>
      </c>
      <c r="M80" s="402">
        <f>IF($D80="Sim",'09 -Combustíveis, óleos, graxa '!J42*9.25%,0)</f>
        <v>1899.2987999999996</v>
      </c>
      <c r="N80" s="402">
        <f>IF($D80="Sim",'09 -Combustíveis, óleos, graxa '!K42*9.25%,0)</f>
        <v>1899.2987999999996</v>
      </c>
      <c r="O80" s="402">
        <f>IF($D80="Sim",'09 -Combustíveis, óleos, graxa '!L42*9.25%,0)</f>
        <v>1899.2987999999996</v>
      </c>
      <c r="P80" s="402">
        <f>IF($D80="Sim",'09 -Combustíveis, óleos, graxa '!M42*9.25%,0)</f>
        <v>1899.2987999999996</v>
      </c>
      <c r="Q80" s="402">
        <f>IF($D80="Sim",'09 -Combustíveis, óleos, graxa '!N42*9.25%,0)</f>
        <v>1899.2987999999996</v>
      </c>
      <c r="R80" s="402">
        <f>IF($D80="Sim",'09 -Combustíveis, óleos, graxa '!O42*9.25%,0)</f>
        <v>1899.2987999999996</v>
      </c>
      <c r="S80" s="402">
        <f>IF($D80="Sim",'09 -Combustíveis, óleos, graxa '!P42*9.25%,0)</f>
        <v>1899.2987999999996</v>
      </c>
      <c r="T80" s="402">
        <f>IF($D80="Sim",'09 -Combustíveis, óleos, graxa '!Q42*9.25%,0)</f>
        <v>1899.2987999999996</v>
      </c>
      <c r="U80" s="402">
        <f>IF($D80="Sim",'09 -Combustíveis, óleos, graxa '!R42*9.25%,0)</f>
        <v>1899.2987999999996</v>
      </c>
      <c r="V80" s="402">
        <f>IF($D80="Sim",'09 -Combustíveis, óleos, graxa '!S42*9.25%,0)</f>
        <v>1899.2987999999996</v>
      </c>
      <c r="W80" s="402">
        <f>IF($D80="Sim",'09 -Combustíveis, óleos, graxa '!T42*9.25%,0)</f>
        <v>1899.2987999999996</v>
      </c>
      <c r="X80" s="402">
        <f>IF($D80="Sim",'09 -Combustíveis, óleos, graxa '!U42*9.25%,0)</f>
        <v>1899.2987999999996</v>
      </c>
      <c r="Y80" s="402">
        <f>IF($D80="Sim",'09 -Combustíveis, óleos, graxa '!V42*9.25%,0)</f>
        <v>1899.2987999999996</v>
      </c>
      <c r="Z80" s="402">
        <f>IF($D80="Sim",'09 -Combustíveis, óleos, graxa '!W42*9.25%,0)</f>
        <v>1899.2987999999996</v>
      </c>
      <c r="AA80" s="402">
        <f>IF($D80="Sim",'09 -Combustíveis, óleos, graxa '!X42*9.25%,0)</f>
        <v>1899.2987999999996</v>
      </c>
      <c r="AB80" s="402">
        <f>IF($D80="Sim",'09 -Combustíveis, óleos, graxa '!Y42*9.25%,0)</f>
        <v>1899.2987999999996</v>
      </c>
      <c r="AC80" s="402">
        <f>IF($D80="Sim",'09 -Combustíveis, óleos, graxa '!Z42*9.25%,0)</f>
        <v>1899.2987999999996</v>
      </c>
      <c r="AD80" s="402">
        <f>IF($D80="Sim",'09 -Combustíveis, óleos, graxa '!AA42*9.25%,0)</f>
        <v>1899.2987999999996</v>
      </c>
      <c r="AE80" s="402">
        <f>IF($D80="Sim",'09 -Combustíveis, óleos, graxa '!AB42*9.25%,0)</f>
        <v>1899.2987999999996</v>
      </c>
      <c r="AF80" s="402">
        <f>IF($D80="Sim",'09 -Combustíveis, óleos, graxa '!AC42*9.25%,0)</f>
        <v>1899.2987999999996</v>
      </c>
      <c r="AG80" s="402">
        <f>IF($D80="Sim",'09 -Combustíveis, óleos, graxa '!AD42*9.25%,0)</f>
        <v>1899.2987999999996</v>
      </c>
      <c r="AH80" s="402">
        <f>IF($D80="Sim",'09 -Combustíveis, óleos, graxa '!AE42*9.25%,0)</f>
        <v>1899.2987999999996</v>
      </c>
      <c r="AI80" s="402">
        <f>IF($D80="Sim",'09 -Combustíveis, óleos, graxa '!AF42*9.25%,0)</f>
        <v>1899.2987999999996</v>
      </c>
      <c r="AJ80" s="402">
        <f>IF($D80="Sim",'09 -Combustíveis, óleos, graxa '!AG42*9.25%,0)</f>
        <v>1899.2987999999996</v>
      </c>
      <c r="AK80" s="402">
        <f>IF($D80="Sim",'09 -Combustíveis, óleos, graxa '!AH42*9.25%,0)</f>
        <v>1899.2987999999996</v>
      </c>
      <c r="AL80" s="402">
        <f>IF($D80="Sim",'09 -Combustíveis, óleos, graxa '!AI42*9.25%,0)</f>
        <v>1899.2987999999996</v>
      </c>
      <c r="AM80" s="402">
        <f>IF($D80="Sim",'09 -Combustíveis, óleos, graxa '!AJ42*9.25%,0)</f>
        <v>1899.2987999999996</v>
      </c>
      <c r="AN80" s="402">
        <f>IF($D80="Sim",'09 -Combustíveis, óleos, graxa '!AK42*9.25%,0)</f>
        <v>1899.2987999999996</v>
      </c>
    </row>
    <row r="81" spans="2:40" ht="13.15" customHeight="1" outlineLevel="1" x14ac:dyDescent="0.2">
      <c r="B81" s="404" t="s">
        <v>948</v>
      </c>
      <c r="C81" s="413"/>
      <c r="D81" s="299" t="s">
        <v>1333</v>
      </c>
      <c r="E81" s="407">
        <f t="shared" si="14"/>
        <v>66475.457999999955</v>
      </c>
      <c r="F81" s="402">
        <f>IF($D81="Sim",'09 -Combustíveis, óleos, graxa '!C46*9.25%,0)</f>
        <v>1899.2987999999996</v>
      </c>
      <c r="G81" s="402">
        <f>IF($D81="Sim",'09 -Combustíveis, óleos, graxa '!D46*9.25%,0)</f>
        <v>1899.2987999999996</v>
      </c>
      <c r="H81" s="402">
        <f>IF($D81="Sim",'09 -Combustíveis, óleos, graxa '!E46*9.25%,0)</f>
        <v>1899.2987999999996</v>
      </c>
      <c r="I81" s="402">
        <f>IF($D81="Sim",'09 -Combustíveis, óleos, graxa '!F46*9.25%,0)</f>
        <v>1899.2987999999996</v>
      </c>
      <c r="J81" s="402">
        <f>IF($D81="Sim",'09 -Combustíveis, óleos, graxa '!G46*9.25%,0)</f>
        <v>1899.2987999999996</v>
      </c>
      <c r="K81" s="402">
        <f>IF($D81="Sim",'09 -Combustíveis, óleos, graxa '!H46*9.25%,0)</f>
        <v>1899.2987999999996</v>
      </c>
      <c r="L81" s="402">
        <f>IF($D81="Sim",'09 -Combustíveis, óleos, graxa '!I46*9.25%,0)</f>
        <v>1899.2987999999996</v>
      </c>
      <c r="M81" s="402">
        <f>IF($D81="Sim",'09 -Combustíveis, óleos, graxa '!J46*9.25%,0)</f>
        <v>1899.2987999999996</v>
      </c>
      <c r="N81" s="402">
        <f>IF($D81="Sim",'09 -Combustíveis, óleos, graxa '!K46*9.25%,0)</f>
        <v>1899.2987999999996</v>
      </c>
      <c r="O81" s="402">
        <f>IF($D81="Sim",'09 -Combustíveis, óleos, graxa '!L46*9.25%,0)</f>
        <v>1899.2987999999996</v>
      </c>
      <c r="P81" s="402">
        <f>IF($D81="Sim",'09 -Combustíveis, óleos, graxa '!M46*9.25%,0)</f>
        <v>1899.2987999999996</v>
      </c>
      <c r="Q81" s="402">
        <f>IF($D81="Sim",'09 -Combustíveis, óleos, graxa '!N46*9.25%,0)</f>
        <v>1899.2987999999996</v>
      </c>
      <c r="R81" s="402">
        <f>IF($D81="Sim",'09 -Combustíveis, óleos, graxa '!O46*9.25%,0)</f>
        <v>1899.2987999999996</v>
      </c>
      <c r="S81" s="402">
        <f>IF($D81="Sim",'09 -Combustíveis, óleos, graxa '!P46*9.25%,0)</f>
        <v>1899.2987999999996</v>
      </c>
      <c r="T81" s="402">
        <f>IF($D81="Sim",'09 -Combustíveis, óleos, graxa '!Q46*9.25%,0)</f>
        <v>1899.2987999999996</v>
      </c>
      <c r="U81" s="402">
        <f>IF($D81="Sim",'09 -Combustíveis, óleos, graxa '!R46*9.25%,0)</f>
        <v>1899.2987999999996</v>
      </c>
      <c r="V81" s="402">
        <f>IF($D81="Sim",'09 -Combustíveis, óleos, graxa '!S46*9.25%,0)</f>
        <v>1899.2987999999996</v>
      </c>
      <c r="W81" s="402">
        <f>IF($D81="Sim",'09 -Combustíveis, óleos, graxa '!T46*9.25%,0)</f>
        <v>1899.2987999999996</v>
      </c>
      <c r="X81" s="402">
        <f>IF($D81="Sim",'09 -Combustíveis, óleos, graxa '!U46*9.25%,0)</f>
        <v>1899.2987999999996</v>
      </c>
      <c r="Y81" s="402">
        <f>IF($D81="Sim",'09 -Combustíveis, óleos, graxa '!V46*9.25%,0)</f>
        <v>1899.2987999999996</v>
      </c>
      <c r="Z81" s="402">
        <f>IF($D81="Sim",'09 -Combustíveis, óleos, graxa '!W46*9.25%,0)</f>
        <v>1899.2987999999996</v>
      </c>
      <c r="AA81" s="402">
        <f>IF($D81="Sim",'09 -Combustíveis, óleos, graxa '!X46*9.25%,0)</f>
        <v>1899.2987999999996</v>
      </c>
      <c r="AB81" s="402">
        <f>IF($D81="Sim",'09 -Combustíveis, óleos, graxa '!Y46*9.25%,0)</f>
        <v>1899.2987999999996</v>
      </c>
      <c r="AC81" s="402">
        <f>IF($D81="Sim",'09 -Combustíveis, óleos, graxa '!Z46*9.25%,0)</f>
        <v>1899.2987999999996</v>
      </c>
      <c r="AD81" s="402">
        <f>IF($D81="Sim",'09 -Combustíveis, óleos, graxa '!AA46*9.25%,0)</f>
        <v>1899.2987999999996</v>
      </c>
      <c r="AE81" s="402">
        <f>IF($D81="Sim",'09 -Combustíveis, óleos, graxa '!AB46*9.25%,0)</f>
        <v>1899.2987999999996</v>
      </c>
      <c r="AF81" s="402">
        <f>IF($D81="Sim",'09 -Combustíveis, óleos, graxa '!AC46*9.25%,0)</f>
        <v>1899.2987999999996</v>
      </c>
      <c r="AG81" s="402">
        <f>IF($D81="Sim",'09 -Combustíveis, óleos, graxa '!AD46*9.25%,0)</f>
        <v>1899.2987999999996</v>
      </c>
      <c r="AH81" s="402">
        <f>IF($D81="Sim",'09 -Combustíveis, óleos, graxa '!AE46*9.25%,0)</f>
        <v>1899.2987999999996</v>
      </c>
      <c r="AI81" s="402">
        <f>IF($D81="Sim",'09 -Combustíveis, óleos, graxa '!AF46*9.25%,0)</f>
        <v>1899.2987999999996</v>
      </c>
      <c r="AJ81" s="402">
        <f>IF($D81="Sim",'09 -Combustíveis, óleos, graxa '!AG46*9.25%,0)</f>
        <v>1899.2987999999996</v>
      </c>
      <c r="AK81" s="402">
        <f>IF($D81="Sim",'09 -Combustíveis, óleos, graxa '!AH46*9.25%,0)</f>
        <v>1899.2987999999996</v>
      </c>
      <c r="AL81" s="402">
        <f>IF($D81="Sim",'09 -Combustíveis, óleos, graxa '!AI46*9.25%,0)</f>
        <v>1899.2987999999996</v>
      </c>
      <c r="AM81" s="402">
        <f>IF($D81="Sim",'09 -Combustíveis, óleos, graxa '!AJ46*9.25%,0)</f>
        <v>1899.2987999999996</v>
      </c>
      <c r="AN81" s="402">
        <f>IF($D81="Sim",'09 -Combustíveis, óleos, graxa '!AK46*9.25%,0)</f>
        <v>1899.2987999999996</v>
      </c>
    </row>
    <row r="82" spans="2:40" ht="13.15" customHeight="1" outlineLevel="1" x14ac:dyDescent="0.2">
      <c r="B82" s="404" t="s">
        <v>949</v>
      </c>
      <c r="C82" s="413"/>
      <c r="D82" s="299" t="s">
        <v>1333</v>
      </c>
      <c r="E82" s="407">
        <f t="shared" si="14"/>
        <v>420279.29999999981</v>
      </c>
      <c r="F82" s="402">
        <f>IF($D82="Sim",'09 -Combustíveis, óleos, graxa '!C50*9.25%,0)</f>
        <v>12007.98</v>
      </c>
      <c r="G82" s="402">
        <f>IF($D82="Sim",'09 -Combustíveis, óleos, graxa '!D50*9.25%,0)</f>
        <v>12007.98</v>
      </c>
      <c r="H82" s="402">
        <f>IF($D82="Sim",'09 -Combustíveis, óleos, graxa '!E50*9.25%,0)</f>
        <v>12007.98</v>
      </c>
      <c r="I82" s="402">
        <f>IF($D82="Sim",'09 -Combustíveis, óleos, graxa '!F50*9.25%,0)</f>
        <v>12007.98</v>
      </c>
      <c r="J82" s="402">
        <f>IF($D82="Sim",'09 -Combustíveis, óleos, graxa '!G50*9.25%,0)</f>
        <v>12007.98</v>
      </c>
      <c r="K82" s="402">
        <f>IF($D82="Sim",'09 -Combustíveis, óleos, graxa '!H50*9.25%,0)</f>
        <v>12007.98</v>
      </c>
      <c r="L82" s="402">
        <f>IF($D82="Sim",'09 -Combustíveis, óleos, graxa '!I50*9.25%,0)</f>
        <v>12007.98</v>
      </c>
      <c r="M82" s="402">
        <f>IF($D82="Sim",'09 -Combustíveis, óleos, graxa '!J50*9.25%,0)</f>
        <v>12007.98</v>
      </c>
      <c r="N82" s="402">
        <f>IF($D82="Sim",'09 -Combustíveis, óleos, graxa '!K50*9.25%,0)</f>
        <v>12007.98</v>
      </c>
      <c r="O82" s="402">
        <f>IF($D82="Sim",'09 -Combustíveis, óleos, graxa '!L50*9.25%,0)</f>
        <v>12007.98</v>
      </c>
      <c r="P82" s="402">
        <f>IF($D82="Sim",'09 -Combustíveis, óleos, graxa '!M50*9.25%,0)</f>
        <v>12007.98</v>
      </c>
      <c r="Q82" s="402">
        <f>IF($D82="Sim",'09 -Combustíveis, óleos, graxa '!N50*9.25%,0)</f>
        <v>12007.98</v>
      </c>
      <c r="R82" s="402">
        <f>IF($D82="Sim",'09 -Combustíveis, óleos, graxa '!O50*9.25%,0)</f>
        <v>12007.98</v>
      </c>
      <c r="S82" s="402">
        <f>IF($D82="Sim",'09 -Combustíveis, óleos, graxa '!P50*9.25%,0)</f>
        <v>12007.98</v>
      </c>
      <c r="T82" s="402">
        <f>IF($D82="Sim",'09 -Combustíveis, óleos, graxa '!Q50*9.25%,0)</f>
        <v>12007.98</v>
      </c>
      <c r="U82" s="402">
        <f>IF($D82="Sim",'09 -Combustíveis, óleos, graxa '!R50*9.25%,0)</f>
        <v>12007.98</v>
      </c>
      <c r="V82" s="402">
        <f>IF($D82="Sim",'09 -Combustíveis, óleos, graxa '!S50*9.25%,0)</f>
        <v>12007.98</v>
      </c>
      <c r="W82" s="402">
        <f>IF($D82="Sim",'09 -Combustíveis, óleos, graxa '!T50*9.25%,0)</f>
        <v>12007.98</v>
      </c>
      <c r="X82" s="402">
        <f>IF($D82="Sim",'09 -Combustíveis, óleos, graxa '!U50*9.25%,0)</f>
        <v>12007.98</v>
      </c>
      <c r="Y82" s="402">
        <f>IF($D82="Sim",'09 -Combustíveis, óleos, graxa '!V50*9.25%,0)</f>
        <v>12007.98</v>
      </c>
      <c r="Z82" s="402">
        <f>IF($D82="Sim",'09 -Combustíveis, óleos, graxa '!W50*9.25%,0)</f>
        <v>12007.98</v>
      </c>
      <c r="AA82" s="402">
        <f>IF($D82="Sim",'09 -Combustíveis, óleos, graxa '!X50*9.25%,0)</f>
        <v>12007.98</v>
      </c>
      <c r="AB82" s="402">
        <f>IF($D82="Sim",'09 -Combustíveis, óleos, graxa '!Y50*9.25%,0)</f>
        <v>12007.98</v>
      </c>
      <c r="AC82" s="402">
        <f>IF($D82="Sim",'09 -Combustíveis, óleos, graxa '!Z50*9.25%,0)</f>
        <v>12007.98</v>
      </c>
      <c r="AD82" s="402">
        <f>IF($D82="Sim",'09 -Combustíveis, óleos, graxa '!AA50*9.25%,0)</f>
        <v>12007.98</v>
      </c>
      <c r="AE82" s="402">
        <f>IF($D82="Sim",'09 -Combustíveis, óleos, graxa '!AB50*9.25%,0)</f>
        <v>12007.98</v>
      </c>
      <c r="AF82" s="402">
        <f>IF($D82="Sim",'09 -Combustíveis, óleos, graxa '!AC50*9.25%,0)</f>
        <v>12007.98</v>
      </c>
      <c r="AG82" s="402">
        <f>IF($D82="Sim",'09 -Combustíveis, óleos, graxa '!AD50*9.25%,0)</f>
        <v>12007.98</v>
      </c>
      <c r="AH82" s="402">
        <f>IF($D82="Sim",'09 -Combustíveis, óleos, graxa '!AE50*9.25%,0)</f>
        <v>12007.98</v>
      </c>
      <c r="AI82" s="402">
        <f>IF($D82="Sim",'09 -Combustíveis, óleos, graxa '!AF50*9.25%,0)</f>
        <v>12007.98</v>
      </c>
      <c r="AJ82" s="402">
        <f>IF($D82="Sim",'09 -Combustíveis, óleos, graxa '!AG50*9.25%,0)</f>
        <v>12007.98</v>
      </c>
      <c r="AK82" s="402">
        <f>IF($D82="Sim",'09 -Combustíveis, óleos, graxa '!AH50*9.25%,0)</f>
        <v>12007.98</v>
      </c>
      <c r="AL82" s="402">
        <f>IF($D82="Sim",'09 -Combustíveis, óleos, graxa '!AI50*9.25%,0)</f>
        <v>12007.98</v>
      </c>
      <c r="AM82" s="402">
        <f>IF($D82="Sim",'09 -Combustíveis, óleos, graxa '!AJ50*9.25%,0)</f>
        <v>12007.98</v>
      </c>
      <c r="AN82" s="402">
        <f>IF($D82="Sim",'09 -Combustíveis, óleos, graxa '!AK50*9.25%,0)</f>
        <v>12007.98</v>
      </c>
    </row>
    <row r="83" spans="2:40" ht="13.15" customHeight="1" outlineLevel="1" x14ac:dyDescent="0.2">
      <c r="B83" s="404" t="s">
        <v>950</v>
      </c>
      <c r="C83" s="413"/>
      <c r="D83" s="299" t="s">
        <v>1333</v>
      </c>
      <c r="E83" s="407">
        <f t="shared" si="14"/>
        <v>84055.860000000015</v>
      </c>
      <c r="F83" s="402">
        <f>IF($D83="Sim",'09 -Combustíveis, óleos, graxa '!C54*9.25%,0)</f>
        <v>2401.596</v>
      </c>
      <c r="G83" s="402">
        <f>IF($D83="Sim",'09 -Combustíveis, óleos, graxa '!D54*9.25%,0)</f>
        <v>2401.596</v>
      </c>
      <c r="H83" s="402">
        <f>IF($D83="Sim",'09 -Combustíveis, óleos, graxa '!E54*9.25%,0)</f>
        <v>2401.596</v>
      </c>
      <c r="I83" s="402">
        <f>IF($D83="Sim",'09 -Combustíveis, óleos, graxa '!F54*9.25%,0)</f>
        <v>2401.596</v>
      </c>
      <c r="J83" s="402">
        <f>IF($D83="Sim",'09 -Combustíveis, óleos, graxa '!G54*9.25%,0)</f>
        <v>2401.596</v>
      </c>
      <c r="K83" s="402">
        <f>IF($D83="Sim",'09 -Combustíveis, óleos, graxa '!H54*9.25%,0)</f>
        <v>2401.596</v>
      </c>
      <c r="L83" s="402">
        <f>IF($D83="Sim",'09 -Combustíveis, óleos, graxa '!I54*9.25%,0)</f>
        <v>2401.596</v>
      </c>
      <c r="M83" s="402">
        <f>IF($D83="Sim",'09 -Combustíveis, óleos, graxa '!J54*9.25%,0)</f>
        <v>2401.596</v>
      </c>
      <c r="N83" s="402">
        <f>IF($D83="Sim",'09 -Combustíveis, óleos, graxa '!K54*9.25%,0)</f>
        <v>2401.596</v>
      </c>
      <c r="O83" s="402">
        <f>IF($D83="Sim",'09 -Combustíveis, óleos, graxa '!L54*9.25%,0)</f>
        <v>2401.596</v>
      </c>
      <c r="P83" s="402">
        <f>IF($D83="Sim",'09 -Combustíveis, óleos, graxa '!M54*9.25%,0)</f>
        <v>2401.596</v>
      </c>
      <c r="Q83" s="402">
        <f>IF($D83="Sim",'09 -Combustíveis, óleos, graxa '!N54*9.25%,0)</f>
        <v>2401.596</v>
      </c>
      <c r="R83" s="402">
        <f>IF($D83="Sim",'09 -Combustíveis, óleos, graxa '!O54*9.25%,0)</f>
        <v>2401.596</v>
      </c>
      <c r="S83" s="402">
        <f>IF($D83="Sim",'09 -Combustíveis, óleos, graxa '!P54*9.25%,0)</f>
        <v>2401.596</v>
      </c>
      <c r="T83" s="402">
        <f>IF($D83="Sim",'09 -Combustíveis, óleos, graxa '!Q54*9.25%,0)</f>
        <v>2401.596</v>
      </c>
      <c r="U83" s="402">
        <f>IF($D83="Sim",'09 -Combustíveis, óleos, graxa '!R54*9.25%,0)</f>
        <v>2401.596</v>
      </c>
      <c r="V83" s="402">
        <f>IF($D83="Sim",'09 -Combustíveis, óleos, graxa '!S54*9.25%,0)</f>
        <v>2401.596</v>
      </c>
      <c r="W83" s="402">
        <f>IF($D83="Sim",'09 -Combustíveis, óleos, graxa '!T54*9.25%,0)</f>
        <v>2401.596</v>
      </c>
      <c r="X83" s="402">
        <f>IF($D83="Sim",'09 -Combustíveis, óleos, graxa '!U54*9.25%,0)</f>
        <v>2401.596</v>
      </c>
      <c r="Y83" s="402">
        <f>IF($D83="Sim",'09 -Combustíveis, óleos, graxa '!V54*9.25%,0)</f>
        <v>2401.596</v>
      </c>
      <c r="Z83" s="402">
        <f>IF($D83="Sim",'09 -Combustíveis, óleos, graxa '!W54*9.25%,0)</f>
        <v>2401.596</v>
      </c>
      <c r="AA83" s="402">
        <f>IF($D83="Sim",'09 -Combustíveis, óleos, graxa '!X54*9.25%,0)</f>
        <v>2401.596</v>
      </c>
      <c r="AB83" s="402">
        <f>IF($D83="Sim",'09 -Combustíveis, óleos, graxa '!Y54*9.25%,0)</f>
        <v>2401.596</v>
      </c>
      <c r="AC83" s="402">
        <f>IF($D83="Sim",'09 -Combustíveis, óleos, graxa '!Z54*9.25%,0)</f>
        <v>2401.596</v>
      </c>
      <c r="AD83" s="402">
        <f>IF($D83="Sim",'09 -Combustíveis, óleos, graxa '!AA54*9.25%,0)</f>
        <v>2401.596</v>
      </c>
      <c r="AE83" s="402">
        <f>IF($D83="Sim",'09 -Combustíveis, óleos, graxa '!AB54*9.25%,0)</f>
        <v>2401.596</v>
      </c>
      <c r="AF83" s="402">
        <f>IF($D83="Sim",'09 -Combustíveis, óleos, graxa '!AC54*9.25%,0)</f>
        <v>2401.596</v>
      </c>
      <c r="AG83" s="402">
        <f>IF($D83="Sim",'09 -Combustíveis, óleos, graxa '!AD54*9.25%,0)</f>
        <v>2401.596</v>
      </c>
      <c r="AH83" s="402">
        <f>IF($D83="Sim",'09 -Combustíveis, óleos, graxa '!AE54*9.25%,0)</f>
        <v>2401.596</v>
      </c>
      <c r="AI83" s="402">
        <f>IF($D83="Sim",'09 -Combustíveis, óleos, graxa '!AF54*9.25%,0)</f>
        <v>2401.596</v>
      </c>
      <c r="AJ83" s="402">
        <f>IF($D83="Sim",'09 -Combustíveis, óleos, graxa '!AG54*9.25%,0)</f>
        <v>2401.596</v>
      </c>
      <c r="AK83" s="402">
        <f>IF($D83="Sim",'09 -Combustíveis, óleos, graxa '!AH54*9.25%,0)</f>
        <v>2401.596</v>
      </c>
      <c r="AL83" s="402">
        <f>IF($D83="Sim",'09 -Combustíveis, óleos, graxa '!AI54*9.25%,0)</f>
        <v>2401.596</v>
      </c>
      <c r="AM83" s="402">
        <f>IF($D83="Sim",'09 -Combustíveis, óleos, graxa '!AJ54*9.25%,0)</f>
        <v>2401.596</v>
      </c>
      <c r="AN83" s="402">
        <f>IF($D83="Sim",'09 -Combustíveis, óleos, graxa '!AK54*9.25%,0)</f>
        <v>2401.596</v>
      </c>
    </row>
    <row r="84" spans="2:40" ht="13.15" customHeight="1" outlineLevel="1" x14ac:dyDescent="0.2">
      <c r="B84" s="404" t="s">
        <v>951</v>
      </c>
      <c r="C84" s="413"/>
      <c r="D84" s="299" t="s">
        <v>1333</v>
      </c>
      <c r="E84" s="407">
        <f t="shared" si="14"/>
        <v>36550.080000000009</v>
      </c>
      <c r="F84" s="402">
        <f>IF($D84="Sim",'09 -Combustíveis, óleos, graxa '!C58*9.25%,0)</f>
        <v>1044.288</v>
      </c>
      <c r="G84" s="402">
        <f>IF($D84="Sim",'09 -Combustíveis, óleos, graxa '!D58*9.25%,0)</f>
        <v>1044.288</v>
      </c>
      <c r="H84" s="402">
        <f>IF($D84="Sim",'09 -Combustíveis, óleos, graxa '!E58*9.25%,0)</f>
        <v>1044.288</v>
      </c>
      <c r="I84" s="402">
        <f>IF($D84="Sim",'09 -Combustíveis, óleos, graxa '!F58*9.25%,0)</f>
        <v>1044.288</v>
      </c>
      <c r="J84" s="402">
        <f>IF($D84="Sim",'09 -Combustíveis, óleos, graxa '!G58*9.25%,0)</f>
        <v>1044.288</v>
      </c>
      <c r="K84" s="402">
        <f>IF($D84="Sim",'09 -Combustíveis, óleos, graxa '!H58*9.25%,0)</f>
        <v>1044.288</v>
      </c>
      <c r="L84" s="402">
        <f>IF($D84="Sim",'09 -Combustíveis, óleos, graxa '!I58*9.25%,0)</f>
        <v>1044.288</v>
      </c>
      <c r="M84" s="402">
        <f>IF($D84="Sim",'09 -Combustíveis, óleos, graxa '!J58*9.25%,0)</f>
        <v>1044.288</v>
      </c>
      <c r="N84" s="402">
        <f>IF($D84="Sim",'09 -Combustíveis, óleos, graxa '!K58*9.25%,0)</f>
        <v>1044.288</v>
      </c>
      <c r="O84" s="402">
        <f>IF($D84="Sim",'09 -Combustíveis, óleos, graxa '!L58*9.25%,0)</f>
        <v>1044.288</v>
      </c>
      <c r="P84" s="402">
        <f>IF($D84="Sim",'09 -Combustíveis, óleos, graxa '!M58*9.25%,0)</f>
        <v>1044.288</v>
      </c>
      <c r="Q84" s="402">
        <f>IF($D84="Sim",'09 -Combustíveis, óleos, graxa '!N58*9.25%,0)</f>
        <v>1044.288</v>
      </c>
      <c r="R84" s="402">
        <f>IF($D84="Sim",'09 -Combustíveis, óleos, graxa '!O58*9.25%,0)</f>
        <v>1044.288</v>
      </c>
      <c r="S84" s="402">
        <f>IF($D84="Sim",'09 -Combustíveis, óleos, graxa '!P58*9.25%,0)</f>
        <v>1044.288</v>
      </c>
      <c r="T84" s="402">
        <f>IF($D84="Sim",'09 -Combustíveis, óleos, graxa '!Q58*9.25%,0)</f>
        <v>1044.288</v>
      </c>
      <c r="U84" s="402">
        <f>IF($D84="Sim",'09 -Combustíveis, óleos, graxa '!R58*9.25%,0)</f>
        <v>1044.288</v>
      </c>
      <c r="V84" s="402">
        <f>IF($D84="Sim",'09 -Combustíveis, óleos, graxa '!S58*9.25%,0)</f>
        <v>1044.288</v>
      </c>
      <c r="W84" s="402">
        <f>IF($D84="Sim",'09 -Combustíveis, óleos, graxa '!T58*9.25%,0)</f>
        <v>1044.288</v>
      </c>
      <c r="X84" s="402">
        <f>IF($D84="Sim",'09 -Combustíveis, óleos, graxa '!U58*9.25%,0)</f>
        <v>1044.288</v>
      </c>
      <c r="Y84" s="402">
        <f>IF($D84="Sim",'09 -Combustíveis, óleos, graxa '!V58*9.25%,0)</f>
        <v>1044.288</v>
      </c>
      <c r="Z84" s="402">
        <f>IF($D84="Sim",'09 -Combustíveis, óleos, graxa '!W58*9.25%,0)</f>
        <v>1044.288</v>
      </c>
      <c r="AA84" s="402">
        <f>IF($D84="Sim",'09 -Combustíveis, óleos, graxa '!X58*9.25%,0)</f>
        <v>1044.288</v>
      </c>
      <c r="AB84" s="402">
        <f>IF($D84="Sim",'09 -Combustíveis, óleos, graxa '!Y58*9.25%,0)</f>
        <v>1044.288</v>
      </c>
      <c r="AC84" s="402">
        <f>IF($D84="Sim",'09 -Combustíveis, óleos, graxa '!Z58*9.25%,0)</f>
        <v>1044.288</v>
      </c>
      <c r="AD84" s="402">
        <f>IF($D84="Sim",'09 -Combustíveis, óleos, graxa '!AA58*9.25%,0)</f>
        <v>1044.288</v>
      </c>
      <c r="AE84" s="402">
        <f>IF($D84="Sim",'09 -Combustíveis, óleos, graxa '!AB58*9.25%,0)</f>
        <v>1044.288</v>
      </c>
      <c r="AF84" s="402">
        <f>IF($D84="Sim",'09 -Combustíveis, óleos, graxa '!AC58*9.25%,0)</f>
        <v>1044.288</v>
      </c>
      <c r="AG84" s="402">
        <f>IF($D84="Sim",'09 -Combustíveis, óleos, graxa '!AD58*9.25%,0)</f>
        <v>1044.288</v>
      </c>
      <c r="AH84" s="402">
        <f>IF($D84="Sim",'09 -Combustíveis, óleos, graxa '!AE58*9.25%,0)</f>
        <v>1044.288</v>
      </c>
      <c r="AI84" s="402">
        <f>IF($D84="Sim",'09 -Combustíveis, óleos, graxa '!AF58*9.25%,0)</f>
        <v>1044.288</v>
      </c>
      <c r="AJ84" s="402">
        <f>IF($D84="Sim",'09 -Combustíveis, óleos, graxa '!AG58*9.25%,0)</f>
        <v>1044.288</v>
      </c>
      <c r="AK84" s="402">
        <f>IF($D84="Sim",'09 -Combustíveis, óleos, graxa '!AH58*9.25%,0)</f>
        <v>1044.288</v>
      </c>
      <c r="AL84" s="402">
        <f>IF($D84="Sim",'09 -Combustíveis, óleos, graxa '!AI58*9.25%,0)</f>
        <v>1044.288</v>
      </c>
      <c r="AM84" s="402">
        <f>IF($D84="Sim",'09 -Combustíveis, óleos, graxa '!AJ58*9.25%,0)</f>
        <v>1044.288</v>
      </c>
      <c r="AN84" s="402">
        <f>IF($D84="Sim",'09 -Combustíveis, óleos, graxa '!AK58*9.25%,0)</f>
        <v>1044.288</v>
      </c>
    </row>
    <row r="85" spans="2:40" ht="13.15" customHeight="1" outlineLevel="1" x14ac:dyDescent="0.2">
      <c r="B85" s="404" t="s">
        <v>952</v>
      </c>
      <c r="C85" s="413"/>
      <c r="D85" s="299" t="s">
        <v>1333</v>
      </c>
      <c r="E85" s="407">
        <f t="shared" si="14"/>
        <v>114218.99999999994</v>
      </c>
      <c r="F85" s="402">
        <f>IF($D85="Sim",'09 -Combustíveis, óleos, graxa '!C62*9.25%,0)</f>
        <v>3263.4</v>
      </c>
      <c r="G85" s="402">
        <f>IF($D85="Sim",'09 -Combustíveis, óleos, graxa '!D62*9.25%,0)</f>
        <v>3263.4</v>
      </c>
      <c r="H85" s="402">
        <f>IF($D85="Sim",'09 -Combustíveis, óleos, graxa '!E62*9.25%,0)</f>
        <v>3263.4</v>
      </c>
      <c r="I85" s="402">
        <f>IF($D85="Sim",'09 -Combustíveis, óleos, graxa '!F62*9.25%,0)</f>
        <v>3263.4</v>
      </c>
      <c r="J85" s="402">
        <f>IF($D85="Sim",'09 -Combustíveis, óleos, graxa '!G62*9.25%,0)</f>
        <v>3263.4</v>
      </c>
      <c r="K85" s="402">
        <f>IF($D85="Sim",'09 -Combustíveis, óleos, graxa '!H62*9.25%,0)</f>
        <v>3263.4</v>
      </c>
      <c r="L85" s="402">
        <f>IF($D85="Sim",'09 -Combustíveis, óleos, graxa '!I62*9.25%,0)</f>
        <v>3263.4</v>
      </c>
      <c r="M85" s="402">
        <f>IF($D85="Sim",'09 -Combustíveis, óleos, graxa '!J62*9.25%,0)</f>
        <v>3263.4</v>
      </c>
      <c r="N85" s="402">
        <f>IF($D85="Sim",'09 -Combustíveis, óleos, graxa '!K62*9.25%,0)</f>
        <v>3263.4</v>
      </c>
      <c r="O85" s="402">
        <f>IF($D85="Sim",'09 -Combustíveis, óleos, graxa '!L62*9.25%,0)</f>
        <v>3263.4</v>
      </c>
      <c r="P85" s="402">
        <f>IF($D85="Sim",'09 -Combustíveis, óleos, graxa '!M62*9.25%,0)</f>
        <v>3263.4</v>
      </c>
      <c r="Q85" s="402">
        <f>IF($D85="Sim",'09 -Combustíveis, óleos, graxa '!N62*9.25%,0)</f>
        <v>3263.4</v>
      </c>
      <c r="R85" s="402">
        <f>IF($D85="Sim",'09 -Combustíveis, óleos, graxa '!O62*9.25%,0)</f>
        <v>3263.4</v>
      </c>
      <c r="S85" s="402">
        <f>IF($D85="Sim",'09 -Combustíveis, óleos, graxa '!P62*9.25%,0)</f>
        <v>3263.4</v>
      </c>
      <c r="T85" s="402">
        <f>IF($D85="Sim",'09 -Combustíveis, óleos, graxa '!Q62*9.25%,0)</f>
        <v>3263.4</v>
      </c>
      <c r="U85" s="402">
        <f>IF($D85="Sim",'09 -Combustíveis, óleos, graxa '!R62*9.25%,0)</f>
        <v>3263.4</v>
      </c>
      <c r="V85" s="402">
        <f>IF($D85="Sim",'09 -Combustíveis, óleos, graxa '!S62*9.25%,0)</f>
        <v>3263.4</v>
      </c>
      <c r="W85" s="402">
        <f>IF($D85="Sim",'09 -Combustíveis, óleos, graxa '!T62*9.25%,0)</f>
        <v>3263.4</v>
      </c>
      <c r="X85" s="402">
        <f>IF($D85="Sim",'09 -Combustíveis, óleos, graxa '!U62*9.25%,0)</f>
        <v>3263.4</v>
      </c>
      <c r="Y85" s="402">
        <f>IF($D85="Sim",'09 -Combustíveis, óleos, graxa '!V62*9.25%,0)</f>
        <v>3263.4</v>
      </c>
      <c r="Z85" s="402">
        <f>IF($D85="Sim",'09 -Combustíveis, óleos, graxa '!W62*9.25%,0)</f>
        <v>3263.4</v>
      </c>
      <c r="AA85" s="402">
        <f>IF($D85="Sim",'09 -Combustíveis, óleos, graxa '!X62*9.25%,0)</f>
        <v>3263.4</v>
      </c>
      <c r="AB85" s="402">
        <f>IF($D85="Sim",'09 -Combustíveis, óleos, graxa '!Y62*9.25%,0)</f>
        <v>3263.4</v>
      </c>
      <c r="AC85" s="402">
        <f>IF($D85="Sim",'09 -Combustíveis, óleos, graxa '!Z62*9.25%,0)</f>
        <v>3263.4</v>
      </c>
      <c r="AD85" s="402">
        <f>IF($D85="Sim",'09 -Combustíveis, óleos, graxa '!AA62*9.25%,0)</f>
        <v>3263.4</v>
      </c>
      <c r="AE85" s="402">
        <f>IF($D85="Sim",'09 -Combustíveis, óleos, graxa '!AB62*9.25%,0)</f>
        <v>3263.4</v>
      </c>
      <c r="AF85" s="402">
        <f>IF($D85="Sim",'09 -Combustíveis, óleos, graxa '!AC62*9.25%,0)</f>
        <v>3263.4</v>
      </c>
      <c r="AG85" s="402">
        <f>IF($D85="Sim",'09 -Combustíveis, óleos, graxa '!AD62*9.25%,0)</f>
        <v>3263.4</v>
      </c>
      <c r="AH85" s="402">
        <f>IF($D85="Sim",'09 -Combustíveis, óleos, graxa '!AE62*9.25%,0)</f>
        <v>3263.4</v>
      </c>
      <c r="AI85" s="402">
        <f>IF($D85="Sim",'09 -Combustíveis, óleos, graxa '!AF62*9.25%,0)</f>
        <v>3263.4</v>
      </c>
      <c r="AJ85" s="402">
        <f>IF($D85="Sim",'09 -Combustíveis, óleos, graxa '!AG62*9.25%,0)</f>
        <v>3263.4</v>
      </c>
      <c r="AK85" s="402">
        <f>IF($D85="Sim",'09 -Combustíveis, óleos, graxa '!AH62*9.25%,0)</f>
        <v>3263.4</v>
      </c>
      <c r="AL85" s="402">
        <f>IF($D85="Sim",'09 -Combustíveis, óleos, graxa '!AI62*9.25%,0)</f>
        <v>3263.4</v>
      </c>
      <c r="AM85" s="402">
        <f>IF($D85="Sim",'09 -Combustíveis, óleos, graxa '!AJ62*9.25%,0)</f>
        <v>3263.4</v>
      </c>
      <c r="AN85" s="402">
        <f>IF($D85="Sim",'09 -Combustíveis, óleos, graxa '!AK62*9.25%,0)</f>
        <v>3263.4</v>
      </c>
    </row>
    <row r="86" spans="2:40" ht="13.15" customHeight="1" outlineLevel="1" x14ac:dyDescent="0.2">
      <c r="B86" s="404" t="s">
        <v>953</v>
      </c>
      <c r="C86" s="413"/>
      <c r="D86" s="299" t="s">
        <v>1333</v>
      </c>
      <c r="E86" s="407">
        <f t="shared" si="14"/>
        <v>22238.201999999976</v>
      </c>
      <c r="F86" s="402">
        <f>IF($D86="Sim",'09 -Combustíveis, óleos, graxa '!C66*9.25%,0)</f>
        <v>635.3771999999999</v>
      </c>
      <c r="G86" s="402">
        <f>IF($D86="Sim",'09 -Combustíveis, óleos, graxa '!D66*9.25%,0)</f>
        <v>635.3771999999999</v>
      </c>
      <c r="H86" s="402">
        <f>IF($D86="Sim",'09 -Combustíveis, óleos, graxa '!E66*9.25%,0)</f>
        <v>635.3771999999999</v>
      </c>
      <c r="I86" s="402">
        <f>IF($D86="Sim",'09 -Combustíveis, óleos, graxa '!F66*9.25%,0)</f>
        <v>635.3771999999999</v>
      </c>
      <c r="J86" s="402">
        <f>IF($D86="Sim",'09 -Combustíveis, óleos, graxa '!G66*9.25%,0)</f>
        <v>635.3771999999999</v>
      </c>
      <c r="K86" s="402">
        <f>IF($D86="Sim",'09 -Combustíveis, óleos, graxa '!H66*9.25%,0)</f>
        <v>635.3771999999999</v>
      </c>
      <c r="L86" s="402">
        <f>IF($D86="Sim",'09 -Combustíveis, óleos, graxa '!I66*9.25%,0)</f>
        <v>635.3771999999999</v>
      </c>
      <c r="M86" s="402">
        <f>IF($D86="Sim",'09 -Combustíveis, óleos, graxa '!J66*9.25%,0)</f>
        <v>635.3771999999999</v>
      </c>
      <c r="N86" s="402">
        <f>IF($D86="Sim",'09 -Combustíveis, óleos, graxa '!K66*9.25%,0)</f>
        <v>635.3771999999999</v>
      </c>
      <c r="O86" s="402">
        <f>IF($D86="Sim",'09 -Combustíveis, óleos, graxa '!L66*9.25%,0)</f>
        <v>635.3771999999999</v>
      </c>
      <c r="P86" s="402">
        <f>IF($D86="Sim",'09 -Combustíveis, óleos, graxa '!M66*9.25%,0)</f>
        <v>635.3771999999999</v>
      </c>
      <c r="Q86" s="402">
        <f>IF($D86="Sim",'09 -Combustíveis, óleos, graxa '!N66*9.25%,0)</f>
        <v>635.3771999999999</v>
      </c>
      <c r="R86" s="402">
        <f>IF($D86="Sim",'09 -Combustíveis, óleos, graxa '!O66*9.25%,0)</f>
        <v>635.3771999999999</v>
      </c>
      <c r="S86" s="402">
        <f>IF($D86="Sim",'09 -Combustíveis, óleos, graxa '!P66*9.25%,0)</f>
        <v>635.3771999999999</v>
      </c>
      <c r="T86" s="402">
        <f>IF($D86="Sim",'09 -Combustíveis, óleos, graxa '!Q66*9.25%,0)</f>
        <v>635.3771999999999</v>
      </c>
      <c r="U86" s="402">
        <f>IF($D86="Sim",'09 -Combustíveis, óleos, graxa '!R66*9.25%,0)</f>
        <v>635.3771999999999</v>
      </c>
      <c r="V86" s="402">
        <f>IF($D86="Sim",'09 -Combustíveis, óleos, graxa '!S66*9.25%,0)</f>
        <v>635.3771999999999</v>
      </c>
      <c r="W86" s="402">
        <f>IF($D86="Sim",'09 -Combustíveis, óleos, graxa '!T66*9.25%,0)</f>
        <v>635.3771999999999</v>
      </c>
      <c r="X86" s="402">
        <f>IF($D86="Sim",'09 -Combustíveis, óleos, graxa '!U66*9.25%,0)</f>
        <v>635.3771999999999</v>
      </c>
      <c r="Y86" s="402">
        <f>IF($D86="Sim",'09 -Combustíveis, óleos, graxa '!V66*9.25%,0)</f>
        <v>635.3771999999999</v>
      </c>
      <c r="Z86" s="402">
        <f>IF($D86="Sim",'09 -Combustíveis, óleos, graxa '!W66*9.25%,0)</f>
        <v>635.3771999999999</v>
      </c>
      <c r="AA86" s="402">
        <f>IF($D86="Sim",'09 -Combustíveis, óleos, graxa '!X66*9.25%,0)</f>
        <v>635.3771999999999</v>
      </c>
      <c r="AB86" s="402">
        <f>IF($D86="Sim",'09 -Combustíveis, óleos, graxa '!Y66*9.25%,0)</f>
        <v>635.3771999999999</v>
      </c>
      <c r="AC86" s="402">
        <f>IF($D86="Sim",'09 -Combustíveis, óleos, graxa '!Z66*9.25%,0)</f>
        <v>635.3771999999999</v>
      </c>
      <c r="AD86" s="402">
        <f>IF($D86="Sim",'09 -Combustíveis, óleos, graxa '!AA66*9.25%,0)</f>
        <v>635.3771999999999</v>
      </c>
      <c r="AE86" s="402">
        <f>IF($D86="Sim",'09 -Combustíveis, óleos, graxa '!AB66*9.25%,0)</f>
        <v>635.3771999999999</v>
      </c>
      <c r="AF86" s="402">
        <f>IF($D86="Sim",'09 -Combustíveis, óleos, graxa '!AC66*9.25%,0)</f>
        <v>635.3771999999999</v>
      </c>
      <c r="AG86" s="402">
        <f>IF($D86="Sim",'09 -Combustíveis, óleos, graxa '!AD66*9.25%,0)</f>
        <v>635.3771999999999</v>
      </c>
      <c r="AH86" s="402">
        <f>IF($D86="Sim",'09 -Combustíveis, óleos, graxa '!AE66*9.25%,0)</f>
        <v>635.3771999999999</v>
      </c>
      <c r="AI86" s="402">
        <f>IF($D86="Sim",'09 -Combustíveis, óleos, graxa '!AF66*9.25%,0)</f>
        <v>635.3771999999999</v>
      </c>
      <c r="AJ86" s="402">
        <f>IF($D86="Sim",'09 -Combustíveis, óleos, graxa '!AG66*9.25%,0)</f>
        <v>635.3771999999999</v>
      </c>
      <c r="AK86" s="402">
        <f>IF($D86="Sim",'09 -Combustíveis, óleos, graxa '!AH66*9.25%,0)</f>
        <v>635.3771999999999</v>
      </c>
      <c r="AL86" s="402">
        <f>IF($D86="Sim",'09 -Combustíveis, óleos, graxa '!AI66*9.25%,0)</f>
        <v>635.3771999999999</v>
      </c>
      <c r="AM86" s="402">
        <f>IF($D86="Sim",'09 -Combustíveis, óleos, graxa '!AJ66*9.25%,0)</f>
        <v>635.3771999999999</v>
      </c>
      <c r="AN86" s="402">
        <f>IF($D86="Sim",'09 -Combustíveis, óleos, graxa '!AK66*9.25%,0)</f>
        <v>635.3771999999999</v>
      </c>
    </row>
    <row r="87" spans="2:40" ht="13.15" customHeight="1" outlineLevel="1" x14ac:dyDescent="0.2">
      <c r="B87" s="404" t="s">
        <v>1355</v>
      </c>
      <c r="C87" s="413"/>
      <c r="D87" s="299" t="s">
        <v>1333</v>
      </c>
      <c r="E87" s="407">
        <f t="shared" si="14"/>
        <v>152292</v>
      </c>
      <c r="F87" s="402">
        <f>IF($D87="Sim",'09 -Combustíveis, óleos, graxa '!C70*9.25%,0)</f>
        <v>4351.2</v>
      </c>
      <c r="G87" s="402">
        <f>IF($D87="Sim",'09 -Combustíveis, óleos, graxa '!D70*9.25%,0)</f>
        <v>4351.2</v>
      </c>
      <c r="H87" s="402">
        <f>IF($D87="Sim",'09 -Combustíveis, óleos, graxa '!E70*9.25%,0)</f>
        <v>4351.2</v>
      </c>
      <c r="I87" s="402">
        <f>IF($D87="Sim",'09 -Combustíveis, óleos, graxa '!F70*9.25%,0)</f>
        <v>4351.2</v>
      </c>
      <c r="J87" s="402">
        <f>IF($D87="Sim",'09 -Combustíveis, óleos, graxa '!G70*9.25%,0)</f>
        <v>4351.2</v>
      </c>
      <c r="K87" s="402">
        <f>IF($D87="Sim",'09 -Combustíveis, óleos, graxa '!H70*9.25%,0)</f>
        <v>4351.2</v>
      </c>
      <c r="L87" s="402">
        <f>IF($D87="Sim",'09 -Combustíveis, óleos, graxa '!I70*9.25%,0)</f>
        <v>4351.2</v>
      </c>
      <c r="M87" s="402">
        <f>IF($D87="Sim",'09 -Combustíveis, óleos, graxa '!J70*9.25%,0)</f>
        <v>4351.2</v>
      </c>
      <c r="N87" s="402">
        <f>IF($D87="Sim",'09 -Combustíveis, óleos, graxa '!K70*9.25%,0)</f>
        <v>4351.2</v>
      </c>
      <c r="O87" s="402">
        <f>IF($D87="Sim",'09 -Combustíveis, óleos, graxa '!L70*9.25%,0)</f>
        <v>4351.2</v>
      </c>
      <c r="P87" s="402">
        <f>IF($D87="Sim",'09 -Combustíveis, óleos, graxa '!M70*9.25%,0)</f>
        <v>4351.2</v>
      </c>
      <c r="Q87" s="402">
        <f>IF($D87="Sim",'09 -Combustíveis, óleos, graxa '!N70*9.25%,0)</f>
        <v>4351.2</v>
      </c>
      <c r="R87" s="402">
        <f>IF($D87="Sim",'09 -Combustíveis, óleos, graxa '!O70*9.25%,0)</f>
        <v>4351.2</v>
      </c>
      <c r="S87" s="402">
        <f>IF($D87="Sim",'09 -Combustíveis, óleos, graxa '!P70*9.25%,0)</f>
        <v>4351.2</v>
      </c>
      <c r="T87" s="402">
        <f>IF($D87="Sim",'09 -Combustíveis, óleos, graxa '!Q70*9.25%,0)</f>
        <v>4351.2</v>
      </c>
      <c r="U87" s="402">
        <f>IF($D87="Sim",'09 -Combustíveis, óleos, graxa '!R70*9.25%,0)</f>
        <v>4351.2</v>
      </c>
      <c r="V87" s="402">
        <f>IF($D87="Sim",'09 -Combustíveis, óleos, graxa '!S70*9.25%,0)</f>
        <v>4351.2</v>
      </c>
      <c r="W87" s="402">
        <f>IF($D87="Sim",'09 -Combustíveis, óleos, graxa '!T70*9.25%,0)</f>
        <v>4351.2</v>
      </c>
      <c r="X87" s="402">
        <f>IF($D87="Sim",'09 -Combustíveis, óleos, graxa '!U70*9.25%,0)</f>
        <v>4351.2</v>
      </c>
      <c r="Y87" s="402">
        <f>IF($D87="Sim",'09 -Combustíveis, óleos, graxa '!V70*9.25%,0)</f>
        <v>4351.2</v>
      </c>
      <c r="Z87" s="402">
        <f>IF($D87="Sim",'09 -Combustíveis, óleos, graxa '!W70*9.25%,0)</f>
        <v>4351.2</v>
      </c>
      <c r="AA87" s="402">
        <f>IF($D87="Sim",'09 -Combustíveis, óleos, graxa '!X70*9.25%,0)</f>
        <v>4351.2</v>
      </c>
      <c r="AB87" s="402">
        <f>IF($D87="Sim",'09 -Combustíveis, óleos, graxa '!Y70*9.25%,0)</f>
        <v>4351.2</v>
      </c>
      <c r="AC87" s="402">
        <f>IF($D87="Sim",'09 -Combustíveis, óleos, graxa '!Z70*9.25%,0)</f>
        <v>4351.2</v>
      </c>
      <c r="AD87" s="402">
        <f>IF($D87="Sim",'09 -Combustíveis, óleos, graxa '!AA70*9.25%,0)</f>
        <v>4351.2</v>
      </c>
      <c r="AE87" s="402">
        <f>IF($D87="Sim",'09 -Combustíveis, óleos, graxa '!AB70*9.25%,0)</f>
        <v>4351.2</v>
      </c>
      <c r="AF87" s="402">
        <f>IF($D87="Sim",'09 -Combustíveis, óleos, graxa '!AC70*9.25%,0)</f>
        <v>4351.2</v>
      </c>
      <c r="AG87" s="402">
        <f>IF($D87="Sim",'09 -Combustíveis, óleos, graxa '!AD70*9.25%,0)</f>
        <v>4351.2</v>
      </c>
      <c r="AH87" s="402">
        <f>IF($D87="Sim",'09 -Combustíveis, óleos, graxa '!AE70*9.25%,0)</f>
        <v>4351.2</v>
      </c>
      <c r="AI87" s="402">
        <f>IF($D87="Sim",'09 -Combustíveis, óleos, graxa '!AF70*9.25%,0)</f>
        <v>4351.2</v>
      </c>
      <c r="AJ87" s="402">
        <f>IF($D87="Sim",'09 -Combustíveis, óleos, graxa '!AG70*9.25%,0)</f>
        <v>4351.2</v>
      </c>
      <c r="AK87" s="402">
        <f>IF($D87="Sim",'09 -Combustíveis, óleos, graxa '!AH70*9.25%,0)</f>
        <v>4351.2</v>
      </c>
      <c r="AL87" s="402">
        <f>IF($D87="Sim",'09 -Combustíveis, óleos, graxa '!AI70*9.25%,0)</f>
        <v>4351.2</v>
      </c>
      <c r="AM87" s="402">
        <f>IF($D87="Sim",'09 -Combustíveis, óleos, graxa '!AJ70*9.25%,0)</f>
        <v>4351.2</v>
      </c>
      <c r="AN87" s="402">
        <f>IF($D87="Sim",'09 -Combustíveis, óleos, graxa '!AK70*9.25%,0)</f>
        <v>4351.2</v>
      </c>
    </row>
    <row r="88" spans="2:40" ht="13.15" customHeight="1" outlineLevel="1" x14ac:dyDescent="0.2">
      <c r="B88" s="404" t="s">
        <v>1356</v>
      </c>
      <c r="C88" s="413"/>
      <c r="D88" s="299" t="s">
        <v>1333</v>
      </c>
      <c r="E88" s="407">
        <f t="shared" si="14"/>
        <v>50313.469499999977</v>
      </c>
      <c r="F88" s="402">
        <f>IF($D88="Sim",'09 -Combustíveis, óleos, graxa '!C74*9.25%,0)</f>
        <v>1437.5277000000001</v>
      </c>
      <c r="G88" s="402">
        <f>IF($D88="Sim",'09 -Combustíveis, óleos, graxa '!D74*9.25%,0)</f>
        <v>1437.5277000000001</v>
      </c>
      <c r="H88" s="402">
        <f>IF($D88="Sim",'09 -Combustíveis, óleos, graxa '!E74*9.25%,0)</f>
        <v>1437.5277000000001</v>
      </c>
      <c r="I88" s="402">
        <f>IF($D88="Sim",'09 -Combustíveis, óleos, graxa '!F74*9.25%,0)</f>
        <v>1437.5277000000001</v>
      </c>
      <c r="J88" s="402">
        <f>IF($D88="Sim",'09 -Combustíveis, óleos, graxa '!G74*9.25%,0)</f>
        <v>1437.5277000000001</v>
      </c>
      <c r="K88" s="402">
        <f>IF($D88="Sim",'09 -Combustíveis, óleos, graxa '!H74*9.25%,0)</f>
        <v>1437.5277000000001</v>
      </c>
      <c r="L88" s="402">
        <f>IF($D88="Sim",'09 -Combustíveis, óleos, graxa '!I74*9.25%,0)</f>
        <v>1437.5277000000001</v>
      </c>
      <c r="M88" s="402">
        <f>IF($D88="Sim",'09 -Combustíveis, óleos, graxa '!J74*9.25%,0)</f>
        <v>1437.5277000000001</v>
      </c>
      <c r="N88" s="402">
        <f>IF($D88="Sim",'09 -Combustíveis, óleos, graxa '!K74*9.25%,0)</f>
        <v>1437.5277000000001</v>
      </c>
      <c r="O88" s="402">
        <f>IF($D88="Sim",'09 -Combustíveis, óleos, graxa '!L74*9.25%,0)</f>
        <v>1437.5277000000001</v>
      </c>
      <c r="P88" s="402">
        <f>IF($D88="Sim",'09 -Combustíveis, óleos, graxa '!M74*9.25%,0)</f>
        <v>1437.5277000000001</v>
      </c>
      <c r="Q88" s="402">
        <f>IF($D88="Sim",'09 -Combustíveis, óleos, graxa '!N74*9.25%,0)</f>
        <v>1437.5277000000001</v>
      </c>
      <c r="R88" s="402">
        <f>IF($D88="Sim",'09 -Combustíveis, óleos, graxa '!O74*9.25%,0)</f>
        <v>1437.5277000000001</v>
      </c>
      <c r="S88" s="402">
        <f>IF($D88="Sim",'09 -Combustíveis, óleos, graxa '!P74*9.25%,0)</f>
        <v>1437.5277000000001</v>
      </c>
      <c r="T88" s="402">
        <f>IF($D88="Sim",'09 -Combustíveis, óleos, graxa '!Q74*9.25%,0)</f>
        <v>1437.5277000000001</v>
      </c>
      <c r="U88" s="402">
        <f>IF($D88="Sim",'09 -Combustíveis, óleos, graxa '!R74*9.25%,0)</f>
        <v>1437.5277000000001</v>
      </c>
      <c r="V88" s="402">
        <f>IF($D88="Sim",'09 -Combustíveis, óleos, graxa '!S74*9.25%,0)</f>
        <v>1437.5277000000001</v>
      </c>
      <c r="W88" s="402">
        <f>IF($D88="Sim",'09 -Combustíveis, óleos, graxa '!T74*9.25%,0)</f>
        <v>1437.5277000000001</v>
      </c>
      <c r="X88" s="402">
        <f>IF($D88="Sim",'09 -Combustíveis, óleos, graxa '!U74*9.25%,0)</f>
        <v>1437.5277000000001</v>
      </c>
      <c r="Y88" s="402">
        <f>IF($D88="Sim",'09 -Combustíveis, óleos, graxa '!V74*9.25%,0)</f>
        <v>1437.5277000000001</v>
      </c>
      <c r="Z88" s="402">
        <f>IF($D88="Sim",'09 -Combustíveis, óleos, graxa '!W74*9.25%,0)</f>
        <v>1437.5277000000001</v>
      </c>
      <c r="AA88" s="402">
        <f>IF($D88="Sim",'09 -Combustíveis, óleos, graxa '!X74*9.25%,0)</f>
        <v>1437.5277000000001</v>
      </c>
      <c r="AB88" s="402">
        <f>IF($D88="Sim",'09 -Combustíveis, óleos, graxa '!Y74*9.25%,0)</f>
        <v>1437.5277000000001</v>
      </c>
      <c r="AC88" s="402">
        <f>IF($D88="Sim",'09 -Combustíveis, óleos, graxa '!Z74*9.25%,0)</f>
        <v>1437.5277000000001</v>
      </c>
      <c r="AD88" s="402">
        <f>IF($D88="Sim",'09 -Combustíveis, óleos, graxa '!AA74*9.25%,0)</f>
        <v>1437.5277000000001</v>
      </c>
      <c r="AE88" s="402">
        <f>IF($D88="Sim",'09 -Combustíveis, óleos, graxa '!AB74*9.25%,0)</f>
        <v>1437.5277000000001</v>
      </c>
      <c r="AF88" s="402">
        <f>IF($D88="Sim",'09 -Combustíveis, óleos, graxa '!AC74*9.25%,0)</f>
        <v>1437.5277000000001</v>
      </c>
      <c r="AG88" s="402">
        <f>IF($D88="Sim",'09 -Combustíveis, óleos, graxa '!AD74*9.25%,0)</f>
        <v>1437.5277000000001</v>
      </c>
      <c r="AH88" s="402">
        <f>IF($D88="Sim",'09 -Combustíveis, óleos, graxa '!AE74*9.25%,0)</f>
        <v>1437.5277000000001</v>
      </c>
      <c r="AI88" s="402">
        <f>IF($D88="Sim",'09 -Combustíveis, óleos, graxa '!AF74*9.25%,0)</f>
        <v>1437.5277000000001</v>
      </c>
      <c r="AJ88" s="402">
        <f>IF($D88="Sim",'09 -Combustíveis, óleos, graxa '!AG74*9.25%,0)</f>
        <v>1437.5277000000001</v>
      </c>
      <c r="AK88" s="402">
        <f>IF($D88="Sim",'09 -Combustíveis, óleos, graxa '!AH74*9.25%,0)</f>
        <v>1437.5277000000001</v>
      </c>
      <c r="AL88" s="402">
        <f>IF($D88="Sim",'09 -Combustíveis, óleos, graxa '!AI74*9.25%,0)</f>
        <v>1437.5277000000001</v>
      </c>
      <c r="AM88" s="402">
        <f>IF($D88="Sim",'09 -Combustíveis, óleos, graxa '!AJ74*9.25%,0)</f>
        <v>1437.5277000000001</v>
      </c>
      <c r="AN88" s="402">
        <f>IF($D88="Sim",'09 -Combustíveis, óleos, graxa '!AK74*9.25%,0)</f>
        <v>1437.5277000000001</v>
      </c>
    </row>
    <row r="89" spans="2:40" ht="13.15" customHeight="1" outlineLevel="1" x14ac:dyDescent="0.2">
      <c r="B89" s="404" t="s">
        <v>1357</v>
      </c>
      <c r="C89" s="413"/>
      <c r="D89" s="299" t="s">
        <v>1333</v>
      </c>
      <c r="E89" s="407">
        <f t="shared" si="14"/>
        <v>11119.100999999988</v>
      </c>
      <c r="F89" s="402">
        <f>IF($D89="Sim",'09 -Combustíveis, óleos, graxa '!C78*9.25%,0)</f>
        <v>317.68859999999995</v>
      </c>
      <c r="G89" s="402">
        <f>IF($D89="Sim",'09 -Combustíveis, óleos, graxa '!D78*9.25%,0)</f>
        <v>317.68859999999995</v>
      </c>
      <c r="H89" s="402">
        <f>IF($D89="Sim",'09 -Combustíveis, óleos, graxa '!E78*9.25%,0)</f>
        <v>317.68859999999995</v>
      </c>
      <c r="I89" s="402">
        <f>IF($D89="Sim",'09 -Combustíveis, óleos, graxa '!F78*9.25%,0)</f>
        <v>317.68859999999995</v>
      </c>
      <c r="J89" s="402">
        <f>IF($D89="Sim",'09 -Combustíveis, óleos, graxa '!G78*9.25%,0)</f>
        <v>317.68859999999995</v>
      </c>
      <c r="K89" s="402">
        <f>IF($D89="Sim",'09 -Combustíveis, óleos, graxa '!H78*9.25%,0)</f>
        <v>317.68859999999995</v>
      </c>
      <c r="L89" s="402">
        <f>IF($D89="Sim",'09 -Combustíveis, óleos, graxa '!I78*9.25%,0)</f>
        <v>317.68859999999995</v>
      </c>
      <c r="M89" s="402">
        <f>IF($D89="Sim",'09 -Combustíveis, óleos, graxa '!J78*9.25%,0)</f>
        <v>317.68859999999995</v>
      </c>
      <c r="N89" s="402">
        <f>IF($D89="Sim",'09 -Combustíveis, óleos, graxa '!K78*9.25%,0)</f>
        <v>317.68859999999995</v>
      </c>
      <c r="O89" s="402">
        <f>IF($D89="Sim",'09 -Combustíveis, óleos, graxa '!L78*9.25%,0)</f>
        <v>317.68859999999995</v>
      </c>
      <c r="P89" s="402">
        <f>IF($D89="Sim",'09 -Combustíveis, óleos, graxa '!M78*9.25%,0)</f>
        <v>317.68859999999995</v>
      </c>
      <c r="Q89" s="402">
        <f>IF($D89="Sim",'09 -Combustíveis, óleos, graxa '!N78*9.25%,0)</f>
        <v>317.68859999999995</v>
      </c>
      <c r="R89" s="402">
        <f>IF($D89="Sim",'09 -Combustíveis, óleos, graxa '!O78*9.25%,0)</f>
        <v>317.68859999999995</v>
      </c>
      <c r="S89" s="402">
        <f>IF($D89="Sim",'09 -Combustíveis, óleos, graxa '!P78*9.25%,0)</f>
        <v>317.68859999999995</v>
      </c>
      <c r="T89" s="402">
        <f>IF($D89="Sim",'09 -Combustíveis, óleos, graxa '!Q78*9.25%,0)</f>
        <v>317.68859999999995</v>
      </c>
      <c r="U89" s="402">
        <f>IF($D89="Sim",'09 -Combustíveis, óleos, graxa '!R78*9.25%,0)</f>
        <v>317.68859999999995</v>
      </c>
      <c r="V89" s="402">
        <f>IF($D89="Sim",'09 -Combustíveis, óleos, graxa '!S78*9.25%,0)</f>
        <v>317.68859999999995</v>
      </c>
      <c r="W89" s="402">
        <f>IF($D89="Sim",'09 -Combustíveis, óleos, graxa '!T78*9.25%,0)</f>
        <v>317.68859999999995</v>
      </c>
      <c r="X89" s="402">
        <f>IF($D89="Sim",'09 -Combustíveis, óleos, graxa '!U78*9.25%,0)</f>
        <v>317.68859999999995</v>
      </c>
      <c r="Y89" s="402">
        <f>IF($D89="Sim",'09 -Combustíveis, óleos, graxa '!V78*9.25%,0)</f>
        <v>317.68859999999995</v>
      </c>
      <c r="Z89" s="402">
        <f>IF($D89="Sim",'09 -Combustíveis, óleos, graxa '!W78*9.25%,0)</f>
        <v>317.68859999999995</v>
      </c>
      <c r="AA89" s="402">
        <f>IF($D89="Sim",'09 -Combustíveis, óleos, graxa '!X78*9.25%,0)</f>
        <v>317.68859999999995</v>
      </c>
      <c r="AB89" s="402">
        <f>IF($D89="Sim",'09 -Combustíveis, óleos, graxa '!Y78*9.25%,0)</f>
        <v>317.68859999999995</v>
      </c>
      <c r="AC89" s="402">
        <f>IF($D89="Sim",'09 -Combustíveis, óleos, graxa '!Z78*9.25%,0)</f>
        <v>317.68859999999995</v>
      </c>
      <c r="AD89" s="402">
        <f>IF($D89="Sim",'09 -Combustíveis, óleos, graxa '!AA78*9.25%,0)</f>
        <v>317.68859999999995</v>
      </c>
      <c r="AE89" s="402">
        <f>IF($D89="Sim",'09 -Combustíveis, óleos, graxa '!AB78*9.25%,0)</f>
        <v>317.68859999999995</v>
      </c>
      <c r="AF89" s="402">
        <f>IF($D89="Sim",'09 -Combustíveis, óleos, graxa '!AC78*9.25%,0)</f>
        <v>317.68859999999995</v>
      </c>
      <c r="AG89" s="402">
        <f>IF($D89="Sim",'09 -Combustíveis, óleos, graxa '!AD78*9.25%,0)</f>
        <v>317.68859999999995</v>
      </c>
      <c r="AH89" s="402">
        <f>IF($D89="Sim",'09 -Combustíveis, óleos, graxa '!AE78*9.25%,0)</f>
        <v>317.68859999999995</v>
      </c>
      <c r="AI89" s="402">
        <f>IF($D89="Sim",'09 -Combustíveis, óleos, graxa '!AF78*9.25%,0)</f>
        <v>317.68859999999995</v>
      </c>
      <c r="AJ89" s="402">
        <f>IF($D89="Sim",'09 -Combustíveis, óleos, graxa '!AG78*9.25%,0)</f>
        <v>317.68859999999995</v>
      </c>
      <c r="AK89" s="402">
        <f>IF($D89="Sim",'09 -Combustíveis, óleos, graxa '!AH78*9.25%,0)</f>
        <v>317.68859999999995</v>
      </c>
      <c r="AL89" s="402">
        <f>IF($D89="Sim",'09 -Combustíveis, óleos, graxa '!AI78*9.25%,0)</f>
        <v>317.68859999999995</v>
      </c>
      <c r="AM89" s="402">
        <f>IF($D89="Sim",'09 -Combustíveis, óleos, graxa '!AJ78*9.25%,0)</f>
        <v>317.68859999999995</v>
      </c>
      <c r="AN89" s="402">
        <f>IF($D89="Sim",'09 -Combustíveis, óleos, graxa '!AK78*9.25%,0)</f>
        <v>317.68859999999995</v>
      </c>
    </row>
    <row r="90" spans="2:40" ht="13.15" customHeight="1" outlineLevel="1" x14ac:dyDescent="0.2">
      <c r="B90" s="404" t="s">
        <v>962</v>
      </c>
      <c r="C90" s="413"/>
      <c r="D90" s="299" t="s">
        <v>1333</v>
      </c>
      <c r="E90" s="407">
        <f t="shared" si="14"/>
        <v>133255.50000000006</v>
      </c>
      <c r="F90" s="402">
        <f>IF($D90="Sim",'09 -Combustíveis, óleos, graxa '!C94*9.25%,0)</f>
        <v>3807.2999999999997</v>
      </c>
      <c r="G90" s="402">
        <f>IF($D90="Sim",'09 -Combustíveis, óleos, graxa '!D94*9.25%,0)</f>
        <v>3807.2999999999997</v>
      </c>
      <c r="H90" s="402">
        <f>IF($D90="Sim",'09 -Combustíveis, óleos, graxa '!E94*9.25%,0)</f>
        <v>3807.2999999999997</v>
      </c>
      <c r="I90" s="402">
        <f>IF($D90="Sim",'09 -Combustíveis, óleos, graxa '!F94*9.25%,0)</f>
        <v>3807.2999999999997</v>
      </c>
      <c r="J90" s="402">
        <f>IF($D90="Sim",'09 -Combustíveis, óleos, graxa '!G94*9.25%,0)</f>
        <v>3807.2999999999997</v>
      </c>
      <c r="K90" s="402">
        <f>IF($D90="Sim",'09 -Combustíveis, óleos, graxa '!H94*9.25%,0)</f>
        <v>3807.2999999999997</v>
      </c>
      <c r="L90" s="402">
        <f>IF($D90="Sim",'09 -Combustíveis, óleos, graxa '!I94*9.25%,0)</f>
        <v>3807.2999999999997</v>
      </c>
      <c r="M90" s="402">
        <f>IF($D90="Sim",'09 -Combustíveis, óleos, graxa '!J94*9.25%,0)</f>
        <v>3807.2999999999997</v>
      </c>
      <c r="N90" s="402">
        <f>IF($D90="Sim",'09 -Combustíveis, óleos, graxa '!K94*9.25%,0)</f>
        <v>3807.2999999999997</v>
      </c>
      <c r="O90" s="402">
        <f>IF($D90="Sim",'09 -Combustíveis, óleos, graxa '!L94*9.25%,0)</f>
        <v>3807.2999999999997</v>
      </c>
      <c r="P90" s="402">
        <f>IF($D90="Sim",'09 -Combustíveis, óleos, graxa '!M94*9.25%,0)</f>
        <v>3807.2999999999997</v>
      </c>
      <c r="Q90" s="402">
        <f>IF($D90="Sim",'09 -Combustíveis, óleos, graxa '!N94*9.25%,0)</f>
        <v>3807.2999999999997</v>
      </c>
      <c r="R90" s="402">
        <f>IF($D90="Sim",'09 -Combustíveis, óleos, graxa '!O94*9.25%,0)</f>
        <v>3807.2999999999997</v>
      </c>
      <c r="S90" s="402">
        <f>IF($D90="Sim",'09 -Combustíveis, óleos, graxa '!P94*9.25%,0)</f>
        <v>3807.2999999999997</v>
      </c>
      <c r="T90" s="402">
        <f>IF($D90="Sim",'09 -Combustíveis, óleos, graxa '!Q94*9.25%,0)</f>
        <v>3807.2999999999997</v>
      </c>
      <c r="U90" s="402">
        <f>IF($D90="Sim",'09 -Combustíveis, óleos, graxa '!R94*9.25%,0)</f>
        <v>3807.2999999999997</v>
      </c>
      <c r="V90" s="402">
        <f>IF($D90="Sim",'09 -Combustíveis, óleos, graxa '!S94*9.25%,0)</f>
        <v>3807.2999999999997</v>
      </c>
      <c r="W90" s="402">
        <f>IF($D90="Sim",'09 -Combustíveis, óleos, graxa '!T94*9.25%,0)</f>
        <v>3807.2999999999997</v>
      </c>
      <c r="X90" s="402">
        <f>IF($D90="Sim",'09 -Combustíveis, óleos, graxa '!U94*9.25%,0)</f>
        <v>3807.2999999999997</v>
      </c>
      <c r="Y90" s="402">
        <f>IF($D90="Sim",'09 -Combustíveis, óleos, graxa '!V94*9.25%,0)</f>
        <v>3807.2999999999997</v>
      </c>
      <c r="Z90" s="402">
        <f>IF($D90="Sim",'09 -Combustíveis, óleos, graxa '!W94*9.25%,0)</f>
        <v>3807.2999999999997</v>
      </c>
      <c r="AA90" s="402">
        <f>IF($D90="Sim",'09 -Combustíveis, óleos, graxa '!X94*9.25%,0)</f>
        <v>3807.2999999999997</v>
      </c>
      <c r="AB90" s="402">
        <f>IF($D90="Sim",'09 -Combustíveis, óleos, graxa '!Y94*9.25%,0)</f>
        <v>3807.2999999999997</v>
      </c>
      <c r="AC90" s="402">
        <f>IF($D90="Sim",'09 -Combustíveis, óleos, graxa '!Z94*9.25%,0)</f>
        <v>3807.2999999999997</v>
      </c>
      <c r="AD90" s="402">
        <f>IF($D90="Sim",'09 -Combustíveis, óleos, graxa '!AA94*9.25%,0)</f>
        <v>3807.2999999999997</v>
      </c>
      <c r="AE90" s="402">
        <f>IF($D90="Sim",'09 -Combustíveis, óleos, graxa '!AB94*9.25%,0)</f>
        <v>3807.2999999999997</v>
      </c>
      <c r="AF90" s="402">
        <f>IF($D90="Sim",'09 -Combustíveis, óleos, graxa '!AC94*9.25%,0)</f>
        <v>3807.2999999999997</v>
      </c>
      <c r="AG90" s="402">
        <f>IF($D90="Sim",'09 -Combustíveis, óleos, graxa '!AD94*9.25%,0)</f>
        <v>3807.2999999999997</v>
      </c>
      <c r="AH90" s="402">
        <f>IF($D90="Sim",'09 -Combustíveis, óleos, graxa '!AE94*9.25%,0)</f>
        <v>3807.2999999999997</v>
      </c>
      <c r="AI90" s="402">
        <f>IF($D90="Sim",'09 -Combustíveis, óleos, graxa '!AF94*9.25%,0)</f>
        <v>3807.2999999999997</v>
      </c>
      <c r="AJ90" s="402">
        <f>IF($D90="Sim",'09 -Combustíveis, óleos, graxa '!AG94*9.25%,0)</f>
        <v>3807.2999999999997</v>
      </c>
      <c r="AK90" s="402">
        <f>IF($D90="Sim",'09 -Combustíveis, óleos, graxa '!AH94*9.25%,0)</f>
        <v>3807.2999999999997</v>
      </c>
      <c r="AL90" s="402">
        <f>IF($D90="Sim",'09 -Combustíveis, óleos, graxa '!AI94*9.25%,0)</f>
        <v>3807.2999999999997</v>
      </c>
      <c r="AM90" s="402">
        <f>IF($D90="Sim",'09 -Combustíveis, óleos, graxa '!AJ94*9.25%,0)</f>
        <v>3807.2999999999997</v>
      </c>
      <c r="AN90" s="402">
        <f>IF($D90="Sim",'09 -Combustíveis, óleos, graxa '!AK94*9.25%,0)</f>
        <v>3807.2999999999997</v>
      </c>
    </row>
    <row r="91" spans="2:40" ht="13.15" customHeight="1" outlineLevel="1" x14ac:dyDescent="0.2">
      <c r="B91" s="404" t="s">
        <v>963</v>
      </c>
      <c r="C91" s="413"/>
      <c r="D91" s="299" t="s">
        <v>1333</v>
      </c>
      <c r="E91" s="407">
        <f t="shared" si="14"/>
        <v>22238.201999999976</v>
      </c>
      <c r="F91" s="402">
        <f>IF($D91="Sim",'09 -Combustíveis, óleos, graxa '!C98*9.25%,0)</f>
        <v>635.3771999999999</v>
      </c>
      <c r="G91" s="402">
        <f>IF($D91="Sim",'09 -Combustíveis, óleos, graxa '!D98*9.25%,0)</f>
        <v>635.3771999999999</v>
      </c>
      <c r="H91" s="402">
        <f>IF($D91="Sim",'09 -Combustíveis, óleos, graxa '!E98*9.25%,0)</f>
        <v>635.3771999999999</v>
      </c>
      <c r="I91" s="402">
        <f>IF($D91="Sim",'09 -Combustíveis, óleos, graxa '!F98*9.25%,0)</f>
        <v>635.3771999999999</v>
      </c>
      <c r="J91" s="402">
        <f>IF($D91="Sim",'09 -Combustíveis, óleos, graxa '!G98*9.25%,0)</f>
        <v>635.3771999999999</v>
      </c>
      <c r="K91" s="402">
        <f>IF($D91="Sim",'09 -Combustíveis, óleos, graxa '!H98*9.25%,0)</f>
        <v>635.3771999999999</v>
      </c>
      <c r="L91" s="402">
        <f>IF($D91="Sim",'09 -Combustíveis, óleos, graxa '!I98*9.25%,0)</f>
        <v>635.3771999999999</v>
      </c>
      <c r="M91" s="402">
        <f>IF($D91="Sim",'09 -Combustíveis, óleos, graxa '!J98*9.25%,0)</f>
        <v>635.3771999999999</v>
      </c>
      <c r="N91" s="402">
        <f>IF($D91="Sim",'09 -Combustíveis, óleos, graxa '!K98*9.25%,0)</f>
        <v>635.3771999999999</v>
      </c>
      <c r="O91" s="402">
        <f>IF($D91="Sim",'09 -Combustíveis, óleos, graxa '!L98*9.25%,0)</f>
        <v>635.3771999999999</v>
      </c>
      <c r="P91" s="402">
        <f>IF($D91="Sim",'09 -Combustíveis, óleos, graxa '!M98*9.25%,0)</f>
        <v>635.3771999999999</v>
      </c>
      <c r="Q91" s="402">
        <f>IF($D91="Sim",'09 -Combustíveis, óleos, graxa '!N98*9.25%,0)</f>
        <v>635.3771999999999</v>
      </c>
      <c r="R91" s="402">
        <f>IF($D91="Sim",'09 -Combustíveis, óleos, graxa '!O98*9.25%,0)</f>
        <v>635.3771999999999</v>
      </c>
      <c r="S91" s="402">
        <f>IF($D91="Sim",'09 -Combustíveis, óleos, graxa '!P98*9.25%,0)</f>
        <v>635.3771999999999</v>
      </c>
      <c r="T91" s="402">
        <f>IF($D91="Sim",'09 -Combustíveis, óleos, graxa '!Q98*9.25%,0)</f>
        <v>635.3771999999999</v>
      </c>
      <c r="U91" s="402">
        <f>IF($D91="Sim",'09 -Combustíveis, óleos, graxa '!R98*9.25%,0)</f>
        <v>635.3771999999999</v>
      </c>
      <c r="V91" s="402">
        <f>IF($D91="Sim",'09 -Combustíveis, óleos, graxa '!S98*9.25%,0)</f>
        <v>635.3771999999999</v>
      </c>
      <c r="W91" s="402">
        <f>IF($D91="Sim",'09 -Combustíveis, óleos, graxa '!T98*9.25%,0)</f>
        <v>635.3771999999999</v>
      </c>
      <c r="X91" s="402">
        <f>IF($D91="Sim",'09 -Combustíveis, óleos, graxa '!U98*9.25%,0)</f>
        <v>635.3771999999999</v>
      </c>
      <c r="Y91" s="402">
        <f>IF($D91="Sim",'09 -Combustíveis, óleos, graxa '!V98*9.25%,0)</f>
        <v>635.3771999999999</v>
      </c>
      <c r="Z91" s="402">
        <f>IF($D91="Sim",'09 -Combustíveis, óleos, graxa '!W98*9.25%,0)</f>
        <v>635.3771999999999</v>
      </c>
      <c r="AA91" s="402">
        <f>IF($D91="Sim",'09 -Combustíveis, óleos, graxa '!X98*9.25%,0)</f>
        <v>635.3771999999999</v>
      </c>
      <c r="AB91" s="402">
        <f>IF($D91="Sim",'09 -Combustíveis, óleos, graxa '!Y98*9.25%,0)</f>
        <v>635.3771999999999</v>
      </c>
      <c r="AC91" s="402">
        <f>IF($D91="Sim",'09 -Combustíveis, óleos, graxa '!Z98*9.25%,0)</f>
        <v>635.3771999999999</v>
      </c>
      <c r="AD91" s="402">
        <f>IF($D91="Sim",'09 -Combustíveis, óleos, graxa '!AA98*9.25%,0)</f>
        <v>635.3771999999999</v>
      </c>
      <c r="AE91" s="402">
        <f>IF($D91="Sim",'09 -Combustíveis, óleos, graxa '!AB98*9.25%,0)</f>
        <v>635.3771999999999</v>
      </c>
      <c r="AF91" s="402">
        <f>IF($D91="Sim",'09 -Combustíveis, óleos, graxa '!AC98*9.25%,0)</f>
        <v>635.3771999999999</v>
      </c>
      <c r="AG91" s="402">
        <f>IF($D91="Sim",'09 -Combustíveis, óleos, graxa '!AD98*9.25%,0)</f>
        <v>635.3771999999999</v>
      </c>
      <c r="AH91" s="402">
        <f>IF($D91="Sim",'09 -Combustíveis, óleos, graxa '!AE98*9.25%,0)</f>
        <v>635.3771999999999</v>
      </c>
      <c r="AI91" s="402">
        <f>IF($D91="Sim",'09 -Combustíveis, óleos, graxa '!AF98*9.25%,0)</f>
        <v>635.3771999999999</v>
      </c>
      <c r="AJ91" s="402">
        <f>IF($D91="Sim",'09 -Combustíveis, óleos, graxa '!AG98*9.25%,0)</f>
        <v>635.3771999999999</v>
      </c>
      <c r="AK91" s="402">
        <f>IF($D91="Sim",'09 -Combustíveis, óleos, graxa '!AH98*9.25%,0)</f>
        <v>635.3771999999999</v>
      </c>
      <c r="AL91" s="402">
        <f>IF($D91="Sim",'09 -Combustíveis, óleos, graxa '!AI98*9.25%,0)</f>
        <v>635.3771999999999</v>
      </c>
      <c r="AM91" s="402">
        <f>IF($D91="Sim",'09 -Combustíveis, óleos, graxa '!AJ98*9.25%,0)</f>
        <v>635.3771999999999</v>
      </c>
      <c r="AN91" s="402">
        <f>IF($D91="Sim",'09 -Combustíveis, óleos, graxa '!AK98*9.25%,0)</f>
        <v>635.3771999999999</v>
      </c>
    </row>
    <row r="92" spans="2:40" ht="13.15" customHeight="1" outlineLevel="1" x14ac:dyDescent="0.2">
      <c r="B92" s="404" t="s">
        <v>964</v>
      </c>
      <c r="C92" s="413"/>
      <c r="D92" s="299" t="s">
        <v>1333</v>
      </c>
      <c r="E92" s="407">
        <f t="shared" si="14"/>
        <v>74357.106923076877</v>
      </c>
      <c r="F92" s="402">
        <f>IF($D92="Sim",'09 -Combustíveis, óleos, graxa '!C102*9.25%,0)</f>
        <v>2124.4887692307693</v>
      </c>
      <c r="G92" s="402">
        <f>IF($D92="Sim",'09 -Combustíveis, óleos, graxa '!D102*9.25%,0)</f>
        <v>2124.4887692307693</v>
      </c>
      <c r="H92" s="402">
        <f>IF($D92="Sim",'09 -Combustíveis, óleos, graxa '!E102*9.25%,0)</f>
        <v>2124.4887692307693</v>
      </c>
      <c r="I92" s="402">
        <f>IF($D92="Sim",'09 -Combustíveis, óleos, graxa '!F102*9.25%,0)</f>
        <v>2124.4887692307693</v>
      </c>
      <c r="J92" s="402">
        <f>IF($D92="Sim",'09 -Combustíveis, óleos, graxa '!G102*9.25%,0)</f>
        <v>2124.4887692307693</v>
      </c>
      <c r="K92" s="402">
        <f>IF($D92="Sim",'09 -Combustíveis, óleos, graxa '!H102*9.25%,0)</f>
        <v>2124.4887692307693</v>
      </c>
      <c r="L92" s="402">
        <f>IF($D92="Sim",'09 -Combustíveis, óleos, graxa '!I102*9.25%,0)</f>
        <v>2124.4887692307693</v>
      </c>
      <c r="M92" s="402">
        <f>IF($D92="Sim",'09 -Combustíveis, óleos, graxa '!J102*9.25%,0)</f>
        <v>2124.4887692307693</v>
      </c>
      <c r="N92" s="402">
        <f>IF($D92="Sim",'09 -Combustíveis, óleos, graxa '!K102*9.25%,0)</f>
        <v>2124.4887692307693</v>
      </c>
      <c r="O92" s="402">
        <f>IF($D92="Sim",'09 -Combustíveis, óleos, graxa '!L102*9.25%,0)</f>
        <v>2124.4887692307693</v>
      </c>
      <c r="P92" s="402">
        <f>IF($D92="Sim",'09 -Combustíveis, óleos, graxa '!M102*9.25%,0)</f>
        <v>2124.4887692307693</v>
      </c>
      <c r="Q92" s="402">
        <f>IF($D92="Sim",'09 -Combustíveis, óleos, graxa '!N102*9.25%,0)</f>
        <v>2124.4887692307693</v>
      </c>
      <c r="R92" s="402">
        <f>IF($D92="Sim",'09 -Combustíveis, óleos, graxa '!O102*9.25%,0)</f>
        <v>2124.4887692307693</v>
      </c>
      <c r="S92" s="402">
        <f>IF($D92="Sim",'09 -Combustíveis, óleos, graxa '!P102*9.25%,0)</f>
        <v>2124.4887692307693</v>
      </c>
      <c r="T92" s="402">
        <f>IF($D92="Sim",'09 -Combustíveis, óleos, graxa '!Q102*9.25%,0)</f>
        <v>2124.4887692307693</v>
      </c>
      <c r="U92" s="402">
        <f>IF($D92="Sim",'09 -Combustíveis, óleos, graxa '!R102*9.25%,0)</f>
        <v>2124.4887692307693</v>
      </c>
      <c r="V92" s="402">
        <f>IF($D92="Sim",'09 -Combustíveis, óleos, graxa '!S102*9.25%,0)</f>
        <v>2124.4887692307693</v>
      </c>
      <c r="W92" s="402">
        <f>IF($D92="Sim",'09 -Combustíveis, óleos, graxa '!T102*9.25%,0)</f>
        <v>2124.4887692307693</v>
      </c>
      <c r="X92" s="402">
        <f>IF($D92="Sim",'09 -Combustíveis, óleos, graxa '!U102*9.25%,0)</f>
        <v>2124.4887692307693</v>
      </c>
      <c r="Y92" s="402">
        <f>IF($D92="Sim",'09 -Combustíveis, óleos, graxa '!V102*9.25%,0)</f>
        <v>2124.4887692307693</v>
      </c>
      <c r="Z92" s="402">
        <f>IF($D92="Sim",'09 -Combustíveis, óleos, graxa '!W102*9.25%,0)</f>
        <v>2124.4887692307693</v>
      </c>
      <c r="AA92" s="402">
        <f>IF($D92="Sim",'09 -Combustíveis, óleos, graxa '!X102*9.25%,0)</f>
        <v>2124.4887692307693</v>
      </c>
      <c r="AB92" s="402">
        <f>IF($D92="Sim",'09 -Combustíveis, óleos, graxa '!Y102*9.25%,0)</f>
        <v>2124.4887692307693</v>
      </c>
      <c r="AC92" s="402">
        <f>IF($D92="Sim",'09 -Combustíveis, óleos, graxa '!Z102*9.25%,0)</f>
        <v>2124.4887692307693</v>
      </c>
      <c r="AD92" s="402">
        <f>IF($D92="Sim",'09 -Combustíveis, óleos, graxa '!AA102*9.25%,0)</f>
        <v>2124.4887692307693</v>
      </c>
      <c r="AE92" s="402">
        <f>IF($D92="Sim",'09 -Combustíveis, óleos, graxa '!AB102*9.25%,0)</f>
        <v>2124.4887692307693</v>
      </c>
      <c r="AF92" s="402">
        <f>IF($D92="Sim",'09 -Combustíveis, óleos, graxa '!AC102*9.25%,0)</f>
        <v>2124.4887692307693</v>
      </c>
      <c r="AG92" s="402">
        <f>IF($D92="Sim",'09 -Combustíveis, óleos, graxa '!AD102*9.25%,0)</f>
        <v>2124.4887692307693</v>
      </c>
      <c r="AH92" s="402">
        <f>IF($D92="Sim",'09 -Combustíveis, óleos, graxa '!AE102*9.25%,0)</f>
        <v>2124.4887692307693</v>
      </c>
      <c r="AI92" s="402">
        <f>IF($D92="Sim",'09 -Combustíveis, óleos, graxa '!AF102*9.25%,0)</f>
        <v>2124.4887692307693</v>
      </c>
      <c r="AJ92" s="402">
        <f>IF($D92="Sim",'09 -Combustíveis, óleos, graxa '!AG102*9.25%,0)</f>
        <v>2124.4887692307693</v>
      </c>
      <c r="AK92" s="402">
        <f>IF($D92="Sim",'09 -Combustíveis, óleos, graxa '!AH102*9.25%,0)</f>
        <v>2124.4887692307693</v>
      </c>
      <c r="AL92" s="402">
        <f>IF($D92="Sim",'09 -Combustíveis, óleos, graxa '!AI102*9.25%,0)</f>
        <v>2124.4887692307693</v>
      </c>
      <c r="AM92" s="402">
        <f>IF($D92="Sim",'09 -Combustíveis, óleos, graxa '!AJ102*9.25%,0)</f>
        <v>2124.4887692307693</v>
      </c>
      <c r="AN92" s="402">
        <f>IF($D92="Sim",'09 -Combustíveis, óleos, graxa '!AK102*9.25%,0)</f>
        <v>2124.4887692307693</v>
      </c>
    </row>
    <row r="93" spans="2:40" ht="13.15" customHeight="1" outlineLevel="1" x14ac:dyDescent="0.2">
      <c r="B93" s="404" t="s">
        <v>965</v>
      </c>
      <c r="C93" s="413"/>
      <c r="D93" s="299" t="s">
        <v>1333</v>
      </c>
      <c r="E93" s="407">
        <f t="shared" si="14"/>
        <v>64658.353846153819</v>
      </c>
      <c r="F93" s="402">
        <f>IF($D93="Sim",'09 -Combustíveis, óleos, graxa '!C106*9.25%,0)</f>
        <v>1847.3815384615384</v>
      </c>
      <c r="G93" s="402">
        <f>IF($D93="Sim",'09 -Combustíveis, óleos, graxa '!D106*9.25%,0)</f>
        <v>1847.3815384615384</v>
      </c>
      <c r="H93" s="402">
        <f>IF($D93="Sim",'09 -Combustíveis, óleos, graxa '!E106*9.25%,0)</f>
        <v>1847.3815384615384</v>
      </c>
      <c r="I93" s="402">
        <f>IF($D93="Sim",'09 -Combustíveis, óleos, graxa '!F106*9.25%,0)</f>
        <v>1847.3815384615384</v>
      </c>
      <c r="J93" s="402">
        <f>IF($D93="Sim",'09 -Combustíveis, óleos, graxa '!G106*9.25%,0)</f>
        <v>1847.3815384615384</v>
      </c>
      <c r="K93" s="402">
        <f>IF($D93="Sim",'09 -Combustíveis, óleos, graxa '!H106*9.25%,0)</f>
        <v>1847.3815384615384</v>
      </c>
      <c r="L93" s="402">
        <f>IF($D93="Sim",'09 -Combustíveis, óleos, graxa '!I106*9.25%,0)</f>
        <v>1847.3815384615384</v>
      </c>
      <c r="M93" s="402">
        <f>IF($D93="Sim",'09 -Combustíveis, óleos, graxa '!J106*9.25%,0)</f>
        <v>1847.3815384615384</v>
      </c>
      <c r="N93" s="402">
        <f>IF($D93="Sim",'09 -Combustíveis, óleos, graxa '!K106*9.25%,0)</f>
        <v>1847.3815384615384</v>
      </c>
      <c r="O93" s="402">
        <f>IF($D93="Sim",'09 -Combustíveis, óleos, graxa '!L106*9.25%,0)</f>
        <v>1847.3815384615384</v>
      </c>
      <c r="P93" s="402">
        <f>IF($D93="Sim",'09 -Combustíveis, óleos, graxa '!M106*9.25%,0)</f>
        <v>1847.3815384615384</v>
      </c>
      <c r="Q93" s="402">
        <f>IF($D93="Sim",'09 -Combustíveis, óleos, graxa '!N106*9.25%,0)</f>
        <v>1847.3815384615384</v>
      </c>
      <c r="R93" s="402">
        <f>IF($D93="Sim",'09 -Combustíveis, óleos, graxa '!O106*9.25%,0)</f>
        <v>1847.3815384615384</v>
      </c>
      <c r="S93" s="402">
        <f>IF($D93="Sim",'09 -Combustíveis, óleos, graxa '!P106*9.25%,0)</f>
        <v>1847.3815384615384</v>
      </c>
      <c r="T93" s="402">
        <f>IF($D93="Sim",'09 -Combustíveis, óleos, graxa '!Q106*9.25%,0)</f>
        <v>1847.3815384615384</v>
      </c>
      <c r="U93" s="402">
        <f>IF($D93="Sim",'09 -Combustíveis, óleos, graxa '!R106*9.25%,0)</f>
        <v>1847.3815384615384</v>
      </c>
      <c r="V93" s="402">
        <f>IF($D93="Sim",'09 -Combustíveis, óleos, graxa '!S106*9.25%,0)</f>
        <v>1847.3815384615384</v>
      </c>
      <c r="W93" s="402">
        <f>IF($D93="Sim",'09 -Combustíveis, óleos, graxa '!T106*9.25%,0)</f>
        <v>1847.3815384615384</v>
      </c>
      <c r="X93" s="402">
        <f>IF($D93="Sim",'09 -Combustíveis, óleos, graxa '!U106*9.25%,0)</f>
        <v>1847.3815384615384</v>
      </c>
      <c r="Y93" s="402">
        <f>IF($D93="Sim",'09 -Combustíveis, óleos, graxa '!V106*9.25%,0)</f>
        <v>1847.3815384615384</v>
      </c>
      <c r="Z93" s="402">
        <f>IF($D93="Sim",'09 -Combustíveis, óleos, graxa '!W106*9.25%,0)</f>
        <v>1847.3815384615384</v>
      </c>
      <c r="AA93" s="402">
        <f>IF($D93="Sim",'09 -Combustíveis, óleos, graxa '!X106*9.25%,0)</f>
        <v>1847.3815384615384</v>
      </c>
      <c r="AB93" s="402">
        <f>IF($D93="Sim",'09 -Combustíveis, óleos, graxa '!Y106*9.25%,0)</f>
        <v>1847.3815384615384</v>
      </c>
      <c r="AC93" s="402">
        <f>IF($D93="Sim",'09 -Combustíveis, óleos, graxa '!Z106*9.25%,0)</f>
        <v>1847.3815384615384</v>
      </c>
      <c r="AD93" s="402">
        <f>IF($D93="Sim",'09 -Combustíveis, óleos, graxa '!AA106*9.25%,0)</f>
        <v>1847.3815384615384</v>
      </c>
      <c r="AE93" s="402">
        <f>IF($D93="Sim",'09 -Combustíveis, óleos, graxa '!AB106*9.25%,0)</f>
        <v>1847.3815384615384</v>
      </c>
      <c r="AF93" s="402">
        <f>IF($D93="Sim",'09 -Combustíveis, óleos, graxa '!AC106*9.25%,0)</f>
        <v>1847.3815384615384</v>
      </c>
      <c r="AG93" s="402">
        <f>IF($D93="Sim",'09 -Combustíveis, óleos, graxa '!AD106*9.25%,0)</f>
        <v>1847.3815384615384</v>
      </c>
      <c r="AH93" s="402">
        <f>IF($D93="Sim",'09 -Combustíveis, óleos, graxa '!AE106*9.25%,0)</f>
        <v>1847.3815384615384</v>
      </c>
      <c r="AI93" s="402">
        <f>IF($D93="Sim",'09 -Combustíveis, óleos, graxa '!AF106*9.25%,0)</f>
        <v>1847.3815384615384</v>
      </c>
      <c r="AJ93" s="402">
        <f>IF($D93="Sim",'09 -Combustíveis, óleos, graxa '!AG106*9.25%,0)</f>
        <v>1847.3815384615384</v>
      </c>
      <c r="AK93" s="402">
        <f>IF($D93="Sim",'09 -Combustíveis, óleos, graxa '!AH106*9.25%,0)</f>
        <v>1847.3815384615384</v>
      </c>
      <c r="AL93" s="402">
        <f>IF($D93="Sim",'09 -Combustíveis, óleos, graxa '!AI106*9.25%,0)</f>
        <v>1847.3815384615384</v>
      </c>
      <c r="AM93" s="402">
        <f>IF($D93="Sim",'09 -Combustíveis, óleos, graxa '!AJ106*9.25%,0)</f>
        <v>1847.3815384615384</v>
      </c>
      <c r="AN93" s="402">
        <f>IF($D93="Sim",'09 -Combustíveis, óleos, graxa '!AK106*9.25%,0)</f>
        <v>1847.3815384615384</v>
      </c>
    </row>
    <row r="94" spans="2:40" ht="13.15" customHeight="1" outlineLevel="1" x14ac:dyDescent="0.2">
      <c r="B94" s="404" t="s">
        <v>966</v>
      </c>
      <c r="C94" s="413"/>
      <c r="D94" s="299" t="s">
        <v>1333</v>
      </c>
      <c r="E94" s="407">
        <f t="shared" si="14"/>
        <v>45260.847692307689</v>
      </c>
      <c r="F94" s="402">
        <f>IF($D94="Sim",'09 -Combustíveis, óleos, graxa '!C110*9.25%,0)</f>
        <v>1293.1670769230768</v>
      </c>
      <c r="G94" s="402">
        <f>IF($D94="Sim",'09 -Combustíveis, óleos, graxa '!D110*9.25%,0)</f>
        <v>1293.1670769230768</v>
      </c>
      <c r="H94" s="402">
        <f>IF($D94="Sim",'09 -Combustíveis, óleos, graxa '!E110*9.25%,0)</f>
        <v>1293.1670769230768</v>
      </c>
      <c r="I94" s="402">
        <f>IF($D94="Sim",'09 -Combustíveis, óleos, graxa '!F110*9.25%,0)</f>
        <v>1293.1670769230768</v>
      </c>
      <c r="J94" s="402">
        <f>IF($D94="Sim",'09 -Combustíveis, óleos, graxa '!G110*9.25%,0)</f>
        <v>1293.1670769230768</v>
      </c>
      <c r="K94" s="402">
        <f>IF($D94="Sim",'09 -Combustíveis, óleos, graxa '!H110*9.25%,0)</f>
        <v>1293.1670769230768</v>
      </c>
      <c r="L94" s="402">
        <f>IF($D94="Sim",'09 -Combustíveis, óleos, graxa '!I110*9.25%,0)</f>
        <v>1293.1670769230768</v>
      </c>
      <c r="M94" s="402">
        <f>IF($D94="Sim",'09 -Combustíveis, óleos, graxa '!J110*9.25%,0)</f>
        <v>1293.1670769230768</v>
      </c>
      <c r="N94" s="402">
        <f>IF($D94="Sim",'09 -Combustíveis, óleos, graxa '!K110*9.25%,0)</f>
        <v>1293.1670769230768</v>
      </c>
      <c r="O94" s="402">
        <f>IF($D94="Sim",'09 -Combustíveis, óleos, graxa '!L110*9.25%,0)</f>
        <v>1293.1670769230768</v>
      </c>
      <c r="P94" s="402">
        <f>IF($D94="Sim",'09 -Combustíveis, óleos, graxa '!M110*9.25%,0)</f>
        <v>1293.1670769230768</v>
      </c>
      <c r="Q94" s="402">
        <f>IF($D94="Sim",'09 -Combustíveis, óleos, graxa '!N110*9.25%,0)</f>
        <v>1293.1670769230768</v>
      </c>
      <c r="R94" s="402">
        <f>IF($D94="Sim",'09 -Combustíveis, óleos, graxa '!O110*9.25%,0)</f>
        <v>1293.1670769230768</v>
      </c>
      <c r="S94" s="402">
        <f>IF($D94="Sim",'09 -Combustíveis, óleos, graxa '!P110*9.25%,0)</f>
        <v>1293.1670769230768</v>
      </c>
      <c r="T94" s="402">
        <f>IF($D94="Sim",'09 -Combustíveis, óleos, graxa '!Q110*9.25%,0)</f>
        <v>1293.1670769230768</v>
      </c>
      <c r="U94" s="402">
        <f>IF($D94="Sim",'09 -Combustíveis, óleos, graxa '!R110*9.25%,0)</f>
        <v>1293.1670769230768</v>
      </c>
      <c r="V94" s="402">
        <f>IF($D94="Sim",'09 -Combustíveis, óleos, graxa '!S110*9.25%,0)</f>
        <v>1293.1670769230768</v>
      </c>
      <c r="W94" s="402">
        <f>IF($D94="Sim",'09 -Combustíveis, óleos, graxa '!T110*9.25%,0)</f>
        <v>1293.1670769230768</v>
      </c>
      <c r="X94" s="402">
        <f>IF($D94="Sim",'09 -Combustíveis, óleos, graxa '!U110*9.25%,0)</f>
        <v>1293.1670769230768</v>
      </c>
      <c r="Y94" s="402">
        <f>IF($D94="Sim",'09 -Combustíveis, óleos, graxa '!V110*9.25%,0)</f>
        <v>1293.1670769230768</v>
      </c>
      <c r="Z94" s="402">
        <f>IF($D94="Sim",'09 -Combustíveis, óleos, graxa '!W110*9.25%,0)</f>
        <v>1293.1670769230768</v>
      </c>
      <c r="AA94" s="402">
        <f>IF($D94="Sim",'09 -Combustíveis, óleos, graxa '!X110*9.25%,0)</f>
        <v>1293.1670769230768</v>
      </c>
      <c r="AB94" s="402">
        <f>IF($D94="Sim",'09 -Combustíveis, óleos, graxa '!Y110*9.25%,0)</f>
        <v>1293.1670769230768</v>
      </c>
      <c r="AC94" s="402">
        <f>IF($D94="Sim",'09 -Combustíveis, óleos, graxa '!Z110*9.25%,0)</f>
        <v>1293.1670769230768</v>
      </c>
      <c r="AD94" s="402">
        <f>IF($D94="Sim",'09 -Combustíveis, óleos, graxa '!AA110*9.25%,0)</f>
        <v>1293.1670769230768</v>
      </c>
      <c r="AE94" s="402">
        <f>IF($D94="Sim",'09 -Combustíveis, óleos, graxa '!AB110*9.25%,0)</f>
        <v>1293.1670769230768</v>
      </c>
      <c r="AF94" s="402">
        <f>IF($D94="Sim",'09 -Combustíveis, óleos, graxa '!AC110*9.25%,0)</f>
        <v>1293.1670769230768</v>
      </c>
      <c r="AG94" s="402">
        <f>IF($D94="Sim",'09 -Combustíveis, óleos, graxa '!AD110*9.25%,0)</f>
        <v>1293.1670769230768</v>
      </c>
      <c r="AH94" s="402">
        <f>IF($D94="Sim",'09 -Combustíveis, óleos, graxa '!AE110*9.25%,0)</f>
        <v>1293.1670769230768</v>
      </c>
      <c r="AI94" s="402">
        <f>IF($D94="Sim",'09 -Combustíveis, óleos, graxa '!AF110*9.25%,0)</f>
        <v>1293.1670769230768</v>
      </c>
      <c r="AJ94" s="402">
        <f>IF($D94="Sim",'09 -Combustíveis, óleos, graxa '!AG110*9.25%,0)</f>
        <v>1293.1670769230768</v>
      </c>
      <c r="AK94" s="402">
        <f>IF($D94="Sim",'09 -Combustíveis, óleos, graxa '!AH110*9.25%,0)</f>
        <v>1293.1670769230768</v>
      </c>
      <c r="AL94" s="402">
        <f>IF($D94="Sim",'09 -Combustíveis, óleos, graxa '!AI110*9.25%,0)</f>
        <v>1293.1670769230768</v>
      </c>
      <c r="AM94" s="402">
        <f>IF($D94="Sim",'09 -Combustíveis, óleos, graxa '!AJ110*9.25%,0)</f>
        <v>1293.1670769230768</v>
      </c>
      <c r="AN94" s="402">
        <f>IF($D94="Sim",'09 -Combustíveis, óleos, graxa '!AK110*9.25%,0)</f>
        <v>1293.1670769230768</v>
      </c>
    </row>
    <row r="95" spans="2:40" ht="13.15" customHeight="1" outlineLevel="1" x14ac:dyDescent="0.2">
      <c r="B95" s="404" t="s">
        <v>967</v>
      </c>
      <c r="C95" s="413"/>
      <c r="D95" s="299" t="s">
        <v>1333</v>
      </c>
      <c r="E95" s="407">
        <f t="shared" si="14"/>
        <v>44476.403999999951</v>
      </c>
      <c r="F95" s="402">
        <f>IF($D95="Sim",'09 -Combustíveis, óleos, graxa '!C114*9.25%,0)</f>
        <v>1270.7543999999998</v>
      </c>
      <c r="G95" s="402">
        <f>IF($D95="Sim",'09 -Combustíveis, óleos, graxa '!D114*9.25%,0)</f>
        <v>1270.7543999999998</v>
      </c>
      <c r="H95" s="402">
        <f>IF($D95="Sim",'09 -Combustíveis, óleos, graxa '!E114*9.25%,0)</f>
        <v>1270.7543999999998</v>
      </c>
      <c r="I95" s="402">
        <f>IF($D95="Sim",'09 -Combustíveis, óleos, graxa '!F114*9.25%,0)</f>
        <v>1270.7543999999998</v>
      </c>
      <c r="J95" s="402">
        <f>IF($D95="Sim",'09 -Combustíveis, óleos, graxa '!G114*9.25%,0)</f>
        <v>1270.7543999999998</v>
      </c>
      <c r="K95" s="402">
        <f>IF($D95="Sim",'09 -Combustíveis, óleos, graxa '!H114*9.25%,0)</f>
        <v>1270.7543999999998</v>
      </c>
      <c r="L95" s="402">
        <f>IF($D95="Sim",'09 -Combustíveis, óleos, graxa '!I114*9.25%,0)</f>
        <v>1270.7543999999998</v>
      </c>
      <c r="M95" s="402">
        <f>IF($D95="Sim",'09 -Combustíveis, óleos, graxa '!J114*9.25%,0)</f>
        <v>1270.7543999999998</v>
      </c>
      <c r="N95" s="402">
        <f>IF($D95="Sim",'09 -Combustíveis, óleos, graxa '!K114*9.25%,0)</f>
        <v>1270.7543999999998</v>
      </c>
      <c r="O95" s="402">
        <f>IF($D95="Sim",'09 -Combustíveis, óleos, graxa '!L114*9.25%,0)</f>
        <v>1270.7543999999998</v>
      </c>
      <c r="P95" s="402">
        <f>IF($D95="Sim",'09 -Combustíveis, óleos, graxa '!M114*9.25%,0)</f>
        <v>1270.7543999999998</v>
      </c>
      <c r="Q95" s="402">
        <f>IF($D95="Sim",'09 -Combustíveis, óleos, graxa '!N114*9.25%,0)</f>
        <v>1270.7543999999998</v>
      </c>
      <c r="R95" s="402">
        <f>IF($D95="Sim",'09 -Combustíveis, óleos, graxa '!O114*9.25%,0)</f>
        <v>1270.7543999999998</v>
      </c>
      <c r="S95" s="402">
        <f>IF($D95="Sim",'09 -Combustíveis, óleos, graxa '!P114*9.25%,0)</f>
        <v>1270.7543999999998</v>
      </c>
      <c r="T95" s="402">
        <f>IF($D95="Sim",'09 -Combustíveis, óleos, graxa '!Q114*9.25%,0)</f>
        <v>1270.7543999999998</v>
      </c>
      <c r="U95" s="402">
        <f>IF($D95="Sim",'09 -Combustíveis, óleos, graxa '!R114*9.25%,0)</f>
        <v>1270.7543999999998</v>
      </c>
      <c r="V95" s="402">
        <f>IF($D95="Sim",'09 -Combustíveis, óleos, graxa '!S114*9.25%,0)</f>
        <v>1270.7543999999998</v>
      </c>
      <c r="W95" s="402">
        <f>IF($D95="Sim",'09 -Combustíveis, óleos, graxa '!T114*9.25%,0)</f>
        <v>1270.7543999999998</v>
      </c>
      <c r="X95" s="402">
        <f>IF($D95="Sim",'09 -Combustíveis, óleos, graxa '!U114*9.25%,0)</f>
        <v>1270.7543999999998</v>
      </c>
      <c r="Y95" s="402">
        <f>IF($D95="Sim",'09 -Combustíveis, óleos, graxa '!V114*9.25%,0)</f>
        <v>1270.7543999999998</v>
      </c>
      <c r="Z95" s="402">
        <f>IF($D95="Sim",'09 -Combustíveis, óleos, graxa '!W114*9.25%,0)</f>
        <v>1270.7543999999998</v>
      </c>
      <c r="AA95" s="402">
        <f>IF($D95="Sim",'09 -Combustíveis, óleos, graxa '!X114*9.25%,0)</f>
        <v>1270.7543999999998</v>
      </c>
      <c r="AB95" s="402">
        <f>IF($D95="Sim",'09 -Combustíveis, óleos, graxa '!Y114*9.25%,0)</f>
        <v>1270.7543999999998</v>
      </c>
      <c r="AC95" s="402">
        <f>IF($D95="Sim",'09 -Combustíveis, óleos, graxa '!Z114*9.25%,0)</f>
        <v>1270.7543999999998</v>
      </c>
      <c r="AD95" s="402">
        <f>IF($D95="Sim",'09 -Combustíveis, óleos, graxa '!AA114*9.25%,0)</f>
        <v>1270.7543999999998</v>
      </c>
      <c r="AE95" s="402">
        <f>IF($D95="Sim",'09 -Combustíveis, óleos, graxa '!AB114*9.25%,0)</f>
        <v>1270.7543999999998</v>
      </c>
      <c r="AF95" s="402">
        <f>IF($D95="Sim",'09 -Combustíveis, óleos, graxa '!AC114*9.25%,0)</f>
        <v>1270.7543999999998</v>
      </c>
      <c r="AG95" s="402">
        <f>IF($D95="Sim",'09 -Combustíveis, óleos, graxa '!AD114*9.25%,0)</f>
        <v>1270.7543999999998</v>
      </c>
      <c r="AH95" s="402">
        <f>IF($D95="Sim",'09 -Combustíveis, óleos, graxa '!AE114*9.25%,0)</f>
        <v>1270.7543999999998</v>
      </c>
      <c r="AI95" s="402">
        <f>IF($D95="Sim",'09 -Combustíveis, óleos, graxa '!AF114*9.25%,0)</f>
        <v>1270.7543999999998</v>
      </c>
      <c r="AJ95" s="402">
        <f>IF($D95="Sim",'09 -Combustíveis, óleos, graxa '!AG114*9.25%,0)</f>
        <v>1270.7543999999998</v>
      </c>
      <c r="AK95" s="402">
        <f>IF($D95="Sim",'09 -Combustíveis, óleos, graxa '!AH114*9.25%,0)</f>
        <v>1270.7543999999998</v>
      </c>
      <c r="AL95" s="402">
        <f>IF($D95="Sim",'09 -Combustíveis, óleos, graxa '!AI114*9.25%,0)</f>
        <v>1270.7543999999998</v>
      </c>
      <c r="AM95" s="402">
        <f>IF($D95="Sim",'09 -Combustíveis, óleos, graxa '!AJ114*9.25%,0)</f>
        <v>1270.7543999999998</v>
      </c>
      <c r="AN95" s="402">
        <f>IF($D95="Sim",'09 -Combustíveis, óleos, graxa '!AK114*9.25%,0)</f>
        <v>1270.7543999999998</v>
      </c>
    </row>
    <row r="96" spans="2:40" ht="13.15" customHeight="1" outlineLevel="1" x14ac:dyDescent="0.2">
      <c r="B96" s="404" t="s">
        <v>969</v>
      </c>
      <c r="C96" s="413"/>
      <c r="D96" s="299" t="s">
        <v>1333</v>
      </c>
      <c r="E96" s="407">
        <f t="shared" si="14"/>
        <v>356754.8228252402</v>
      </c>
      <c r="F96" s="402">
        <f>IF($D96="Sim",'09 -Combustíveis, óleos, graxa '!C117*9.25%,0)</f>
        <v>9187.8206423400025</v>
      </c>
      <c r="G96" s="402">
        <f>IF($D96="Sim",'09 -Combustíveis, óleos, graxa '!D117*9.25%,0)</f>
        <v>9187.8206423400025</v>
      </c>
      <c r="H96" s="402">
        <f>IF($D96="Sim",'09 -Combustíveis, óleos, graxa '!E117*9.25%,0)</f>
        <v>9187.8206423400025</v>
      </c>
      <c r="I96" s="402">
        <f>IF($D96="Sim",'09 -Combustíveis, óleos, graxa '!F117*9.25%,0)</f>
        <v>9187.8206423400025</v>
      </c>
      <c r="J96" s="402">
        <f>IF($D96="Sim",'09 -Combustíveis, óleos, graxa '!G117*9.25%,0)</f>
        <v>9187.8206423400025</v>
      </c>
      <c r="K96" s="402">
        <f>IF($D96="Sim",'09 -Combustíveis, óleos, graxa '!H117*9.25%,0)</f>
        <v>9890.0827605900013</v>
      </c>
      <c r="L96" s="402">
        <f>IF($D96="Sim",'09 -Combustíveis, óleos, graxa '!I117*9.25%,0)</f>
        <v>9890.0827605900013</v>
      </c>
      <c r="M96" s="402">
        <f>IF($D96="Sim",'09 -Combustíveis, óleos, graxa '!J117*9.25%,0)</f>
        <v>10394.126931870001</v>
      </c>
      <c r="N96" s="402">
        <f>IF($D96="Sim",'09 -Combustíveis, óleos, graxa '!K117*9.25%,0)</f>
        <v>10394.126931870001</v>
      </c>
      <c r="O96" s="402">
        <f>IF($D96="Sim",'09 -Combustíveis, óleos, graxa '!L117*9.25%,0)</f>
        <v>10394.126931870001</v>
      </c>
      <c r="P96" s="402">
        <f>IF($D96="Sim",'09 -Combustíveis, óleos, graxa '!M117*9.25%,0)</f>
        <v>10394.126931870001</v>
      </c>
      <c r="Q96" s="402">
        <f>IF($D96="Sim",'09 -Combustíveis, óleos, graxa '!N117*9.25%,0)</f>
        <v>10394.126931870001</v>
      </c>
      <c r="R96" s="402">
        <f>IF($D96="Sim",'09 -Combustíveis, óleos, graxa '!O117*9.25%,0)</f>
        <v>10394.126931870001</v>
      </c>
      <c r="S96" s="402">
        <f>IF($D96="Sim",'09 -Combustíveis, óleos, graxa '!P117*9.25%,0)</f>
        <v>10394.126931870001</v>
      </c>
      <c r="T96" s="402">
        <f>IF($D96="Sim",'09 -Combustíveis, óleos, graxa '!Q117*9.25%,0)</f>
        <v>10394.126931870001</v>
      </c>
      <c r="U96" s="402">
        <f>IF($D96="Sim",'09 -Combustíveis, óleos, graxa '!R117*9.25%,0)</f>
        <v>10394.126931870001</v>
      </c>
      <c r="V96" s="402">
        <f>IF($D96="Sim",'09 -Combustíveis, óleos, graxa '!S117*9.25%,0)</f>
        <v>10394.126931870001</v>
      </c>
      <c r="W96" s="402">
        <f>IF($D96="Sim",'09 -Combustíveis, óleos, graxa '!T117*9.25%,0)</f>
        <v>10394.126931870001</v>
      </c>
      <c r="X96" s="402">
        <f>IF($D96="Sim",'09 -Combustíveis, óleos, graxa '!U117*9.25%,0)</f>
        <v>10394.126931870001</v>
      </c>
      <c r="Y96" s="402">
        <f>IF($D96="Sim",'09 -Combustíveis, óleos, graxa '!V117*9.25%,0)</f>
        <v>10394.126931870001</v>
      </c>
      <c r="Z96" s="402">
        <f>IF($D96="Sim",'09 -Combustíveis, óleos, graxa '!W117*9.25%,0)</f>
        <v>10394.126931870001</v>
      </c>
      <c r="AA96" s="402">
        <f>IF($D96="Sim",'09 -Combustíveis, óleos, graxa '!X117*9.25%,0)</f>
        <v>10394.126931870001</v>
      </c>
      <c r="AB96" s="402">
        <f>IF($D96="Sim",'09 -Combustíveis, óleos, graxa '!Y117*9.25%,0)</f>
        <v>10394.126931870001</v>
      </c>
      <c r="AC96" s="402">
        <f>IF($D96="Sim",'09 -Combustíveis, óleos, graxa '!Z117*9.25%,0)</f>
        <v>10394.126931870001</v>
      </c>
      <c r="AD96" s="402">
        <f>IF($D96="Sim",'09 -Combustíveis, óleos, graxa '!AA117*9.25%,0)</f>
        <v>10394.126931870001</v>
      </c>
      <c r="AE96" s="402">
        <f>IF($D96="Sim",'09 -Combustíveis, óleos, graxa '!AB117*9.25%,0)</f>
        <v>10394.126931870001</v>
      </c>
      <c r="AF96" s="402">
        <f>IF($D96="Sim",'09 -Combustíveis, óleos, graxa '!AC117*9.25%,0)</f>
        <v>10394.126931870001</v>
      </c>
      <c r="AG96" s="402">
        <f>IF($D96="Sim",'09 -Combustíveis, óleos, graxa '!AD117*9.25%,0)</f>
        <v>10394.126931870001</v>
      </c>
      <c r="AH96" s="402">
        <f>IF($D96="Sim",'09 -Combustíveis, óleos, graxa '!AE117*9.25%,0)</f>
        <v>10394.126931870001</v>
      </c>
      <c r="AI96" s="402">
        <f>IF($D96="Sim",'09 -Combustíveis, óleos, graxa '!AF117*9.25%,0)</f>
        <v>10394.126931870001</v>
      </c>
      <c r="AJ96" s="402">
        <f>IF($D96="Sim",'09 -Combustíveis, óleos, graxa '!AG117*9.25%,0)</f>
        <v>10394.126931870001</v>
      </c>
      <c r="AK96" s="402">
        <f>IF($D96="Sim",'09 -Combustíveis, óleos, graxa '!AH117*9.25%,0)</f>
        <v>10394.126931870001</v>
      </c>
      <c r="AL96" s="402">
        <f>IF($D96="Sim",'09 -Combustíveis, óleos, graxa '!AI117*9.25%,0)</f>
        <v>10394.126931870001</v>
      </c>
      <c r="AM96" s="402">
        <f>IF($D96="Sim",'09 -Combustíveis, óleos, graxa '!AJ117*9.25%,0)</f>
        <v>10394.126931870001</v>
      </c>
      <c r="AN96" s="402">
        <f>IF($D96="Sim",'09 -Combustíveis, óleos, graxa '!AK117*9.25%,0)</f>
        <v>10394.126931870001</v>
      </c>
    </row>
    <row r="97" spans="2:40" ht="13.15" customHeight="1" outlineLevel="1" x14ac:dyDescent="0.2">
      <c r="B97" s="404" t="s">
        <v>970</v>
      </c>
      <c r="C97" s="413"/>
      <c r="D97" s="299" t="s">
        <v>1333</v>
      </c>
      <c r="E97" s="407">
        <f t="shared" si="14"/>
        <v>4494.3291451380001</v>
      </c>
      <c r="F97" s="402">
        <f>IF($D97="Sim",'09 -Combustíveis, óleos, graxa '!C118*9.25%,0)</f>
        <v>115.74641028300002</v>
      </c>
      <c r="G97" s="402">
        <f>IF($D97="Sim",'09 -Combustíveis, óleos, graxa '!D118*9.25%,0)</f>
        <v>115.74641028300002</v>
      </c>
      <c r="H97" s="402">
        <f>IF($D97="Sim",'09 -Combustíveis, óleos, graxa '!E118*9.25%,0)</f>
        <v>115.74641028300002</v>
      </c>
      <c r="I97" s="402">
        <f>IF($D97="Sim",'09 -Combustíveis, óleos, graxa '!F118*9.25%,0)</f>
        <v>115.74641028300002</v>
      </c>
      <c r="J97" s="402">
        <f>IF($D97="Sim",'09 -Combustíveis, óleos, graxa '!G118*9.25%,0)</f>
        <v>115.74641028300002</v>
      </c>
      <c r="K97" s="402">
        <f>IF($D97="Sim",'09 -Combustíveis, óleos, graxa '!H118*9.25%,0)</f>
        <v>124.59337437050003</v>
      </c>
      <c r="L97" s="402">
        <f>IF($D97="Sim",'09 -Combustíveis, óleos, graxa '!I118*9.25%,0)</f>
        <v>124.59337437050003</v>
      </c>
      <c r="M97" s="402">
        <f>IF($D97="Sim",'09 -Combustíveis, óleos, graxa '!J118*9.25%,0)</f>
        <v>130.94322660650002</v>
      </c>
      <c r="N97" s="402">
        <f>IF($D97="Sim",'09 -Combustíveis, óleos, graxa '!K118*9.25%,0)</f>
        <v>130.94322660650002</v>
      </c>
      <c r="O97" s="402">
        <f>IF($D97="Sim",'09 -Combustíveis, óleos, graxa '!L118*9.25%,0)</f>
        <v>130.94322660650002</v>
      </c>
      <c r="P97" s="402">
        <f>IF($D97="Sim",'09 -Combustíveis, óleos, graxa '!M118*9.25%,0)</f>
        <v>130.94322660650002</v>
      </c>
      <c r="Q97" s="402">
        <f>IF($D97="Sim",'09 -Combustíveis, óleos, graxa '!N118*9.25%,0)</f>
        <v>130.94322660650002</v>
      </c>
      <c r="R97" s="402">
        <f>IF($D97="Sim",'09 -Combustíveis, óleos, graxa '!O118*9.25%,0)</f>
        <v>130.94322660650002</v>
      </c>
      <c r="S97" s="402">
        <f>IF($D97="Sim",'09 -Combustíveis, óleos, graxa '!P118*9.25%,0)</f>
        <v>130.94322660650002</v>
      </c>
      <c r="T97" s="402">
        <f>IF($D97="Sim",'09 -Combustíveis, óleos, graxa '!Q118*9.25%,0)</f>
        <v>130.94322660650002</v>
      </c>
      <c r="U97" s="402">
        <f>IF($D97="Sim",'09 -Combustíveis, óleos, graxa '!R118*9.25%,0)</f>
        <v>130.94322660650002</v>
      </c>
      <c r="V97" s="402">
        <f>IF($D97="Sim",'09 -Combustíveis, óleos, graxa '!S118*9.25%,0)</f>
        <v>130.94322660650002</v>
      </c>
      <c r="W97" s="402">
        <f>IF($D97="Sim",'09 -Combustíveis, óleos, graxa '!T118*9.25%,0)</f>
        <v>130.94322660650002</v>
      </c>
      <c r="X97" s="402">
        <f>IF($D97="Sim",'09 -Combustíveis, óleos, graxa '!U118*9.25%,0)</f>
        <v>130.94322660650002</v>
      </c>
      <c r="Y97" s="402">
        <f>IF($D97="Sim",'09 -Combustíveis, óleos, graxa '!V118*9.25%,0)</f>
        <v>130.94322660650002</v>
      </c>
      <c r="Z97" s="402">
        <f>IF($D97="Sim",'09 -Combustíveis, óleos, graxa '!W118*9.25%,0)</f>
        <v>130.94322660650002</v>
      </c>
      <c r="AA97" s="402">
        <f>IF($D97="Sim",'09 -Combustíveis, óleos, graxa '!X118*9.25%,0)</f>
        <v>130.94322660650002</v>
      </c>
      <c r="AB97" s="402">
        <f>IF($D97="Sim",'09 -Combustíveis, óleos, graxa '!Y118*9.25%,0)</f>
        <v>130.94322660650002</v>
      </c>
      <c r="AC97" s="402">
        <f>IF($D97="Sim",'09 -Combustíveis, óleos, graxa '!Z118*9.25%,0)</f>
        <v>130.94322660650002</v>
      </c>
      <c r="AD97" s="402">
        <f>IF($D97="Sim",'09 -Combustíveis, óleos, graxa '!AA118*9.25%,0)</f>
        <v>130.94322660650002</v>
      </c>
      <c r="AE97" s="402">
        <f>IF($D97="Sim",'09 -Combustíveis, óleos, graxa '!AB118*9.25%,0)</f>
        <v>130.94322660650002</v>
      </c>
      <c r="AF97" s="402">
        <f>IF($D97="Sim",'09 -Combustíveis, óleos, graxa '!AC118*9.25%,0)</f>
        <v>130.94322660650002</v>
      </c>
      <c r="AG97" s="402">
        <f>IF($D97="Sim",'09 -Combustíveis, óleos, graxa '!AD118*9.25%,0)</f>
        <v>130.94322660650002</v>
      </c>
      <c r="AH97" s="402">
        <f>IF($D97="Sim",'09 -Combustíveis, óleos, graxa '!AE118*9.25%,0)</f>
        <v>130.94322660650002</v>
      </c>
      <c r="AI97" s="402">
        <f>IF($D97="Sim",'09 -Combustíveis, óleos, graxa '!AF118*9.25%,0)</f>
        <v>130.94322660650002</v>
      </c>
      <c r="AJ97" s="402">
        <f>IF($D97="Sim",'09 -Combustíveis, óleos, graxa '!AG118*9.25%,0)</f>
        <v>130.94322660650002</v>
      </c>
      <c r="AK97" s="402">
        <f>IF($D97="Sim",'09 -Combustíveis, óleos, graxa '!AH118*9.25%,0)</f>
        <v>130.94322660650002</v>
      </c>
      <c r="AL97" s="402">
        <f>IF($D97="Sim",'09 -Combustíveis, óleos, graxa '!AI118*9.25%,0)</f>
        <v>130.94322660650002</v>
      </c>
      <c r="AM97" s="402">
        <f>IF($D97="Sim",'09 -Combustíveis, óleos, graxa '!AJ118*9.25%,0)</f>
        <v>130.94322660650002</v>
      </c>
      <c r="AN97" s="402">
        <f>IF($D97="Sim",'09 -Combustíveis, óleos, graxa '!AK118*9.25%,0)</f>
        <v>130.94322660650002</v>
      </c>
    </row>
    <row r="98" spans="2:40" ht="13.15" customHeight="1" outlineLevel="1" x14ac:dyDescent="0.2">
      <c r="B98" s="404" t="s">
        <v>971</v>
      </c>
      <c r="C98" s="413"/>
      <c r="D98" s="299" t="s">
        <v>1333</v>
      </c>
      <c r="E98" s="407">
        <f t="shared" si="14"/>
        <v>20124.299999999988</v>
      </c>
      <c r="F98" s="402">
        <f>IF($D98="Sim",'09 -Combustíveis, óleos, graxa '!C119*9.25%,0)</f>
        <v>574.98</v>
      </c>
      <c r="G98" s="402">
        <f>IF($D98="Sim",'09 -Combustíveis, óleos, graxa '!D119*9.25%,0)</f>
        <v>574.98</v>
      </c>
      <c r="H98" s="402">
        <f>IF($D98="Sim",'09 -Combustíveis, óleos, graxa '!E119*9.25%,0)</f>
        <v>574.98</v>
      </c>
      <c r="I98" s="402">
        <f>IF($D98="Sim",'09 -Combustíveis, óleos, graxa '!F119*9.25%,0)</f>
        <v>574.98</v>
      </c>
      <c r="J98" s="402">
        <f>IF($D98="Sim",'09 -Combustíveis, óleos, graxa '!G119*9.25%,0)</f>
        <v>574.98</v>
      </c>
      <c r="K98" s="402">
        <f>IF($D98="Sim",'09 -Combustíveis, óleos, graxa '!H119*9.25%,0)</f>
        <v>574.98</v>
      </c>
      <c r="L98" s="402">
        <f>IF($D98="Sim",'09 -Combustíveis, óleos, graxa '!I119*9.25%,0)</f>
        <v>574.98</v>
      </c>
      <c r="M98" s="402">
        <f>IF($D98="Sim",'09 -Combustíveis, óleos, graxa '!J119*9.25%,0)</f>
        <v>574.98</v>
      </c>
      <c r="N98" s="402">
        <f>IF($D98="Sim",'09 -Combustíveis, óleos, graxa '!K119*9.25%,0)</f>
        <v>574.98</v>
      </c>
      <c r="O98" s="402">
        <f>IF($D98="Sim",'09 -Combustíveis, óleos, graxa '!L119*9.25%,0)</f>
        <v>574.98</v>
      </c>
      <c r="P98" s="402">
        <f>IF($D98="Sim",'09 -Combustíveis, óleos, graxa '!M119*9.25%,0)</f>
        <v>574.98</v>
      </c>
      <c r="Q98" s="402">
        <f>IF($D98="Sim",'09 -Combustíveis, óleos, graxa '!N119*9.25%,0)</f>
        <v>574.98</v>
      </c>
      <c r="R98" s="402">
        <f>IF($D98="Sim",'09 -Combustíveis, óleos, graxa '!O119*9.25%,0)</f>
        <v>574.98</v>
      </c>
      <c r="S98" s="402">
        <f>IF($D98="Sim",'09 -Combustíveis, óleos, graxa '!P119*9.25%,0)</f>
        <v>574.98</v>
      </c>
      <c r="T98" s="402">
        <f>IF($D98="Sim",'09 -Combustíveis, óleos, graxa '!Q119*9.25%,0)</f>
        <v>574.98</v>
      </c>
      <c r="U98" s="402">
        <f>IF($D98="Sim",'09 -Combustíveis, óleos, graxa '!R119*9.25%,0)</f>
        <v>574.98</v>
      </c>
      <c r="V98" s="402">
        <f>IF($D98="Sim",'09 -Combustíveis, óleos, graxa '!S119*9.25%,0)</f>
        <v>574.98</v>
      </c>
      <c r="W98" s="402">
        <f>IF($D98="Sim",'09 -Combustíveis, óleos, graxa '!T119*9.25%,0)</f>
        <v>574.98</v>
      </c>
      <c r="X98" s="402">
        <f>IF($D98="Sim",'09 -Combustíveis, óleos, graxa '!U119*9.25%,0)</f>
        <v>574.98</v>
      </c>
      <c r="Y98" s="402">
        <f>IF($D98="Sim",'09 -Combustíveis, óleos, graxa '!V119*9.25%,0)</f>
        <v>574.98</v>
      </c>
      <c r="Z98" s="402">
        <f>IF($D98="Sim",'09 -Combustíveis, óleos, graxa '!W119*9.25%,0)</f>
        <v>574.98</v>
      </c>
      <c r="AA98" s="402">
        <f>IF($D98="Sim",'09 -Combustíveis, óleos, graxa '!X119*9.25%,0)</f>
        <v>574.98</v>
      </c>
      <c r="AB98" s="402">
        <f>IF($D98="Sim",'09 -Combustíveis, óleos, graxa '!Y119*9.25%,0)</f>
        <v>574.98</v>
      </c>
      <c r="AC98" s="402">
        <f>IF($D98="Sim",'09 -Combustíveis, óleos, graxa '!Z119*9.25%,0)</f>
        <v>574.98</v>
      </c>
      <c r="AD98" s="402">
        <f>IF($D98="Sim",'09 -Combustíveis, óleos, graxa '!AA119*9.25%,0)</f>
        <v>574.98</v>
      </c>
      <c r="AE98" s="402">
        <f>IF($D98="Sim",'09 -Combustíveis, óleos, graxa '!AB119*9.25%,0)</f>
        <v>574.98</v>
      </c>
      <c r="AF98" s="402">
        <f>IF($D98="Sim",'09 -Combustíveis, óleos, graxa '!AC119*9.25%,0)</f>
        <v>574.98</v>
      </c>
      <c r="AG98" s="402">
        <f>IF($D98="Sim",'09 -Combustíveis, óleos, graxa '!AD119*9.25%,0)</f>
        <v>574.98</v>
      </c>
      <c r="AH98" s="402">
        <f>IF($D98="Sim",'09 -Combustíveis, óleos, graxa '!AE119*9.25%,0)</f>
        <v>574.98</v>
      </c>
      <c r="AI98" s="402">
        <f>IF($D98="Sim",'09 -Combustíveis, óleos, graxa '!AF119*9.25%,0)</f>
        <v>574.98</v>
      </c>
      <c r="AJ98" s="402">
        <f>IF($D98="Sim",'09 -Combustíveis, óleos, graxa '!AG119*9.25%,0)</f>
        <v>574.98</v>
      </c>
      <c r="AK98" s="402">
        <f>IF($D98="Sim",'09 -Combustíveis, óleos, graxa '!AH119*9.25%,0)</f>
        <v>574.98</v>
      </c>
      <c r="AL98" s="402">
        <f>IF($D98="Sim",'09 -Combustíveis, óleos, graxa '!AI119*9.25%,0)</f>
        <v>574.98</v>
      </c>
      <c r="AM98" s="402">
        <f>IF($D98="Sim",'09 -Combustíveis, óleos, graxa '!AJ119*9.25%,0)</f>
        <v>574.98</v>
      </c>
      <c r="AN98" s="402">
        <f>IF($D98="Sim",'09 -Combustíveis, óleos, graxa '!AK119*9.25%,0)</f>
        <v>574.98</v>
      </c>
    </row>
    <row r="99" spans="2:40" ht="13.15" customHeight="1" outlineLevel="1" x14ac:dyDescent="0.2">
      <c r="B99" s="404" t="s">
        <v>972</v>
      </c>
      <c r="C99" s="413"/>
      <c r="D99" s="299" t="s">
        <v>1333</v>
      </c>
      <c r="E99" s="407">
        <f t="shared" si="14"/>
        <v>23193.450000000019</v>
      </c>
      <c r="F99" s="402">
        <f>IF($D99="Sim",'09 -Combustíveis, óleos, graxa '!C120*9.25%,0)</f>
        <v>463.86900000000003</v>
      </c>
      <c r="G99" s="402">
        <f>IF($D99="Sim",'09 -Combustíveis, óleos, graxa '!D120*9.25%,0)</f>
        <v>463.86900000000003</v>
      </c>
      <c r="H99" s="402">
        <f>IF($D99="Sim",'09 -Combustíveis, óleos, graxa '!E120*9.25%,0)</f>
        <v>463.86900000000003</v>
      </c>
      <c r="I99" s="402">
        <f>IF($D99="Sim",'09 -Combustíveis, óleos, graxa '!F120*9.25%,0)</f>
        <v>463.86900000000003</v>
      </c>
      <c r="J99" s="402">
        <f>IF($D99="Sim",'09 -Combustíveis, óleos, graxa '!G120*9.25%,0)</f>
        <v>463.86900000000003</v>
      </c>
      <c r="K99" s="402">
        <f>IF($D99="Sim",'09 -Combustíveis, óleos, graxa '!H120*9.25%,0)</f>
        <v>695.8035000000001</v>
      </c>
      <c r="L99" s="402">
        <f>IF($D99="Sim",'09 -Combustíveis, óleos, graxa '!I120*9.25%,0)</f>
        <v>695.8035000000001</v>
      </c>
      <c r="M99" s="402">
        <f>IF($D99="Sim",'09 -Combustíveis, óleos, graxa '!J120*9.25%,0)</f>
        <v>695.8035000000001</v>
      </c>
      <c r="N99" s="402">
        <f>IF($D99="Sim",'09 -Combustíveis, óleos, graxa '!K120*9.25%,0)</f>
        <v>695.8035000000001</v>
      </c>
      <c r="O99" s="402">
        <f>IF($D99="Sim",'09 -Combustíveis, óleos, graxa '!L120*9.25%,0)</f>
        <v>695.8035000000001</v>
      </c>
      <c r="P99" s="402">
        <f>IF($D99="Sim",'09 -Combustíveis, óleos, graxa '!M120*9.25%,0)</f>
        <v>695.8035000000001</v>
      </c>
      <c r="Q99" s="402">
        <f>IF($D99="Sim",'09 -Combustíveis, óleos, graxa '!N120*9.25%,0)</f>
        <v>695.8035000000001</v>
      </c>
      <c r="R99" s="402">
        <f>IF($D99="Sim",'09 -Combustíveis, óleos, graxa '!O120*9.25%,0)</f>
        <v>695.8035000000001</v>
      </c>
      <c r="S99" s="402">
        <f>IF($D99="Sim",'09 -Combustíveis, óleos, graxa '!P120*9.25%,0)</f>
        <v>695.8035000000001</v>
      </c>
      <c r="T99" s="402">
        <f>IF($D99="Sim",'09 -Combustíveis, óleos, graxa '!Q120*9.25%,0)</f>
        <v>695.8035000000001</v>
      </c>
      <c r="U99" s="402">
        <f>IF($D99="Sim",'09 -Combustíveis, óleos, graxa '!R120*9.25%,0)</f>
        <v>695.8035000000001</v>
      </c>
      <c r="V99" s="402">
        <f>IF($D99="Sim",'09 -Combustíveis, óleos, graxa '!S120*9.25%,0)</f>
        <v>695.8035000000001</v>
      </c>
      <c r="W99" s="402">
        <f>IF($D99="Sim",'09 -Combustíveis, óleos, graxa '!T120*9.25%,0)</f>
        <v>695.8035000000001</v>
      </c>
      <c r="X99" s="402">
        <f>IF($D99="Sim",'09 -Combustíveis, óleos, graxa '!U120*9.25%,0)</f>
        <v>695.8035000000001</v>
      </c>
      <c r="Y99" s="402">
        <f>IF($D99="Sim",'09 -Combustíveis, óleos, graxa '!V120*9.25%,0)</f>
        <v>695.8035000000001</v>
      </c>
      <c r="Z99" s="402">
        <f>IF($D99="Sim",'09 -Combustíveis, óleos, graxa '!W120*9.25%,0)</f>
        <v>695.8035000000001</v>
      </c>
      <c r="AA99" s="402">
        <f>IF($D99="Sim",'09 -Combustíveis, óleos, graxa '!X120*9.25%,0)</f>
        <v>695.8035000000001</v>
      </c>
      <c r="AB99" s="402">
        <f>IF($D99="Sim",'09 -Combustíveis, óleos, graxa '!Y120*9.25%,0)</f>
        <v>695.8035000000001</v>
      </c>
      <c r="AC99" s="402">
        <f>IF($D99="Sim",'09 -Combustíveis, óleos, graxa '!Z120*9.25%,0)</f>
        <v>695.8035000000001</v>
      </c>
      <c r="AD99" s="402">
        <f>IF($D99="Sim",'09 -Combustíveis, óleos, graxa '!AA120*9.25%,0)</f>
        <v>695.8035000000001</v>
      </c>
      <c r="AE99" s="402">
        <f>IF($D99="Sim",'09 -Combustíveis, óleos, graxa '!AB120*9.25%,0)</f>
        <v>695.8035000000001</v>
      </c>
      <c r="AF99" s="402">
        <f>IF($D99="Sim",'09 -Combustíveis, óleos, graxa '!AC120*9.25%,0)</f>
        <v>695.8035000000001</v>
      </c>
      <c r="AG99" s="402">
        <f>IF($D99="Sim",'09 -Combustíveis, óleos, graxa '!AD120*9.25%,0)</f>
        <v>695.8035000000001</v>
      </c>
      <c r="AH99" s="402">
        <f>IF($D99="Sim",'09 -Combustíveis, óleos, graxa '!AE120*9.25%,0)</f>
        <v>695.8035000000001</v>
      </c>
      <c r="AI99" s="402">
        <f>IF($D99="Sim",'09 -Combustíveis, óleos, graxa '!AF120*9.25%,0)</f>
        <v>695.8035000000001</v>
      </c>
      <c r="AJ99" s="402">
        <f>IF($D99="Sim",'09 -Combustíveis, óleos, graxa '!AG120*9.25%,0)</f>
        <v>695.8035000000001</v>
      </c>
      <c r="AK99" s="402">
        <f>IF($D99="Sim",'09 -Combustíveis, óleos, graxa '!AH120*9.25%,0)</f>
        <v>695.8035000000001</v>
      </c>
      <c r="AL99" s="402">
        <f>IF($D99="Sim",'09 -Combustíveis, óleos, graxa '!AI120*9.25%,0)</f>
        <v>695.8035000000001</v>
      </c>
      <c r="AM99" s="402">
        <f>IF($D99="Sim",'09 -Combustíveis, óleos, graxa '!AJ120*9.25%,0)</f>
        <v>695.8035000000001</v>
      </c>
      <c r="AN99" s="402">
        <f>IF($D99="Sim",'09 -Combustíveis, óleos, graxa '!AK120*9.25%,0)</f>
        <v>695.8035000000001</v>
      </c>
    </row>
    <row r="100" spans="2:40" ht="13.15" customHeight="1" outlineLevel="1" x14ac:dyDescent="0.2">
      <c r="B100" s="404" t="s">
        <v>973</v>
      </c>
      <c r="C100" s="413"/>
      <c r="D100" s="299" t="s">
        <v>1333</v>
      </c>
      <c r="E100" s="407">
        <f t="shared" si="14"/>
        <v>38478.982499999991</v>
      </c>
      <c r="F100" s="402">
        <f>IF($D100="Sim",'09 -Combustíveis, óleos, graxa '!C121*9.25%,0)</f>
        <v>1099.3995000000002</v>
      </c>
      <c r="G100" s="402">
        <f>IF($D100="Sim",'09 -Combustíveis, óleos, graxa '!D121*9.25%,0)</f>
        <v>1099.3995000000002</v>
      </c>
      <c r="H100" s="402">
        <f>IF($D100="Sim",'09 -Combustíveis, óleos, graxa '!E121*9.25%,0)</f>
        <v>1099.3995000000002</v>
      </c>
      <c r="I100" s="402">
        <f>IF($D100="Sim",'09 -Combustíveis, óleos, graxa '!F121*9.25%,0)</f>
        <v>1099.3995000000002</v>
      </c>
      <c r="J100" s="402">
        <f>IF($D100="Sim",'09 -Combustíveis, óleos, graxa '!G121*9.25%,0)</f>
        <v>1099.3995000000002</v>
      </c>
      <c r="K100" s="402">
        <f>IF($D100="Sim",'09 -Combustíveis, óleos, graxa '!H121*9.25%,0)</f>
        <v>1099.3995000000002</v>
      </c>
      <c r="L100" s="402">
        <f>IF($D100="Sim",'09 -Combustíveis, óleos, graxa '!I121*9.25%,0)</f>
        <v>1099.3995000000002</v>
      </c>
      <c r="M100" s="402">
        <f>IF($D100="Sim",'09 -Combustíveis, óleos, graxa '!J121*9.25%,0)</f>
        <v>1099.3995000000002</v>
      </c>
      <c r="N100" s="402">
        <f>IF($D100="Sim",'09 -Combustíveis, óleos, graxa '!K121*9.25%,0)</f>
        <v>1099.3995000000002</v>
      </c>
      <c r="O100" s="402">
        <f>IF($D100="Sim",'09 -Combustíveis, óleos, graxa '!L121*9.25%,0)</f>
        <v>1099.3995000000002</v>
      </c>
      <c r="P100" s="402">
        <f>IF($D100="Sim",'09 -Combustíveis, óleos, graxa '!M121*9.25%,0)</f>
        <v>1099.3995000000002</v>
      </c>
      <c r="Q100" s="402">
        <f>IF($D100="Sim",'09 -Combustíveis, óleos, graxa '!N121*9.25%,0)</f>
        <v>1099.3995000000002</v>
      </c>
      <c r="R100" s="402">
        <f>IF($D100="Sim",'09 -Combustíveis, óleos, graxa '!O121*9.25%,0)</f>
        <v>1099.3995000000002</v>
      </c>
      <c r="S100" s="402">
        <f>IF($D100="Sim",'09 -Combustíveis, óleos, graxa '!P121*9.25%,0)</f>
        <v>1099.3995000000002</v>
      </c>
      <c r="T100" s="402">
        <f>IF($D100="Sim",'09 -Combustíveis, óleos, graxa '!Q121*9.25%,0)</f>
        <v>1099.3995000000002</v>
      </c>
      <c r="U100" s="402">
        <f>IF($D100="Sim",'09 -Combustíveis, óleos, graxa '!R121*9.25%,0)</f>
        <v>1099.3995000000002</v>
      </c>
      <c r="V100" s="402">
        <f>IF($D100="Sim",'09 -Combustíveis, óleos, graxa '!S121*9.25%,0)</f>
        <v>1099.3995000000002</v>
      </c>
      <c r="W100" s="402">
        <f>IF($D100="Sim",'09 -Combustíveis, óleos, graxa '!T121*9.25%,0)</f>
        <v>1099.3995000000002</v>
      </c>
      <c r="X100" s="402">
        <f>IF($D100="Sim",'09 -Combustíveis, óleos, graxa '!U121*9.25%,0)</f>
        <v>1099.3995000000002</v>
      </c>
      <c r="Y100" s="402">
        <f>IF($D100="Sim",'09 -Combustíveis, óleos, graxa '!V121*9.25%,0)</f>
        <v>1099.3995000000002</v>
      </c>
      <c r="Z100" s="402">
        <f>IF($D100="Sim",'09 -Combustíveis, óleos, graxa '!W121*9.25%,0)</f>
        <v>1099.3995000000002</v>
      </c>
      <c r="AA100" s="402">
        <f>IF($D100="Sim",'09 -Combustíveis, óleos, graxa '!X121*9.25%,0)</f>
        <v>1099.3995000000002</v>
      </c>
      <c r="AB100" s="402">
        <f>IF($D100="Sim",'09 -Combustíveis, óleos, graxa '!Y121*9.25%,0)</f>
        <v>1099.3995000000002</v>
      </c>
      <c r="AC100" s="402">
        <f>IF($D100="Sim",'09 -Combustíveis, óleos, graxa '!Z121*9.25%,0)</f>
        <v>1099.3995000000002</v>
      </c>
      <c r="AD100" s="402">
        <f>IF($D100="Sim",'09 -Combustíveis, óleos, graxa '!AA121*9.25%,0)</f>
        <v>1099.3995000000002</v>
      </c>
      <c r="AE100" s="402">
        <f>IF($D100="Sim",'09 -Combustíveis, óleos, graxa '!AB121*9.25%,0)</f>
        <v>1099.3995000000002</v>
      </c>
      <c r="AF100" s="402">
        <f>IF($D100="Sim",'09 -Combustíveis, óleos, graxa '!AC121*9.25%,0)</f>
        <v>1099.3995000000002</v>
      </c>
      <c r="AG100" s="402">
        <f>IF($D100="Sim",'09 -Combustíveis, óleos, graxa '!AD121*9.25%,0)</f>
        <v>1099.3995000000002</v>
      </c>
      <c r="AH100" s="402">
        <f>IF($D100="Sim",'09 -Combustíveis, óleos, graxa '!AE121*9.25%,0)</f>
        <v>1099.3995000000002</v>
      </c>
      <c r="AI100" s="402">
        <f>IF($D100="Sim",'09 -Combustíveis, óleos, graxa '!AF121*9.25%,0)</f>
        <v>1099.3995000000002</v>
      </c>
      <c r="AJ100" s="402">
        <f>IF($D100="Sim",'09 -Combustíveis, óleos, graxa '!AG121*9.25%,0)</f>
        <v>1099.3995000000002</v>
      </c>
      <c r="AK100" s="402">
        <f>IF($D100="Sim",'09 -Combustíveis, óleos, graxa '!AH121*9.25%,0)</f>
        <v>1099.3995000000002</v>
      </c>
      <c r="AL100" s="402">
        <f>IF($D100="Sim",'09 -Combustíveis, óleos, graxa '!AI121*9.25%,0)</f>
        <v>1099.3995000000002</v>
      </c>
      <c r="AM100" s="402">
        <f>IF($D100="Sim",'09 -Combustíveis, óleos, graxa '!AJ121*9.25%,0)</f>
        <v>1099.3995000000002</v>
      </c>
      <c r="AN100" s="402">
        <f>IF($D100="Sim",'09 -Combustíveis, óleos, graxa '!AK121*9.25%,0)</f>
        <v>1099.3995000000002</v>
      </c>
    </row>
    <row r="101" spans="2:40" ht="13.15" customHeight="1" outlineLevel="1" x14ac:dyDescent="0.2">
      <c r="B101" s="404" t="s">
        <v>974</v>
      </c>
      <c r="C101" s="413"/>
      <c r="D101" s="299" t="s">
        <v>1333</v>
      </c>
      <c r="E101" s="407">
        <f t="shared" si="14"/>
        <v>484.75087500000041</v>
      </c>
      <c r="F101" s="402">
        <f>IF($D101="Sim",'09 -Combustíveis, óleos, graxa '!C122*9.25%,0)</f>
        <v>13.850025000000002</v>
      </c>
      <c r="G101" s="402">
        <f>IF($D101="Sim",'09 -Combustíveis, óleos, graxa '!D122*9.25%,0)</f>
        <v>13.850025000000002</v>
      </c>
      <c r="H101" s="402">
        <f>IF($D101="Sim",'09 -Combustíveis, óleos, graxa '!E122*9.25%,0)</f>
        <v>13.850025000000002</v>
      </c>
      <c r="I101" s="402">
        <f>IF($D101="Sim",'09 -Combustíveis, óleos, graxa '!F122*9.25%,0)</f>
        <v>13.850025000000002</v>
      </c>
      <c r="J101" s="402">
        <f>IF($D101="Sim",'09 -Combustíveis, óleos, graxa '!G122*9.25%,0)</f>
        <v>13.850025000000002</v>
      </c>
      <c r="K101" s="402">
        <f>IF($D101="Sim",'09 -Combustíveis, óleos, graxa '!H122*9.25%,0)</f>
        <v>13.850025000000002</v>
      </c>
      <c r="L101" s="402">
        <f>IF($D101="Sim",'09 -Combustíveis, óleos, graxa '!I122*9.25%,0)</f>
        <v>13.850025000000002</v>
      </c>
      <c r="M101" s="402">
        <f>IF($D101="Sim",'09 -Combustíveis, óleos, graxa '!J122*9.25%,0)</f>
        <v>13.850025000000002</v>
      </c>
      <c r="N101" s="402">
        <f>IF($D101="Sim",'09 -Combustíveis, óleos, graxa '!K122*9.25%,0)</f>
        <v>13.850025000000002</v>
      </c>
      <c r="O101" s="402">
        <f>IF($D101="Sim",'09 -Combustíveis, óleos, graxa '!L122*9.25%,0)</f>
        <v>13.850025000000002</v>
      </c>
      <c r="P101" s="402">
        <f>IF($D101="Sim",'09 -Combustíveis, óleos, graxa '!M122*9.25%,0)</f>
        <v>13.850025000000002</v>
      </c>
      <c r="Q101" s="402">
        <f>IF($D101="Sim",'09 -Combustíveis, óleos, graxa '!N122*9.25%,0)</f>
        <v>13.850025000000002</v>
      </c>
      <c r="R101" s="402">
        <f>IF($D101="Sim",'09 -Combustíveis, óleos, graxa '!O122*9.25%,0)</f>
        <v>13.850025000000002</v>
      </c>
      <c r="S101" s="402">
        <f>IF($D101="Sim",'09 -Combustíveis, óleos, graxa '!P122*9.25%,0)</f>
        <v>13.850025000000002</v>
      </c>
      <c r="T101" s="402">
        <f>IF($D101="Sim",'09 -Combustíveis, óleos, graxa '!Q122*9.25%,0)</f>
        <v>13.850025000000002</v>
      </c>
      <c r="U101" s="402">
        <f>IF($D101="Sim",'09 -Combustíveis, óleos, graxa '!R122*9.25%,0)</f>
        <v>13.850025000000002</v>
      </c>
      <c r="V101" s="402">
        <f>IF($D101="Sim",'09 -Combustíveis, óleos, graxa '!S122*9.25%,0)</f>
        <v>13.850025000000002</v>
      </c>
      <c r="W101" s="402">
        <f>IF($D101="Sim",'09 -Combustíveis, óleos, graxa '!T122*9.25%,0)</f>
        <v>13.850025000000002</v>
      </c>
      <c r="X101" s="402">
        <f>IF($D101="Sim",'09 -Combustíveis, óleos, graxa '!U122*9.25%,0)</f>
        <v>13.850025000000002</v>
      </c>
      <c r="Y101" s="402">
        <f>IF($D101="Sim",'09 -Combustíveis, óleos, graxa '!V122*9.25%,0)</f>
        <v>13.850025000000002</v>
      </c>
      <c r="Z101" s="402">
        <f>IF($D101="Sim",'09 -Combustíveis, óleos, graxa '!W122*9.25%,0)</f>
        <v>13.850025000000002</v>
      </c>
      <c r="AA101" s="402">
        <f>IF($D101="Sim",'09 -Combustíveis, óleos, graxa '!X122*9.25%,0)</f>
        <v>13.850025000000002</v>
      </c>
      <c r="AB101" s="402">
        <f>IF($D101="Sim",'09 -Combustíveis, óleos, graxa '!Y122*9.25%,0)</f>
        <v>13.850025000000002</v>
      </c>
      <c r="AC101" s="402">
        <f>IF($D101="Sim",'09 -Combustíveis, óleos, graxa '!Z122*9.25%,0)</f>
        <v>13.850025000000002</v>
      </c>
      <c r="AD101" s="402">
        <f>IF($D101="Sim",'09 -Combustíveis, óleos, graxa '!AA122*9.25%,0)</f>
        <v>13.850025000000002</v>
      </c>
      <c r="AE101" s="402">
        <f>IF($D101="Sim",'09 -Combustíveis, óleos, graxa '!AB122*9.25%,0)</f>
        <v>13.850025000000002</v>
      </c>
      <c r="AF101" s="402">
        <f>IF($D101="Sim",'09 -Combustíveis, óleos, graxa '!AC122*9.25%,0)</f>
        <v>13.850025000000002</v>
      </c>
      <c r="AG101" s="402">
        <f>IF($D101="Sim",'09 -Combustíveis, óleos, graxa '!AD122*9.25%,0)</f>
        <v>13.850025000000002</v>
      </c>
      <c r="AH101" s="402">
        <f>IF($D101="Sim",'09 -Combustíveis, óleos, graxa '!AE122*9.25%,0)</f>
        <v>13.850025000000002</v>
      </c>
      <c r="AI101" s="402">
        <f>IF($D101="Sim",'09 -Combustíveis, óleos, graxa '!AF122*9.25%,0)</f>
        <v>13.850025000000002</v>
      </c>
      <c r="AJ101" s="402">
        <f>IF($D101="Sim",'09 -Combustíveis, óleos, graxa '!AG122*9.25%,0)</f>
        <v>13.850025000000002</v>
      </c>
      <c r="AK101" s="402">
        <f>IF($D101="Sim",'09 -Combustíveis, óleos, graxa '!AH122*9.25%,0)</f>
        <v>13.850025000000002</v>
      </c>
      <c r="AL101" s="402">
        <f>IF($D101="Sim",'09 -Combustíveis, óleos, graxa '!AI122*9.25%,0)</f>
        <v>13.850025000000002</v>
      </c>
      <c r="AM101" s="402">
        <f>IF($D101="Sim",'09 -Combustíveis, óleos, graxa '!AJ122*9.25%,0)</f>
        <v>13.850025000000002</v>
      </c>
      <c r="AN101" s="402">
        <f>IF($D101="Sim",'09 -Combustíveis, óleos, graxa '!AK122*9.25%,0)</f>
        <v>13.850025000000002</v>
      </c>
    </row>
    <row r="102" spans="2:40" ht="13.15" customHeight="1" outlineLevel="1" x14ac:dyDescent="0.2">
      <c r="B102" s="404" t="s">
        <v>1358</v>
      </c>
      <c r="C102" s="413"/>
      <c r="D102" s="299" t="s">
        <v>1333</v>
      </c>
      <c r="E102" s="407">
        <f t="shared" si="14"/>
        <v>9432.5468999999994</v>
      </c>
      <c r="F102" s="402">
        <f>IF($D102="Sim",'09 -Combustíveis, óleos, graxa '!C123*9.25%,0)</f>
        <v>269.50134000000003</v>
      </c>
      <c r="G102" s="402">
        <f>IF($D102="Sim",'09 -Combustíveis, óleos, graxa '!D123*9.25%,0)</f>
        <v>269.50134000000003</v>
      </c>
      <c r="H102" s="402">
        <f>IF($D102="Sim",'09 -Combustíveis, óleos, graxa '!E123*9.25%,0)</f>
        <v>269.50134000000003</v>
      </c>
      <c r="I102" s="402">
        <f>IF($D102="Sim",'09 -Combustíveis, óleos, graxa '!F123*9.25%,0)</f>
        <v>269.50134000000003</v>
      </c>
      <c r="J102" s="402">
        <f>IF($D102="Sim",'09 -Combustíveis, óleos, graxa '!G123*9.25%,0)</f>
        <v>269.50134000000003</v>
      </c>
      <c r="K102" s="402">
        <f>IF($D102="Sim",'09 -Combustíveis, óleos, graxa '!H123*9.25%,0)</f>
        <v>269.50134000000003</v>
      </c>
      <c r="L102" s="402">
        <f>IF($D102="Sim",'09 -Combustíveis, óleos, graxa '!I123*9.25%,0)</f>
        <v>269.50134000000003</v>
      </c>
      <c r="M102" s="402">
        <f>IF($D102="Sim",'09 -Combustíveis, óleos, graxa '!J123*9.25%,0)</f>
        <v>269.50134000000003</v>
      </c>
      <c r="N102" s="402">
        <f>IF($D102="Sim",'09 -Combustíveis, óleos, graxa '!K123*9.25%,0)</f>
        <v>269.50134000000003</v>
      </c>
      <c r="O102" s="402">
        <f>IF($D102="Sim",'09 -Combustíveis, óleos, graxa '!L123*9.25%,0)</f>
        <v>269.50134000000003</v>
      </c>
      <c r="P102" s="402">
        <f>IF($D102="Sim",'09 -Combustíveis, óleos, graxa '!M123*9.25%,0)</f>
        <v>269.50134000000003</v>
      </c>
      <c r="Q102" s="402">
        <f>IF($D102="Sim",'09 -Combustíveis, óleos, graxa '!N123*9.25%,0)</f>
        <v>269.50134000000003</v>
      </c>
      <c r="R102" s="402">
        <f>IF($D102="Sim",'09 -Combustíveis, óleos, graxa '!O123*9.25%,0)</f>
        <v>269.50134000000003</v>
      </c>
      <c r="S102" s="402">
        <f>IF($D102="Sim",'09 -Combustíveis, óleos, graxa '!P123*9.25%,0)</f>
        <v>269.50134000000003</v>
      </c>
      <c r="T102" s="402">
        <f>IF($D102="Sim",'09 -Combustíveis, óleos, graxa '!Q123*9.25%,0)</f>
        <v>269.50134000000003</v>
      </c>
      <c r="U102" s="402">
        <f>IF($D102="Sim",'09 -Combustíveis, óleos, graxa '!R123*9.25%,0)</f>
        <v>269.50134000000003</v>
      </c>
      <c r="V102" s="402">
        <f>IF($D102="Sim",'09 -Combustíveis, óleos, graxa '!S123*9.25%,0)</f>
        <v>269.50134000000003</v>
      </c>
      <c r="W102" s="402">
        <f>IF($D102="Sim",'09 -Combustíveis, óleos, graxa '!T123*9.25%,0)</f>
        <v>269.50134000000003</v>
      </c>
      <c r="X102" s="402">
        <f>IF($D102="Sim",'09 -Combustíveis, óleos, graxa '!U123*9.25%,0)</f>
        <v>269.50134000000003</v>
      </c>
      <c r="Y102" s="402">
        <f>IF($D102="Sim",'09 -Combustíveis, óleos, graxa '!V123*9.25%,0)</f>
        <v>269.50134000000003</v>
      </c>
      <c r="Z102" s="402">
        <f>IF($D102="Sim",'09 -Combustíveis, óleos, graxa '!W123*9.25%,0)</f>
        <v>269.50134000000003</v>
      </c>
      <c r="AA102" s="402">
        <f>IF($D102="Sim",'09 -Combustíveis, óleos, graxa '!X123*9.25%,0)</f>
        <v>269.50134000000003</v>
      </c>
      <c r="AB102" s="402">
        <f>IF($D102="Sim",'09 -Combustíveis, óleos, graxa '!Y123*9.25%,0)</f>
        <v>269.50134000000003</v>
      </c>
      <c r="AC102" s="402">
        <f>IF($D102="Sim",'09 -Combustíveis, óleos, graxa '!Z123*9.25%,0)</f>
        <v>269.50134000000003</v>
      </c>
      <c r="AD102" s="402">
        <f>IF($D102="Sim",'09 -Combustíveis, óleos, graxa '!AA123*9.25%,0)</f>
        <v>269.50134000000003</v>
      </c>
      <c r="AE102" s="402">
        <f>IF($D102="Sim",'09 -Combustíveis, óleos, graxa '!AB123*9.25%,0)</f>
        <v>269.50134000000003</v>
      </c>
      <c r="AF102" s="402">
        <f>IF($D102="Sim",'09 -Combustíveis, óleos, graxa '!AC123*9.25%,0)</f>
        <v>269.50134000000003</v>
      </c>
      <c r="AG102" s="402">
        <f>IF($D102="Sim",'09 -Combustíveis, óleos, graxa '!AD123*9.25%,0)</f>
        <v>269.50134000000003</v>
      </c>
      <c r="AH102" s="402">
        <f>IF($D102="Sim",'09 -Combustíveis, óleos, graxa '!AE123*9.25%,0)</f>
        <v>269.50134000000003</v>
      </c>
      <c r="AI102" s="402">
        <f>IF($D102="Sim",'09 -Combustíveis, óleos, graxa '!AF123*9.25%,0)</f>
        <v>269.50134000000003</v>
      </c>
      <c r="AJ102" s="402">
        <f>IF($D102="Sim",'09 -Combustíveis, óleos, graxa '!AG123*9.25%,0)</f>
        <v>269.50134000000003</v>
      </c>
      <c r="AK102" s="402">
        <f>IF($D102="Sim",'09 -Combustíveis, óleos, graxa '!AH123*9.25%,0)</f>
        <v>269.50134000000003</v>
      </c>
      <c r="AL102" s="402">
        <f>IF($D102="Sim",'09 -Combustíveis, óleos, graxa '!AI123*9.25%,0)</f>
        <v>269.50134000000003</v>
      </c>
      <c r="AM102" s="402">
        <f>IF($D102="Sim",'09 -Combustíveis, óleos, graxa '!AJ123*9.25%,0)</f>
        <v>269.50134000000003</v>
      </c>
      <c r="AN102" s="402">
        <f>IF($D102="Sim",'09 -Combustíveis, óleos, graxa '!AK123*9.25%,0)</f>
        <v>269.50134000000003</v>
      </c>
    </row>
    <row r="103" spans="2:40" ht="13.15" customHeight="1" outlineLevel="1" x14ac:dyDescent="0.2">
      <c r="B103" s="404" t="s">
        <v>976</v>
      </c>
      <c r="C103" s="413"/>
      <c r="D103" s="299" t="s">
        <v>1333</v>
      </c>
      <c r="E103" s="407">
        <f t="shared" si="14"/>
        <v>61300.288349999981</v>
      </c>
      <c r="F103" s="402">
        <f>IF($D103="Sim",'09 -Combustíveis, óleos, graxa '!C124*9.25%,0)</f>
        <v>1751.4368099999997</v>
      </c>
      <c r="G103" s="402">
        <f>IF($D103="Sim",'09 -Combustíveis, óleos, graxa '!D124*9.25%,0)</f>
        <v>1751.4368099999997</v>
      </c>
      <c r="H103" s="402">
        <f>IF($D103="Sim",'09 -Combustíveis, óleos, graxa '!E124*9.25%,0)</f>
        <v>1751.4368099999997</v>
      </c>
      <c r="I103" s="402">
        <f>IF($D103="Sim",'09 -Combustíveis, óleos, graxa '!F124*9.25%,0)</f>
        <v>1751.4368099999997</v>
      </c>
      <c r="J103" s="402">
        <f>IF($D103="Sim",'09 -Combustíveis, óleos, graxa '!G124*9.25%,0)</f>
        <v>1751.4368099999997</v>
      </c>
      <c r="K103" s="402">
        <f>IF($D103="Sim",'09 -Combustíveis, óleos, graxa '!H124*9.25%,0)</f>
        <v>1751.4368099999997</v>
      </c>
      <c r="L103" s="402">
        <f>IF($D103="Sim",'09 -Combustíveis, óleos, graxa '!I124*9.25%,0)</f>
        <v>1751.4368099999997</v>
      </c>
      <c r="M103" s="402">
        <f>IF($D103="Sim",'09 -Combustíveis, óleos, graxa '!J124*9.25%,0)</f>
        <v>1751.4368099999997</v>
      </c>
      <c r="N103" s="402">
        <f>IF($D103="Sim",'09 -Combustíveis, óleos, graxa '!K124*9.25%,0)</f>
        <v>1751.4368099999997</v>
      </c>
      <c r="O103" s="402">
        <f>IF($D103="Sim",'09 -Combustíveis, óleos, graxa '!L124*9.25%,0)</f>
        <v>1751.4368099999997</v>
      </c>
      <c r="P103" s="402">
        <f>IF($D103="Sim",'09 -Combustíveis, óleos, graxa '!M124*9.25%,0)</f>
        <v>1751.4368099999997</v>
      </c>
      <c r="Q103" s="402">
        <f>IF($D103="Sim",'09 -Combustíveis, óleos, graxa '!N124*9.25%,0)</f>
        <v>1751.4368099999997</v>
      </c>
      <c r="R103" s="402">
        <f>IF($D103="Sim",'09 -Combustíveis, óleos, graxa '!O124*9.25%,0)</f>
        <v>1751.4368099999997</v>
      </c>
      <c r="S103" s="402">
        <f>IF($D103="Sim",'09 -Combustíveis, óleos, graxa '!P124*9.25%,0)</f>
        <v>1751.4368099999997</v>
      </c>
      <c r="T103" s="402">
        <f>IF($D103="Sim",'09 -Combustíveis, óleos, graxa '!Q124*9.25%,0)</f>
        <v>1751.4368099999997</v>
      </c>
      <c r="U103" s="402">
        <f>IF($D103="Sim",'09 -Combustíveis, óleos, graxa '!R124*9.25%,0)</f>
        <v>1751.4368099999997</v>
      </c>
      <c r="V103" s="402">
        <f>IF($D103="Sim",'09 -Combustíveis, óleos, graxa '!S124*9.25%,0)</f>
        <v>1751.4368099999997</v>
      </c>
      <c r="W103" s="402">
        <f>IF($D103="Sim",'09 -Combustíveis, óleos, graxa '!T124*9.25%,0)</f>
        <v>1751.4368099999997</v>
      </c>
      <c r="X103" s="402">
        <f>IF($D103="Sim",'09 -Combustíveis, óleos, graxa '!U124*9.25%,0)</f>
        <v>1751.4368099999997</v>
      </c>
      <c r="Y103" s="402">
        <f>IF($D103="Sim",'09 -Combustíveis, óleos, graxa '!V124*9.25%,0)</f>
        <v>1751.4368099999997</v>
      </c>
      <c r="Z103" s="402">
        <f>IF($D103="Sim",'09 -Combustíveis, óleos, graxa '!W124*9.25%,0)</f>
        <v>1751.4368099999997</v>
      </c>
      <c r="AA103" s="402">
        <f>IF($D103="Sim",'09 -Combustíveis, óleos, graxa '!X124*9.25%,0)</f>
        <v>1751.4368099999997</v>
      </c>
      <c r="AB103" s="402">
        <f>IF($D103="Sim",'09 -Combustíveis, óleos, graxa '!Y124*9.25%,0)</f>
        <v>1751.4368099999997</v>
      </c>
      <c r="AC103" s="402">
        <f>IF($D103="Sim",'09 -Combustíveis, óleos, graxa '!Z124*9.25%,0)</f>
        <v>1751.4368099999997</v>
      </c>
      <c r="AD103" s="402">
        <f>IF($D103="Sim",'09 -Combustíveis, óleos, graxa '!AA124*9.25%,0)</f>
        <v>1751.4368099999997</v>
      </c>
      <c r="AE103" s="402">
        <f>IF($D103="Sim",'09 -Combustíveis, óleos, graxa '!AB124*9.25%,0)</f>
        <v>1751.4368099999997</v>
      </c>
      <c r="AF103" s="402">
        <f>IF($D103="Sim",'09 -Combustíveis, óleos, graxa '!AC124*9.25%,0)</f>
        <v>1751.4368099999997</v>
      </c>
      <c r="AG103" s="402">
        <f>IF($D103="Sim",'09 -Combustíveis, óleos, graxa '!AD124*9.25%,0)</f>
        <v>1751.4368099999997</v>
      </c>
      <c r="AH103" s="402">
        <f>IF($D103="Sim",'09 -Combustíveis, óleos, graxa '!AE124*9.25%,0)</f>
        <v>1751.4368099999997</v>
      </c>
      <c r="AI103" s="402">
        <f>IF($D103="Sim",'09 -Combustíveis, óleos, graxa '!AF124*9.25%,0)</f>
        <v>1751.4368099999997</v>
      </c>
      <c r="AJ103" s="402">
        <f>IF($D103="Sim",'09 -Combustíveis, óleos, graxa '!AG124*9.25%,0)</f>
        <v>1751.4368099999997</v>
      </c>
      <c r="AK103" s="402">
        <f>IF($D103="Sim",'09 -Combustíveis, óleos, graxa '!AH124*9.25%,0)</f>
        <v>1751.4368099999997</v>
      </c>
      <c r="AL103" s="402">
        <f>IF($D103="Sim",'09 -Combustíveis, óleos, graxa '!AI124*9.25%,0)</f>
        <v>1751.4368099999997</v>
      </c>
      <c r="AM103" s="402">
        <f>IF($D103="Sim",'09 -Combustíveis, óleos, graxa '!AJ124*9.25%,0)</f>
        <v>1751.4368099999997</v>
      </c>
      <c r="AN103" s="402">
        <f>IF($D103="Sim",'09 -Combustíveis, óleos, graxa '!AK124*9.25%,0)</f>
        <v>1751.4368099999997</v>
      </c>
    </row>
    <row r="104" spans="2:40" ht="13.15" customHeight="1" outlineLevel="1" x14ac:dyDescent="0.2">
      <c r="B104" s="404" t="s">
        <v>1359</v>
      </c>
      <c r="C104" s="413"/>
      <c r="D104" s="299" t="s">
        <v>1360</v>
      </c>
      <c r="E104" s="407">
        <f t="shared" si="14"/>
        <v>0</v>
      </c>
      <c r="F104" s="402">
        <f>IF($D104="Sim",'09 -Combustíveis, óleos, graxa '!C126*9.25%,0)</f>
        <v>0</v>
      </c>
      <c r="G104" s="402">
        <f>IF($D104="Sim",'09 -Combustíveis, óleos, graxa '!D126*9.25%,0)</f>
        <v>0</v>
      </c>
      <c r="H104" s="402">
        <f>IF($D104="Sim",'09 -Combustíveis, óleos, graxa '!E126*9.25%,0)</f>
        <v>0</v>
      </c>
      <c r="I104" s="402">
        <f>IF($D104="Sim",'09 -Combustíveis, óleos, graxa '!F126*9.25%,0)</f>
        <v>0</v>
      </c>
      <c r="J104" s="402">
        <f>IF($D104="Sim",'09 -Combustíveis, óleos, graxa '!G126*9.25%,0)</f>
        <v>0</v>
      </c>
      <c r="K104" s="402">
        <f>IF($D104="Sim",'09 -Combustíveis, óleos, graxa '!H126*9.25%,0)</f>
        <v>0</v>
      </c>
      <c r="L104" s="402">
        <f>IF($D104="Sim",'09 -Combustíveis, óleos, graxa '!I126*9.25%,0)</f>
        <v>0</v>
      </c>
      <c r="M104" s="402">
        <f>IF($D104="Sim",'09 -Combustíveis, óleos, graxa '!J126*9.25%,0)</f>
        <v>0</v>
      </c>
      <c r="N104" s="402">
        <f>IF($D104="Sim",'09 -Combustíveis, óleos, graxa '!K126*9.25%,0)</f>
        <v>0</v>
      </c>
      <c r="O104" s="402">
        <f>IF($D104="Sim",'09 -Combustíveis, óleos, graxa '!L126*9.25%,0)</f>
        <v>0</v>
      </c>
      <c r="P104" s="402">
        <f>IF($D104="Sim",'09 -Combustíveis, óleos, graxa '!M126*9.25%,0)</f>
        <v>0</v>
      </c>
      <c r="Q104" s="402">
        <f>IF($D104="Sim",'09 -Combustíveis, óleos, graxa '!N126*9.25%,0)</f>
        <v>0</v>
      </c>
      <c r="R104" s="402">
        <f>IF($D104="Sim",'09 -Combustíveis, óleos, graxa '!O126*9.25%,0)</f>
        <v>0</v>
      </c>
      <c r="S104" s="402">
        <f>IF($D104="Sim",'09 -Combustíveis, óleos, graxa '!P126*9.25%,0)</f>
        <v>0</v>
      </c>
      <c r="T104" s="402">
        <f>IF($D104="Sim",'09 -Combustíveis, óleos, graxa '!Q126*9.25%,0)</f>
        <v>0</v>
      </c>
      <c r="U104" s="402">
        <f>IF($D104="Sim",'09 -Combustíveis, óleos, graxa '!R126*9.25%,0)</f>
        <v>0</v>
      </c>
      <c r="V104" s="402">
        <f>IF($D104="Sim",'09 -Combustíveis, óleos, graxa '!S126*9.25%,0)</f>
        <v>0</v>
      </c>
      <c r="W104" s="402">
        <f>IF($D104="Sim",'09 -Combustíveis, óleos, graxa '!T126*9.25%,0)</f>
        <v>0</v>
      </c>
      <c r="X104" s="402">
        <f>IF($D104="Sim",'09 -Combustíveis, óleos, graxa '!U126*9.25%,0)</f>
        <v>0</v>
      </c>
      <c r="Y104" s="402">
        <f>IF($D104="Sim",'09 -Combustíveis, óleos, graxa '!V126*9.25%,0)</f>
        <v>0</v>
      </c>
      <c r="Z104" s="402">
        <f>IF($D104="Sim",'09 -Combustíveis, óleos, graxa '!W126*9.25%,0)</f>
        <v>0</v>
      </c>
      <c r="AA104" s="402">
        <f>IF($D104="Sim",'09 -Combustíveis, óleos, graxa '!X126*9.25%,0)</f>
        <v>0</v>
      </c>
      <c r="AB104" s="402">
        <f>IF($D104="Sim",'09 -Combustíveis, óleos, graxa '!Y126*9.25%,0)</f>
        <v>0</v>
      </c>
      <c r="AC104" s="402">
        <f>IF($D104="Sim",'09 -Combustíveis, óleos, graxa '!Z126*9.25%,0)</f>
        <v>0</v>
      </c>
      <c r="AD104" s="402">
        <f>IF($D104="Sim",'09 -Combustíveis, óleos, graxa '!AA126*9.25%,0)</f>
        <v>0</v>
      </c>
      <c r="AE104" s="402">
        <f>IF($D104="Sim",'09 -Combustíveis, óleos, graxa '!AB126*9.25%,0)</f>
        <v>0</v>
      </c>
      <c r="AF104" s="402">
        <f>IF($D104="Sim",'09 -Combustíveis, óleos, graxa '!AC126*9.25%,0)</f>
        <v>0</v>
      </c>
      <c r="AG104" s="402">
        <f>IF($D104="Sim",'09 -Combustíveis, óleos, graxa '!AD126*9.25%,0)</f>
        <v>0</v>
      </c>
      <c r="AH104" s="402">
        <f>IF($D104="Sim",'09 -Combustíveis, óleos, graxa '!AE126*9.25%,0)</f>
        <v>0</v>
      </c>
      <c r="AI104" s="402">
        <f>IF($D104="Sim",'09 -Combustíveis, óleos, graxa '!AF126*9.25%,0)</f>
        <v>0</v>
      </c>
      <c r="AJ104" s="402">
        <f>IF($D104="Sim",'09 -Combustíveis, óleos, graxa '!AG126*9.25%,0)</f>
        <v>0</v>
      </c>
      <c r="AK104" s="402">
        <f>IF($D104="Sim",'09 -Combustíveis, óleos, graxa '!AH126*9.25%,0)</f>
        <v>0</v>
      </c>
      <c r="AL104" s="402">
        <f>IF($D104="Sim",'09 -Combustíveis, óleos, graxa '!AI126*9.25%,0)</f>
        <v>0</v>
      </c>
      <c r="AM104" s="402">
        <f>IF($D104="Sim",'09 -Combustíveis, óleos, graxa '!AJ126*9.25%,0)</f>
        <v>0</v>
      </c>
      <c r="AN104" s="402">
        <f>IF($D104="Sim",'09 -Combustíveis, óleos, graxa '!AK126*9.25%,0)</f>
        <v>0</v>
      </c>
    </row>
    <row r="105" spans="2:40" s="8" customFormat="1" ht="13.15" customHeight="1" x14ac:dyDescent="0.2">
      <c r="B105" s="323" t="s">
        <v>1361</v>
      </c>
      <c r="C105" s="418"/>
      <c r="D105" s="391"/>
      <c r="E105" s="392">
        <f t="shared" ref="E105:AN105" si="16">SUM(E106:E126)</f>
        <v>1966498.2634878</v>
      </c>
      <c r="F105" s="392">
        <f t="shared" si="16"/>
        <v>51539.7145277944</v>
      </c>
      <c r="G105" s="392">
        <f t="shared" si="16"/>
        <v>51539.7145277944</v>
      </c>
      <c r="H105" s="392">
        <f t="shared" si="16"/>
        <v>51539.7145277944</v>
      </c>
      <c r="I105" s="392">
        <f t="shared" si="16"/>
        <v>51539.7145277944</v>
      </c>
      <c r="J105" s="392">
        <f t="shared" si="16"/>
        <v>51539.7145277944</v>
      </c>
      <c r="K105" s="392">
        <f t="shared" si="16"/>
        <v>54799.031430000301</v>
      </c>
      <c r="L105" s="392">
        <f t="shared" si="16"/>
        <v>54799.031430000301</v>
      </c>
      <c r="M105" s="392">
        <f t="shared" si="16"/>
        <v>57114.343856743842</v>
      </c>
      <c r="N105" s="392">
        <f t="shared" si="16"/>
        <v>57114.343856743842</v>
      </c>
      <c r="O105" s="392">
        <f t="shared" si="16"/>
        <v>57114.343856743842</v>
      </c>
      <c r="P105" s="392">
        <f t="shared" si="16"/>
        <v>57114.343856743842</v>
      </c>
      <c r="Q105" s="392">
        <f t="shared" si="16"/>
        <v>57114.343856743842</v>
      </c>
      <c r="R105" s="392">
        <f t="shared" si="16"/>
        <v>57114.343856743842</v>
      </c>
      <c r="S105" s="392">
        <f t="shared" si="16"/>
        <v>57114.343856743842</v>
      </c>
      <c r="T105" s="392">
        <f t="shared" si="16"/>
        <v>57114.343856743842</v>
      </c>
      <c r="U105" s="392">
        <f t="shared" si="16"/>
        <v>57114.343856743842</v>
      </c>
      <c r="V105" s="392">
        <f t="shared" si="16"/>
        <v>57114.343856743842</v>
      </c>
      <c r="W105" s="392">
        <f t="shared" si="16"/>
        <v>57114.343856743842</v>
      </c>
      <c r="X105" s="392">
        <f t="shared" si="16"/>
        <v>57114.343856743842</v>
      </c>
      <c r="Y105" s="392">
        <f t="shared" si="16"/>
        <v>57114.343856743842</v>
      </c>
      <c r="Z105" s="392">
        <f t="shared" si="16"/>
        <v>57114.343856743842</v>
      </c>
      <c r="AA105" s="392">
        <f t="shared" si="16"/>
        <v>57114.343856743842</v>
      </c>
      <c r="AB105" s="392">
        <f t="shared" si="16"/>
        <v>57114.343856743842</v>
      </c>
      <c r="AC105" s="392">
        <f t="shared" si="16"/>
        <v>57114.343856743842</v>
      </c>
      <c r="AD105" s="392">
        <f t="shared" si="16"/>
        <v>57114.343856743842</v>
      </c>
      <c r="AE105" s="392">
        <f t="shared" si="16"/>
        <v>57114.343856743842</v>
      </c>
      <c r="AF105" s="392">
        <f t="shared" si="16"/>
        <v>57114.343856743842</v>
      </c>
      <c r="AG105" s="392">
        <f t="shared" si="16"/>
        <v>57114.343856743842</v>
      </c>
      <c r="AH105" s="392">
        <f t="shared" si="16"/>
        <v>57114.343856743842</v>
      </c>
      <c r="AI105" s="392">
        <f t="shared" si="16"/>
        <v>57114.343856743842</v>
      </c>
      <c r="AJ105" s="392">
        <f t="shared" si="16"/>
        <v>57114.343856743842</v>
      </c>
      <c r="AK105" s="392">
        <f t="shared" si="16"/>
        <v>57114.343856743842</v>
      </c>
      <c r="AL105" s="392">
        <f t="shared" si="16"/>
        <v>57114.343856743842</v>
      </c>
      <c r="AM105" s="392">
        <f t="shared" si="16"/>
        <v>57114.343856743842</v>
      </c>
      <c r="AN105" s="392">
        <f t="shared" si="16"/>
        <v>57114.343856743842</v>
      </c>
    </row>
    <row r="106" spans="2:40" ht="13.15" customHeight="1" outlineLevel="1" x14ac:dyDescent="0.2">
      <c r="B106" s="404" t="s">
        <v>864</v>
      </c>
      <c r="C106" s="413"/>
      <c r="D106" s="299" t="s">
        <v>1333</v>
      </c>
      <c r="E106" s="407">
        <f t="shared" si="14"/>
        <v>225807.46119144495</v>
      </c>
      <c r="F106" s="402">
        <f>IF($D106="Sim",'10 - Rodagem'!C10*9.25%,0)</f>
        <v>6451.641748326997</v>
      </c>
      <c r="G106" s="402">
        <f>IF($D106="Sim",'10 - Rodagem'!D10*9.25%,0)</f>
        <v>6451.641748326997</v>
      </c>
      <c r="H106" s="402">
        <f>IF($D106="Sim",'10 - Rodagem'!E10*9.25%,0)</f>
        <v>6451.641748326997</v>
      </c>
      <c r="I106" s="402">
        <f>IF($D106="Sim",'10 - Rodagem'!F10*9.25%,0)</f>
        <v>6451.641748326997</v>
      </c>
      <c r="J106" s="402">
        <f>IF($D106="Sim",'10 - Rodagem'!G10*9.25%,0)</f>
        <v>6451.641748326997</v>
      </c>
      <c r="K106" s="402">
        <f>IF($D106="Sim",'10 - Rodagem'!H10*9.25%,0)</f>
        <v>6451.641748326997</v>
      </c>
      <c r="L106" s="402">
        <f>IF($D106="Sim",'10 - Rodagem'!I10*9.25%,0)</f>
        <v>6451.641748326997</v>
      </c>
      <c r="M106" s="402">
        <f>IF($D106="Sim",'10 - Rodagem'!J10*9.25%,0)</f>
        <v>6451.641748326997</v>
      </c>
      <c r="N106" s="402">
        <f>IF($D106="Sim",'10 - Rodagem'!K10*9.25%,0)</f>
        <v>6451.641748326997</v>
      </c>
      <c r="O106" s="402">
        <f>IF($D106="Sim",'10 - Rodagem'!L10*9.25%,0)</f>
        <v>6451.641748326997</v>
      </c>
      <c r="P106" s="402">
        <f>IF($D106="Sim",'10 - Rodagem'!M10*9.25%,0)</f>
        <v>6451.641748326997</v>
      </c>
      <c r="Q106" s="402">
        <f>IF($D106="Sim",'10 - Rodagem'!N10*9.25%,0)</f>
        <v>6451.641748326997</v>
      </c>
      <c r="R106" s="402">
        <f>IF($D106="Sim",'10 - Rodagem'!O10*9.25%,0)</f>
        <v>6451.641748326997</v>
      </c>
      <c r="S106" s="402">
        <f>IF($D106="Sim",'10 - Rodagem'!P10*9.25%,0)</f>
        <v>6451.641748326997</v>
      </c>
      <c r="T106" s="402">
        <f>IF($D106="Sim",'10 - Rodagem'!Q10*9.25%,0)</f>
        <v>6451.641748326997</v>
      </c>
      <c r="U106" s="402">
        <f>IF($D106="Sim",'10 - Rodagem'!R10*9.25%,0)</f>
        <v>6451.641748326997</v>
      </c>
      <c r="V106" s="402">
        <f>IF($D106="Sim",'10 - Rodagem'!S10*9.25%,0)</f>
        <v>6451.641748326997</v>
      </c>
      <c r="W106" s="402">
        <f>IF($D106="Sim",'10 - Rodagem'!T10*9.25%,0)</f>
        <v>6451.641748326997</v>
      </c>
      <c r="X106" s="402">
        <f>IF($D106="Sim",'10 - Rodagem'!U10*9.25%,0)</f>
        <v>6451.641748326997</v>
      </c>
      <c r="Y106" s="402">
        <f>IF($D106="Sim",'10 - Rodagem'!V10*9.25%,0)</f>
        <v>6451.641748326997</v>
      </c>
      <c r="Z106" s="402">
        <f>IF($D106="Sim",'10 - Rodagem'!W10*9.25%,0)</f>
        <v>6451.641748326997</v>
      </c>
      <c r="AA106" s="402">
        <f>IF($D106="Sim",'10 - Rodagem'!X10*9.25%,0)</f>
        <v>6451.641748326997</v>
      </c>
      <c r="AB106" s="402">
        <f>IF($D106="Sim",'10 - Rodagem'!Y10*9.25%,0)</f>
        <v>6451.641748326997</v>
      </c>
      <c r="AC106" s="402">
        <f>IF($D106="Sim",'10 - Rodagem'!Z10*9.25%,0)</f>
        <v>6451.641748326997</v>
      </c>
      <c r="AD106" s="402">
        <f>IF($D106="Sim",'10 - Rodagem'!AA10*9.25%,0)</f>
        <v>6451.641748326997</v>
      </c>
      <c r="AE106" s="402">
        <f>IF($D106="Sim",'10 - Rodagem'!AB10*9.25%,0)</f>
        <v>6451.641748326997</v>
      </c>
      <c r="AF106" s="402">
        <f>IF($D106="Sim",'10 - Rodagem'!AC10*9.25%,0)</f>
        <v>6451.641748326997</v>
      </c>
      <c r="AG106" s="402">
        <f>IF($D106="Sim",'10 - Rodagem'!AD10*9.25%,0)</f>
        <v>6451.641748326997</v>
      </c>
      <c r="AH106" s="402">
        <f>IF($D106="Sim",'10 - Rodagem'!AE10*9.25%,0)</f>
        <v>6451.641748326997</v>
      </c>
      <c r="AI106" s="402">
        <f>IF($D106="Sim",'10 - Rodagem'!AF10*9.25%,0)</f>
        <v>6451.641748326997</v>
      </c>
      <c r="AJ106" s="402">
        <f>IF($D106="Sim",'10 - Rodagem'!AG10*9.25%,0)</f>
        <v>6451.641748326997</v>
      </c>
      <c r="AK106" s="402">
        <f>IF($D106="Sim",'10 - Rodagem'!AH10*9.25%,0)</f>
        <v>6451.641748326997</v>
      </c>
      <c r="AL106" s="402">
        <f>IF($D106="Sim",'10 - Rodagem'!AI10*9.25%,0)</f>
        <v>6451.641748326997</v>
      </c>
      <c r="AM106" s="402">
        <f>IF($D106="Sim",'10 - Rodagem'!AJ10*9.25%,0)</f>
        <v>6451.641748326997</v>
      </c>
      <c r="AN106" s="402">
        <f>IF($D106="Sim",'10 - Rodagem'!AK10*9.25%,0)</f>
        <v>6451.641748326997</v>
      </c>
    </row>
    <row r="107" spans="2:40" ht="13.15" customHeight="1" outlineLevel="1" x14ac:dyDescent="0.2">
      <c r="B107" s="404" t="s">
        <v>986</v>
      </c>
      <c r="C107" s="413"/>
      <c r="D107" s="299" t="s">
        <v>1333</v>
      </c>
      <c r="E107" s="407">
        <f t="shared" si="14"/>
        <v>548389.54860779468</v>
      </c>
      <c r="F107" s="402">
        <f>IF($D107="Sim",'10 - Rodagem'!C14*9.25%,0)</f>
        <v>12903.283496653994</v>
      </c>
      <c r="G107" s="402">
        <f>IF($D107="Sim",'10 - Rodagem'!D14*9.25%,0)</f>
        <v>12903.283496653994</v>
      </c>
      <c r="H107" s="402">
        <f>IF($D107="Sim",'10 - Rodagem'!E14*9.25%,0)</f>
        <v>12903.283496653994</v>
      </c>
      <c r="I107" s="402">
        <f>IF($D107="Sim",'10 - Rodagem'!F14*9.25%,0)</f>
        <v>12903.283496653994</v>
      </c>
      <c r="J107" s="402">
        <f>IF($D107="Sim",'10 - Rodagem'!G14*9.25%,0)</f>
        <v>12903.283496653994</v>
      </c>
      <c r="K107" s="402">
        <f>IF($D107="Sim",'10 - Rodagem'!H14*9.25%,0)</f>
        <v>16129.104370817493</v>
      </c>
      <c r="L107" s="402">
        <f>IF($D107="Sim",'10 - Rodagem'!I14*9.25%,0)</f>
        <v>16129.104370817493</v>
      </c>
      <c r="M107" s="402">
        <f>IF($D107="Sim",'10 - Rodagem'!J14*9.25%,0)</f>
        <v>16129.104370817493</v>
      </c>
      <c r="N107" s="402">
        <f>IF($D107="Sim",'10 - Rodagem'!K14*9.25%,0)</f>
        <v>16129.104370817493</v>
      </c>
      <c r="O107" s="402">
        <f>IF($D107="Sim",'10 - Rodagem'!L14*9.25%,0)</f>
        <v>16129.104370817493</v>
      </c>
      <c r="P107" s="402">
        <f>IF($D107="Sim",'10 - Rodagem'!M14*9.25%,0)</f>
        <v>16129.104370817493</v>
      </c>
      <c r="Q107" s="402">
        <f>IF($D107="Sim",'10 - Rodagem'!N14*9.25%,0)</f>
        <v>16129.104370817493</v>
      </c>
      <c r="R107" s="402">
        <f>IF($D107="Sim",'10 - Rodagem'!O14*9.25%,0)</f>
        <v>16129.104370817493</v>
      </c>
      <c r="S107" s="402">
        <f>IF($D107="Sim",'10 - Rodagem'!P14*9.25%,0)</f>
        <v>16129.104370817493</v>
      </c>
      <c r="T107" s="402">
        <f>IF($D107="Sim",'10 - Rodagem'!Q14*9.25%,0)</f>
        <v>16129.104370817493</v>
      </c>
      <c r="U107" s="402">
        <f>IF($D107="Sim",'10 - Rodagem'!R14*9.25%,0)</f>
        <v>16129.104370817493</v>
      </c>
      <c r="V107" s="402">
        <f>IF($D107="Sim",'10 - Rodagem'!S14*9.25%,0)</f>
        <v>16129.104370817493</v>
      </c>
      <c r="W107" s="402">
        <f>IF($D107="Sim",'10 - Rodagem'!T14*9.25%,0)</f>
        <v>16129.104370817493</v>
      </c>
      <c r="X107" s="402">
        <f>IF($D107="Sim",'10 - Rodagem'!U14*9.25%,0)</f>
        <v>16129.104370817493</v>
      </c>
      <c r="Y107" s="402">
        <f>IF($D107="Sim",'10 - Rodagem'!V14*9.25%,0)</f>
        <v>16129.104370817493</v>
      </c>
      <c r="Z107" s="402">
        <f>IF($D107="Sim",'10 - Rodagem'!W14*9.25%,0)</f>
        <v>16129.104370817493</v>
      </c>
      <c r="AA107" s="402">
        <f>IF($D107="Sim",'10 - Rodagem'!X14*9.25%,0)</f>
        <v>16129.104370817493</v>
      </c>
      <c r="AB107" s="402">
        <f>IF($D107="Sim",'10 - Rodagem'!Y14*9.25%,0)</f>
        <v>16129.104370817493</v>
      </c>
      <c r="AC107" s="402">
        <f>IF($D107="Sim",'10 - Rodagem'!Z14*9.25%,0)</f>
        <v>16129.104370817493</v>
      </c>
      <c r="AD107" s="402">
        <f>IF($D107="Sim",'10 - Rodagem'!AA14*9.25%,0)</f>
        <v>16129.104370817493</v>
      </c>
      <c r="AE107" s="402">
        <f>IF($D107="Sim",'10 - Rodagem'!AB14*9.25%,0)</f>
        <v>16129.104370817493</v>
      </c>
      <c r="AF107" s="402">
        <f>IF($D107="Sim",'10 - Rodagem'!AC14*9.25%,0)</f>
        <v>16129.104370817493</v>
      </c>
      <c r="AG107" s="402">
        <f>IF($D107="Sim",'10 - Rodagem'!AD14*9.25%,0)</f>
        <v>16129.104370817493</v>
      </c>
      <c r="AH107" s="402">
        <f>IF($D107="Sim",'10 - Rodagem'!AE14*9.25%,0)</f>
        <v>16129.104370817493</v>
      </c>
      <c r="AI107" s="402">
        <f>IF($D107="Sim",'10 - Rodagem'!AF14*9.25%,0)</f>
        <v>16129.104370817493</v>
      </c>
      <c r="AJ107" s="402">
        <f>IF($D107="Sim",'10 - Rodagem'!AG14*9.25%,0)</f>
        <v>16129.104370817493</v>
      </c>
      <c r="AK107" s="402">
        <f>IF($D107="Sim",'10 - Rodagem'!AH14*9.25%,0)</f>
        <v>16129.104370817493</v>
      </c>
      <c r="AL107" s="402">
        <f>IF($D107="Sim",'10 - Rodagem'!AI14*9.25%,0)</f>
        <v>16129.104370817493</v>
      </c>
      <c r="AM107" s="402">
        <f>IF($D107="Sim",'10 - Rodagem'!AJ14*9.25%,0)</f>
        <v>16129.104370817493</v>
      </c>
      <c r="AN107" s="402">
        <f>IF($D107="Sim",'10 - Rodagem'!AK14*9.25%,0)</f>
        <v>16129.104370817493</v>
      </c>
    </row>
    <row r="108" spans="2:40" ht="13.15" customHeight="1" outlineLevel="1" x14ac:dyDescent="0.2">
      <c r="B108" s="404" t="s">
        <v>1362</v>
      </c>
      <c r="C108" s="413"/>
      <c r="D108" s="299" t="s">
        <v>1333</v>
      </c>
      <c r="E108" s="407">
        <f t="shared" si="14"/>
        <v>18994.807093071195</v>
      </c>
      <c r="F108" s="402">
        <f>IF($D108="Sim",'10 - Rodagem'!C18*9.25%,0)</f>
        <v>542.70877408774845</v>
      </c>
      <c r="G108" s="402">
        <f>IF($D108="Sim",'10 - Rodagem'!D18*9.25%,0)</f>
        <v>542.70877408774845</v>
      </c>
      <c r="H108" s="402">
        <f>IF($D108="Sim",'10 - Rodagem'!E18*9.25%,0)</f>
        <v>542.70877408774845</v>
      </c>
      <c r="I108" s="402">
        <f>IF($D108="Sim",'10 - Rodagem'!F18*9.25%,0)</f>
        <v>542.70877408774845</v>
      </c>
      <c r="J108" s="402">
        <f>IF($D108="Sim",'10 - Rodagem'!G18*9.25%,0)</f>
        <v>542.70877408774845</v>
      </c>
      <c r="K108" s="402">
        <f>IF($D108="Sim",'10 - Rodagem'!H18*9.25%,0)</f>
        <v>542.70877408774845</v>
      </c>
      <c r="L108" s="402">
        <f>IF($D108="Sim",'10 - Rodagem'!I18*9.25%,0)</f>
        <v>542.70877408774845</v>
      </c>
      <c r="M108" s="402">
        <f>IF($D108="Sim",'10 - Rodagem'!J18*9.25%,0)</f>
        <v>542.70877408774845</v>
      </c>
      <c r="N108" s="402">
        <f>IF($D108="Sim",'10 - Rodagem'!K18*9.25%,0)</f>
        <v>542.70877408774845</v>
      </c>
      <c r="O108" s="402">
        <f>IF($D108="Sim",'10 - Rodagem'!L18*9.25%,0)</f>
        <v>542.70877408774845</v>
      </c>
      <c r="P108" s="402">
        <f>IF($D108="Sim",'10 - Rodagem'!M18*9.25%,0)</f>
        <v>542.70877408774845</v>
      </c>
      <c r="Q108" s="402">
        <f>IF($D108="Sim",'10 - Rodagem'!N18*9.25%,0)</f>
        <v>542.70877408774845</v>
      </c>
      <c r="R108" s="402">
        <f>IF($D108="Sim",'10 - Rodagem'!O18*9.25%,0)</f>
        <v>542.70877408774845</v>
      </c>
      <c r="S108" s="402">
        <f>IF($D108="Sim",'10 - Rodagem'!P18*9.25%,0)</f>
        <v>542.70877408774845</v>
      </c>
      <c r="T108" s="402">
        <f>IF($D108="Sim",'10 - Rodagem'!Q18*9.25%,0)</f>
        <v>542.70877408774845</v>
      </c>
      <c r="U108" s="402">
        <f>IF($D108="Sim",'10 - Rodagem'!R18*9.25%,0)</f>
        <v>542.70877408774845</v>
      </c>
      <c r="V108" s="402">
        <f>IF($D108="Sim",'10 - Rodagem'!S18*9.25%,0)</f>
        <v>542.70877408774845</v>
      </c>
      <c r="W108" s="402">
        <f>IF($D108="Sim",'10 - Rodagem'!T18*9.25%,0)</f>
        <v>542.70877408774845</v>
      </c>
      <c r="X108" s="402">
        <f>IF($D108="Sim",'10 - Rodagem'!U18*9.25%,0)</f>
        <v>542.70877408774845</v>
      </c>
      <c r="Y108" s="402">
        <f>IF($D108="Sim",'10 - Rodagem'!V18*9.25%,0)</f>
        <v>542.70877408774845</v>
      </c>
      <c r="Z108" s="402">
        <f>IF($D108="Sim",'10 - Rodagem'!W18*9.25%,0)</f>
        <v>542.70877408774845</v>
      </c>
      <c r="AA108" s="402">
        <f>IF($D108="Sim",'10 - Rodagem'!X18*9.25%,0)</f>
        <v>542.70877408774845</v>
      </c>
      <c r="AB108" s="402">
        <f>IF($D108="Sim",'10 - Rodagem'!Y18*9.25%,0)</f>
        <v>542.70877408774845</v>
      </c>
      <c r="AC108" s="402">
        <f>IF($D108="Sim",'10 - Rodagem'!Z18*9.25%,0)</f>
        <v>542.70877408774845</v>
      </c>
      <c r="AD108" s="402">
        <f>IF($D108="Sim",'10 - Rodagem'!AA18*9.25%,0)</f>
        <v>542.70877408774845</v>
      </c>
      <c r="AE108" s="402">
        <f>IF($D108="Sim",'10 - Rodagem'!AB18*9.25%,0)</f>
        <v>542.70877408774845</v>
      </c>
      <c r="AF108" s="402">
        <f>IF($D108="Sim",'10 - Rodagem'!AC18*9.25%,0)</f>
        <v>542.70877408774845</v>
      </c>
      <c r="AG108" s="402">
        <f>IF($D108="Sim",'10 - Rodagem'!AD18*9.25%,0)</f>
        <v>542.70877408774845</v>
      </c>
      <c r="AH108" s="402">
        <f>IF($D108="Sim",'10 - Rodagem'!AE18*9.25%,0)</f>
        <v>542.70877408774845</v>
      </c>
      <c r="AI108" s="402">
        <f>IF($D108="Sim",'10 - Rodagem'!AF18*9.25%,0)</f>
        <v>542.70877408774845</v>
      </c>
      <c r="AJ108" s="402">
        <f>IF($D108="Sim",'10 - Rodagem'!AG18*9.25%,0)</f>
        <v>542.70877408774845</v>
      </c>
      <c r="AK108" s="402">
        <f>IF($D108="Sim",'10 - Rodagem'!AH18*9.25%,0)</f>
        <v>542.70877408774845</v>
      </c>
      <c r="AL108" s="402">
        <f>IF($D108="Sim",'10 - Rodagem'!AI18*9.25%,0)</f>
        <v>542.70877408774845</v>
      </c>
      <c r="AM108" s="402">
        <f>IF($D108="Sim",'10 - Rodagem'!AJ18*9.25%,0)</f>
        <v>542.70877408774845</v>
      </c>
      <c r="AN108" s="402">
        <f>IF($D108="Sim",'10 - Rodagem'!AK18*9.25%,0)</f>
        <v>542.70877408774845</v>
      </c>
    </row>
    <row r="109" spans="2:40" ht="13.15" customHeight="1" outlineLevel="1" x14ac:dyDescent="0.2">
      <c r="B109" s="404" t="s">
        <v>869</v>
      </c>
      <c r="C109" s="413"/>
      <c r="D109" s="299" t="s">
        <v>1333</v>
      </c>
      <c r="E109" s="407">
        <f t="shared" si="14"/>
        <v>0</v>
      </c>
      <c r="F109" s="402">
        <f>IF($D109="Sim",'10 - Rodagem'!C22*9.25%,0)</f>
        <v>0</v>
      </c>
      <c r="G109" s="402">
        <f>IF($D109="Sim",'10 - Rodagem'!D22*9.25%,0)</f>
        <v>0</v>
      </c>
      <c r="H109" s="402">
        <f>IF($D109="Sim",'10 - Rodagem'!E22*9.25%,0)</f>
        <v>0</v>
      </c>
      <c r="I109" s="402">
        <f>IF($D109="Sim",'10 - Rodagem'!F22*9.25%,0)</f>
        <v>0</v>
      </c>
      <c r="J109" s="402">
        <f>IF($D109="Sim",'10 - Rodagem'!G22*9.25%,0)</f>
        <v>0</v>
      </c>
      <c r="K109" s="402">
        <f>IF($D109="Sim",'10 - Rodagem'!H22*9.25%,0)</f>
        <v>0</v>
      </c>
      <c r="L109" s="402">
        <f>IF($D109="Sim",'10 - Rodagem'!I22*9.25%,0)</f>
        <v>0</v>
      </c>
      <c r="M109" s="402">
        <f>IF($D109="Sim",'10 - Rodagem'!J22*9.25%,0)</f>
        <v>0</v>
      </c>
      <c r="N109" s="402">
        <f>IF($D109="Sim",'10 - Rodagem'!K22*9.25%,0)</f>
        <v>0</v>
      </c>
      <c r="O109" s="402">
        <f>IF($D109="Sim",'10 - Rodagem'!L22*9.25%,0)</f>
        <v>0</v>
      </c>
      <c r="P109" s="402">
        <f>IF($D109="Sim",'10 - Rodagem'!M22*9.25%,0)</f>
        <v>0</v>
      </c>
      <c r="Q109" s="402">
        <f>IF($D109="Sim",'10 - Rodagem'!N22*9.25%,0)</f>
        <v>0</v>
      </c>
      <c r="R109" s="402">
        <f>IF($D109="Sim",'10 - Rodagem'!O22*9.25%,0)</f>
        <v>0</v>
      </c>
      <c r="S109" s="402">
        <f>IF($D109="Sim",'10 - Rodagem'!P22*9.25%,0)</f>
        <v>0</v>
      </c>
      <c r="T109" s="402">
        <f>IF($D109="Sim",'10 - Rodagem'!Q22*9.25%,0)</f>
        <v>0</v>
      </c>
      <c r="U109" s="402">
        <f>IF($D109="Sim",'10 - Rodagem'!R22*9.25%,0)</f>
        <v>0</v>
      </c>
      <c r="V109" s="402">
        <f>IF($D109="Sim",'10 - Rodagem'!S22*9.25%,0)</f>
        <v>0</v>
      </c>
      <c r="W109" s="402">
        <f>IF($D109="Sim",'10 - Rodagem'!T22*9.25%,0)</f>
        <v>0</v>
      </c>
      <c r="X109" s="402">
        <f>IF($D109="Sim",'10 - Rodagem'!U22*9.25%,0)</f>
        <v>0</v>
      </c>
      <c r="Y109" s="402">
        <f>IF($D109="Sim",'10 - Rodagem'!V22*9.25%,0)</f>
        <v>0</v>
      </c>
      <c r="Z109" s="402">
        <f>IF($D109="Sim",'10 - Rodagem'!W22*9.25%,0)</f>
        <v>0</v>
      </c>
      <c r="AA109" s="402">
        <f>IF($D109="Sim",'10 - Rodagem'!X22*9.25%,0)</f>
        <v>0</v>
      </c>
      <c r="AB109" s="402">
        <f>IF($D109="Sim",'10 - Rodagem'!Y22*9.25%,0)</f>
        <v>0</v>
      </c>
      <c r="AC109" s="402">
        <f>IF($D109="Sim",'10 - Rodagem'!Z22*9.25%,0)</f>
        <v>0</v>
      </c>
      <c r="AD109" s="402">
        <f>IF($D109="Sim",'10 - Rodagem'!AA22*9.25%,0)</f>
        <v>0</v>
      </c>
      <c r="AE109" s="402">
        <f>IF($D109="Sim",'10 - Rodagem'!AB22*9.25%,0)</f>
        <v>0</v>
      </c>
      <c r="AF109" s="402">
        <f>IF($D109="Sim",'10 - Rodagem'!AC22*9.25%,0)</f>
        <v>0</v>
      </c>
      <c r="AG109" s="402">
        <f>IF($D109="Sim",'10 - Rodagem'!AD22*9.25%,0)</f>
        <v>0</v>
      </c>
      <c r="AH109" s="402">
        <f>IF($D109="Sim",'10 - Rodagem'!AE22*9.25%,0)</f>
        <v>0</v>
      </c>
      <c r="AI109" s="402">
        <f>IF($D109="Sim",'10 - Rodagem'!AF22*9.25%,0)</f>
        <v>0</v>
      </c>
      <c r="AJ109" s="402">
        <f>IF($D109="Sim",'10 - Rodagem'!AG22*9.25%,0)</f>
        <v>0</v>
      </c>
      <c r="AK109" s="402">
        <f>IF($D109="Sim",'10 - Rodagem'!AH22*9.25%,0)</f>
        <v>0</v>
      </c>
      <c r="AL109" s="402">
        <f>IF($D109="Sim",'10 - Rodagem'!AI22*9.25%,0)</f>
        <v>0</v>
      </c>
      <c r="AM109" s="402">
        <f>IF($D109="Sim",'10 - Rodagem'!AJ22*9.25%,0)</f>
        <v>0</v>
      </c>
      <c r="AN109" s="402">
        <f>IF($D109="Sim",'10 - Rodagem'!AK22*9.25%,0)</f>
        <v>0</v>
      </c>
    </row>
    <row r="110" spans="2:40" ht="13.15" customHeight="1" outlineLevel="1" x14ac:dyDescent="0.2">
      <c r="B110" s="404" t="s">
        <v>989</v>
      </c>
      <c r="C110" s="413"/>
      <c r="D110" s="299" t="s">
        <v>1333</v>
      </c>
      <c r="E110" s="407">
        <f t="shared" si="14"/>
        <v>632080.29250098614</v>
      </c>
      <c r="F110" s="402">
        <f>IF($D110="Sim",'10 - Rodagem'!C26*9.25%,0)</f>
        <v>16207.186987204777</v>
      </c>
      <c r="G110" s="402">
        <f>IF($D110="Sim",'10 - Rodagem'!D26*9.25%,0)</f>
        <v>16207.186987204777</v>
      </c>
      <c r="H110" s="402">
        <f>IF($D110="Sim",'10 - Rodagem'!E26*9.25%,0)</f>
        <v>16207.186987204777</v>
      </c>
      <c r="I110" s="402">
        <f>IF($D110="Sim",'10 - Rodagem'!F26*9.25%,0)</f>
        <v>16207.186987204777</v>
      </c>
      <c r="J110" s="402">
        <f>IF($D110="Sim",'10 - Rodagem'!G26*9.25%,0)</f>
        <v>16207.186987204777</v>
      </c>
      <c r="K110" s="402">
        <f>IF($D110="Sim",'10 - Rodagem'!H26*9.25%,0)</f>
        <v>16207.186987204777</v>
      </c>
      <c r="L110" s="402">
        <f>IF($D110="Sim",'10 - Rodagem'!I26*9.25%,0)</f>
        <v>16207.186987204777</v>
      </c>
      <c r="M110" s="402">
        <f>IF($D110="Sim",'10 - Rodagem'!J26*9.25%,0)</f>
        <v>18522.499413948313</v>
      </c>
      <c r="N110" s="402">
        <f>IF($D110="Sim",'10 - Rodagem'!K26*9.25%,0)</f>
        <v>18522.499413948313</v>
      </c>
      <c r="O110" s="402">
        <f>IF($D110="Sim",'10 - Rodagem'!L26*9.25%,0)</f>
        <v>18522.499413948313</v>
      </c>
      <c r="P110" s="402">
        <f>IF($D110="Sim",'10 - Rodagem'!M26*9.25%,0)</f>
        <v>18522.499413948313</v>
      </c>
      <c r="Q110" s="402">
        <f>IF($D110="Sim",'10 - Rodagem'!N26*9.25%,0)</f>
        <v>18522.499413948313</v>
      </c>
      <c r="R110" s="402">
        <f>IF($D110="Sim",'10 - Rodagem'!O26*9.25%,0)</f>
        <v>18522.499413948313</v>
      </c>
      <c r="S110" s="402">
        <f>IF($D110="Sim",'10 - Rodagem'!P26*9.25%,0)</f>
        <v>18522.499413948313</v>
      </c>
      <c r="T110" s="402">
        <f>IF($D110="Sim",'10 - Rodagem'!Q26*9.25%,0)</f>
        <v>18522.499413948313</v>
      </c>
      <c r="U110" s="402">
        <f>IF($D110="Sim",'10 - Rodagem'!R26*9.25%,0)</f>
        <v>18522.499413948313</v>
      </c>
      <c r="V110" s="402">
        <f>IF($D110="Sim",'10 - Rodagem'!S26*9.25%,0)</f>
        <v>18522.499413948313</v>
      </c>
      <c r="W110" s="402">
        <f>IF($D110="Sim",'10 - Rodagem'!T26*9.25%,0)</f>
        <v>18522.499413948313</v>
      </c>
      <c r="X110" s="402">
        <f>IF($D110="Sim",'10 - Rodagem'!U26*9.25%,0)</f>
        <v>18522.499413948313</v>
      </c>
      <c r="Y110" s="402">
        <f>IF($D110="Sim",'10 - Rodagem'!V26*9.25%,0)</f>
        <v>18522.499413948313</v>
      </c>
      <c r="Z110" s="402">
        <f>IF($D110="Sim",'10 - Rodagem'!W26*9.25%,0)</f>
        <v>18522.499413948313</v>
      </c>
      <c r="AA110" s="402">
        <f>IF($D110="Sim",'10 - Rodagem'!X26*9.25%,0)</f>
        <v>18522.499413948313</v>
      </c>
      <c r="AB110" s="402">
        <f>IF($D110="Sim",'10 - Rodagem'!Y26*9.25%,0)</f>
        <v>18522.499413948313</v>
      </c>
      <c r="AC110" s="402">
        <f>IF($D110="Sim",'10 - Rodagem'!Z26*9.25%,0)</f>
        <v>18522.499413948313</v>
      </c>
      <c r="AD110" s="402">
        <f>IF($D110="Sim",'10 - Rodagem'!AA26*9.25%,0)</f>
        <v>18522.499413948313</v>
      </c>
      <c r="AE110" s="402">
        <f>IF($D110="Sim",'10 - Rodagem'!AB26*9.25%,0)</f>
        <v>18522.499413948313</v>
      </c>
      <c r="AF110" s="402">
        <f>IF($D110="Sim",'10 - Rodagem'!AC26*9.25%,0)</f>
        <v>18522.499413948313</v>
      </c>
      <c r="AG110" s="402">
        <f>IF($D110="Sim",'10 - Rodagem'!AD26*9.25%,0)</f>
        <v>18522.499413948313</v>
      </c>
      <c r="AH110" s="402">
        <f>IF($D110="Sim",'10 - Rodagem'!AE26*9.25%,0)</f>
        <v>18522.499413948313</v>
      </c>
      <c r="AI110" s="402">
        <f>IF($D110="Sim",'10 - Rodagem'!AF26*9.25%,0)</f>
        <v>18522.499413948313</v>
      </c>
      <c r="AJ110" s="402">
        <f>IF($D110="Sim",'10 - Rodagem'!AG26*9.25%,0)</f>
        <v>18522.499413948313</v>
      </c>
      <c r="AK110" s="402">
        <f>IF($D110="Sim",'10 - Rodagem'!AH26*9.25%,0)</f>
        <v>18522.499413948313</v>
      </c>
      <c r="AL110" s="402">
        <f>IF($D110="Sim",'10 - Rodagem'!AI26*9.25%,0)</f>
        <v>18522.499413948313</v>
      </c>
      <c r="AM110" s="402">
        <f>IF($D110="Sim",'10 - Rodagem'!AJ26*9.25%,0)</f>
        <v>18522.499413948313</v>
      </c>
      <c r="AN110" s="402">
        <f>IF($D110="Sim",'10 - Rodagem'!AK26*9.25%,0)</f>
        <v>18522.499413948313</v>
      </c>
    </row>
    <row r="111" spans="2:40" ht="13.15" customHeight="1" outlineLevel="1" x14ac:dyDescent="0.2">
      <c r="B111" s="404" t="s">
        <v>941</v>
      </c>
      <c r="C111" s="413"/>
      <c r="D111" s="299" t="s">
        <v>1333</v>
      </c>
      <c r="E111" s="407">
        <f t="shared" si="14"/>
        <v>7457.1280000000052</v>
      </c>
      <c r="F111" s="402">
        <f>IF($D111="Sim",'10 - Rodagem'!C30*9.25%,0)</f>
        <v>213.0608</v>
      </c>
      <c r="G111" s="402">
        <f>IF($D111="Sim",'10 - Rodagem'!D30*9.25%,0)</f>
        <v>213.0608</v>
      </c>
      <c r="H111" s="402">
        <f>IF($D111="Sim",'10 - Rodagem'!E30*9.25%,0)</f>
        <v>213.0608</v>
      </c>
      <c r="I111" s="402">
        <f>IF($D111="Sim",'10 - Rodagem'!F30*9.25%,0)</f>
        <v>213.0608</v>
      </c>
      <c r="J111" s="402">
        <f>IF($D111="Sim",'10 - Rodagem'!G30*9.25%,0)</f>
        <v>213.0608</v>
      </c>
      <c r="K111" s="402">
        <f>IF($D111="Sim",'10 - Rodagem'!H30*9.25%,0)</f>
        <v>213.0608</v>
      </c>
      <c r="L111" s="402">
        <f>IF($D111="Sim",'10 - Rodagem'!I30*9.25%,0)</f>
        <v>213.0608</v>
      </c>
      <c r="M111" s="402">
        <f>IF($D111="Sim",'10 - Rodagem'!J30*9.25%,0)</f>
        <v>213.0608</v>
      </c>
      <c r="N111" s="402">
        <f>IF($D111="Sim",'10 - Rodagem'!K30*9.25%,0)</f>
        <v>213.0608</v>
      </c>
      <c r="O111" s="402">
        <f>IF($D111="Sim",'10 - Rodagem'!L30*9.25%,0)</f>
        <v>213.0608</v>
      </c>
      <c r="P111" s="402">
        <f>IF($D111="Sim",'10 - Rodagem'!M30*9.25%,0)</f>
        <v>213.0608</v>
      </c>
      <c r="Q111" s="402">
        <f>IF($D111="Sim",'10 - Rodagem'!N30*9.25%,0)</f>
        <v>213.0608</v>
      </c>
      <c r="R111" s="402">
        <f>IF($D111="Sim",'10 - Rodagem'!O30*9.25%,0)</f>
        <v>213.0608</v>
      </c>
      <c r="S111" s="402">
        <f>IF($D111="Sim",'10 - Rodagem'!P30*9.25%,0)</f>
        <v>213.0608</v>
      </c>
      <c r="T111" s="402">
        <f>IF($D111="Sim",'10 - Rodagem'!Q30*9.25%,0)</f>
        <v>213.0608</v>
      </c>
      <c r="U111" s="402">
        <f>IF($D111="Sim",'10 - Rodagem'!R30*9.25%,0)</f>
        <v>213.0608</v>
      </c>
      <c r="V111" s="402">
        <f>IF($D111="Sim",'10 - Rodagem'!S30*9.25%,0)</f>
        <v>213.0608</v>
      </c>
      <c r="W111" s="402">
        <f>IF($D111="Sim",'10 - Rodagem'!T30*9.25%,0)</f>
        <v>213.0608</v>
      </c>
      <c r="X111" s="402">
        <f>IF($D111="Sim",'10 - Rodagem'!U30*9.25%,0)</f>
        <v>213.0608</v>
      </c>
      <c r="Y111" s="402">
        <f>IF($D111="Sim",'10 - Rodagem'!V30*9.25%,0)</f>
        <v>213.0608</v>
      </c>
      <c r="Z111" s="402">
        <f>IF($D111="Sim",'10 - Rodagem'!W30*9.25%,0)</f>
        <v>213.0608</v>
      </c>
      <c r="AA111" s="402">
        <f>IF($D111="Sim",'10 - Rodagem'!X30*9.25%,0)</f>
        <v>213.0608</v>
      </c>
      <c r="AB111" s="402">
        <f>IF($D111="Sim",'10 - Rodagem'!Y30*9.25%,0)</f>
        <v>213.0608</v>
      </c>
      <c r="AC111" s="402">
        <f>IF($D111="Sim",'10 - Rodagem'!Z30*9.25%,0)</f>
        <v>213.0608</v>
      </c>
      <c r="AD111" s="402">
        <f>IF($D111="Sim",'10 - Rodagem'!AA30*9.25%,0)</f>
        <v>213.0608</v>
      </c>
      <c r="AE111" s="402">
        <f>IF($D111="Sim",'10 - Rodagem'!AB30*9.25%,0)</f>
        <v>213.0608</v>
      </c>
      <c r="AF111" s="402">
        <f>IF($D111="Sim",'10 - Rodagem'!AC30*9.25%,0)</f>
        <v>213.0608</v>
      </c>
      <c r="AG111" s="402">
        <f>IF($D111="Sim",'10 - Rodagem'!AD30*9.25%,0)</f>
        <v>213.0608</v>
      </c>
      <c r="AH111" s="402">
        <f>IF($D111="Sim",'10 - Rodagem'!AE30*9.25%,0)</f>
        <v>213.0608</v>
      </c>
      <c r="AI111" s="402">
        <f>IF($D111="Sim",'10 - Rodagem'!AF30*9.25%,0)</f>
        <v>213.0608</v>
      </c>
      <c r="AJ111" s="402">
        <f>IF($D111="Sim",'10 - Rodagem'!AG30*9.25%,0)</f>
        <v>213.0608</v>
      </c>
      <c r="AK111" s="402">
        <f>IF($D111="Sim",'10 - Rodagem'!AH30*9.25%,0)</f>
        <v>213.0608</v>
      </c>
      <c r="AL111" s="402">
        <f>IF($D111="Sim",'10 - Rodagem'!AI30*9.25%,0)</f>
        <v>213.0608</v>
      </c>
      <c r="AM111" s="402">
        <f>IF($D111="Sim",'10 - Rodagem'!AJ30*9.25%,0)</f>
        <v>213.0608</v>
      </c>
      <c r="AN111" s="402">
        <f>IF($D111="Sim",'10 - Rodagem'!AK30*9.25%,0)</f>
        <v>213.0608</v>
      </c>
    </row>
    <row r="112" spans="2:40" ht="13.15" customHeight="1" outlineLevel="1" x14ac:dyDescent="0.2">
      <c r="B112" s="404" t="s">
        <v>942</v>
      </c>
      <c r="C112" s="413"/>
      <c r="D112" s="299" t="s">
        <v>1333</v>
      </c>
      <c r="E112" s="407">
        <f t="shared" si="14"/>
        <v>18642.819999999992</v>
      </c>
      <c r="F112" s="402">
        <f>IF($D112="Sim",'10 - Rodagem'!C34*9.25%,0)</f>
        <v>532.65199999999993</v>
      </c>
      <c r="G112" s="402">
        <f>IF($D112="Sim",'10 - Rodagem'!D34*9.25%,0)</f>
        <v>532.65199999999993</v>
      </c>
      <c r="H112" s="402">
        <f>IF($D112="Sim",'10 - Rodagem'!E34*9.25%,0)</f>
        <v>532.65199999999993</v>
      </c>
      <c r="I112" s="402">
        <f>IF($D112="Sim",'10 - Rodagem'!F34*9.25%,0)</f>
        <v>532.65199999999993</v>
      </c>
      <c r="J112" s="402">
        <f>IF($D112="Sim",'10 - Rodagem'!G34*9.25%,0)</f>
        <v>532.65199999999993</v>
      </c>
      <c r="K112" s="402">
        <f>IF($D112="Sim",'10 - Rodagem'!H34*9.25%,0)</f>
        <v>532.65199999999993</v>
      </c>
      <c r="L112" s="402">
        <f>IF($D112="Sim",'10 - Rodagem'!I34*9.25%,0)</f>
        <v>532.65199999999993</v>
      </c>
      <c r="M112" s="402">
        <f>IF($D112="Sim",'10 - Rodagem'!J34*9.25%,0)</f>
        <v>532.65199999999993</v>
      </c>
      <c r="N112" s="402">
        <f>IF($D112="Sim",'10 - Rodagem'!K34*9.25%,0)</f>
        <v>532.65199999999993</v>
      </c>
      <c r="O112" s="402">
        <f>IF($D112="Sim",'10 - Rodagem'!L34*9.25%,0)</f>
        <v>532.65199999999993</v>
      </c>
      <c r="P112" s="402">
        <f>IF($D112="Sim",'10 - Rodagem'!M34*9.25%,0)</f>
        <v>532.65199999999993</v>
      </c>
      <c r="Q112" s="402">
        <f>IF($D112="Sim",'10 - Rodagem'!N34*9.25%,0)</f>
        <v>532.65199999999993</v>
      </c>
      <c r="R112" s="402">
        <f>IF($D112="Sim",'10 - Rodagem'!O34*9.25%,0)</f>
        <v>532.65199999999993</v>
      </c>
      <c r="S112" s="402">
        <f>IF($D112="Sim",'10 - Rodagem'!P34*9.25%,0)</f>
        <v>532.65199999999993</v>
      </c>
      <c r="T112" s="402">
        <f>IF($D112="Sim",'10 - Rodagem'!Q34*9.25%,0)</f>
        <v>532.65199999999993</v>
      </c>
      <c r="U112" s="402">
        <f>IF($D112="Sim",'10 - Rodagem'!R34*9.25%,0)</f>
        <v>532.65199999999993</v>
      </c>
      <c r="V112" s="402">
        <f>IF($D112="Sim",'10 - Rodagem'!S34*9.25%,0)</f>
        <v>532.65199999999993</v>
      </c>
      <c r="W112" s="402">
        <f>IF($D112="Sim",'10 - Rodagem'!T34*9.25%,0)</f>
        <v>532.65199999999993</v>
      </c>
      <c r="X112" s="402">
        <f>IF($D112="Sim",'10 - Rodagem'!U34*9.25%,0)</f>
        <v>532.65199999999993</v>
      </c>
      <c r="Y112" s="402">
        <f>IF($D112="Sim",'10 - Rodagem'!V34*9.25%,0)</f>
        <v>532.65199999999993</v>
      </c>
      <c r="Z112" s="402">
        <f>IF($D112="Sim",'10 - Rodagem'!W34*9.25%,0)</f>
        <v>532.65199999999993</v>
      </c>
      <c r="AA112" s="402">
        <f>IF($D112="Sim",'10 - Rodagem'!X34*9.25%,0)</f>
        <v>532.65199999999993</v>
      </c>
      <c r="AB112" s="402">
        <f>IF($D112="Sim",'10 - Rodagem'!Y34*9.25%,0)</f>
        <v>532.65199999999993</v>
      </c>
      <c r="AC112" s="402">
        <f>IF($D112="Sim",'10 - Rodagem'!Z34*9.25%,0)</f>
        <v>532.65199999999993</v>
      </c>
      <c r="AD112" s="402">
        <f>IF($D112="Sim",'10 - Rodagem'!AA34*9.25%,0)</f>
        <v>532.65199999999993</v>
      </c>
      <c r="AE112" s="402">
        <f>IF($D112="Sim",'10 - Rodagem'!AB34*9.25%,0)</f>
        <v>532.65199999999993</v>
      </c>
      <c r="AF112" s="402">
        <f>IF($D112="Sim",'10 - Rodagem'!AC34*9.25%,0)</f>
        <v>532.65199999999993</v>
      </c>
      <c r="AG112" s="402">
        <f>IF($D112="Sim",'10 - Rodagem'!AD34*9.25%,0)</f>
        <v>532.65199999999993</v>
      </c>
      <c r="AH112" s="402">
        <f>IF($D112="Sim",'10 - Rodagem'!AE34*9.25%,0)</f>
        <v>532.65199999999993</v>
      </c>
      <c r="AI112" s="402">
        <f>IF($D112="Sim",'10 - Rodagem'!AF34*9.25%,0)</f>
        <v>532.65199999999993</v>
      </c>
      <c r="AJ112" s="402">
        <f>IF($D112="Sim",'10 - Rodagem'!AG34*9.25%,0)</f>
        <v>532.65199999999993</v>
      </c>
      <c r="AK112" s="402">
        <f>IF($D112="Sim",'10 - Rodagem'!AH34*9.25%,0)</f>
        <v>532.65199999999993</v>
      </c>
      <c r="AL112" s="402">
        <f>IF($D112="Sim",'10 - Rodagem'!AI34*9.25%,0)</f>
        <v>532.65199999999993</v>
      </c>
      <c r="AM112" s="402">
        <f>IF($D112="Sim",'10 - Rodagem'!AJ34*9.25%,0)</f>
        <v>532.65199999999993</v>
      </c>
      <c r="AN112" s="402">
        <f>IF($D112="Sim",'10 - Rodagem'!AK34*9.25%,0)</f>
        <v>532.65199999999993</v>
      </c>
    </row>
    <row r="113" spans="2:40" ht="13.15" customHeight="1" outlineLevel="1" x14ac:dyDescent="0.2">
      <c r="B113" s="404" t="s">
        <v>943</v>
      </c>
      <c r="C113" s="413"/>
      <c r="D113" s="299" t="s">
        <v>1333</v>
      </c>
      <c r="E113" s="407">
        <f t="shared" si="14"/>
        <v>3349.6028042400017</v>
      </c>
      <c r="F113" s="402">
        <f>IF($D113="Sim",'10 - Rodagem'!C38*9.25%,0)</f>
        <v>66.992056084800012</v>
      </c>
      <c r="G113" s="402">
        <f>IF($D113="Sim",'10 - Rodagem'!D38*9.25%,0)</f>
        <v>66.992056084800012</v>
      </c>
      <c r="H113" s="402">
        <f>IF($D113="Sim",'10 - Rodagem'!E38*9.25%,0)</f>
        <v>66.992056084800012</v>
      </c>
      <c r="I113" s="402">
        <f>IF($D113="Sim",'10 - Rodagem'!F38*9.25%,0)</f>
        <v>66.992056084800012</v>
      </c>
      <c r="J113" s="402">
        <f>IF($D113="Sim",'10 - Rodagem'!G38*9.25%,0)</f>
        <v>66.992056084800012</v>
      </c>
      <c r="K113" s="402">
        <f>IF($D113="Sim",'10 - Rodagem'!H38*9.25%,0)</f>
        <v>100.48808412720001</v>
      </c>
      <c r="L113" s="402">
        <f>IF($D113="Sim",'10 - Rodagem'!I38*9.25%,0)</f>
        <v>100.48808412720001</v>
      </c>
      <c r="M113" s="402">
        <f>IF($D113="Sim",'10 - Rodagem'!J38*9.25%,0)</f>
        <v>100.48808412720001</v>
      </c>
      <c r="N113" s="402">
        <f>IF($D113="Sim",'10 - Rodagem'!K38*9.25%,0)</f>
        <v>100.48808412720001</v>
      </c>
      <c r="O113" s="402">
        <f>IF($D113="Sim",'10 - Rodagem'!L38*9.25%,0)</f>
        <v>100.48808412720001</v>
      </c>
      <c r="P113" s="402">
        <f>IF($D113="Sim",'10 - Rodagem'!M38*9.25%,0)</f>
        <v>100.48808412720001</v>
      </c>
      <c r="Q113" s="402">
        <f>IF($D113="Sim",'10 - Rodagem'!N38*9.25%,0)</f>
        <v>100.48808412720001</v>
      </c>
      <c r="R113" s="402">
        <f>IF($D113="Sim",'10 - Rodagem'!O38*9.25%,0)</f>
        <v>100.48808412720001</v>
      </c>
      <c r="S113" s="402">
        <f>IF($D113="Sim",'10 - Rodagem'!P38*9.25%,0)</f>
        <v>100.48808412720001</v>
      </c>
      <c r="T113" s="402">
        <f>IF($D113="Sim",'10 - Rodagem'!Q38*9.25%,0)</f>
        <v>100.48808412720001</v>
      </c>
      <c r="U113" s="402">
        <f>IF($D113="Sim",'10 - Rodagem'!R38*9.25%,0)</f>
        <v>100.48808412720001</v>
      </c>
      <c r="V113" s="402">
        <f>IF($D113="Sim",'10 - Rodagem'!S38*9.25%,0)</f>
        <v>100.48808412720001</v>
      </c>
      <c r="W113" s="402">
        <f>IF($D113="Sim",'10 - Rodagem'!T38*9.25%,0)</f>
        <v>100.48808412720001</v>
      </c>
      <c r="X113" s="402">
        <f>IF($D113="Sim",'10 - Rodagem'!U38*9.25%,0)</f>
        <v>100.48808412720001</v>
      </c>
      <c r="Y113" s="402">
        <f>IF($D113="Sim",'10 - Rodagem'!V38*9.25%,0)</f>
        <v>100.48808412720001</v>
      </c>
      <c r="Z113" s="402">
        <f>IF($D113="Sim",'10 - Rodagem'!W38*9.25%,0)</f>
        <v>100.48808412720001</v>
      </c>
      <c r="AA113" s="402">
        <f>IF($D113="Sim",'10 - Rodagem'!X38*9.25%,0)</f>
        <v>100.48808412720001</v>
      </c>
      <c r="AB113" s="402">
        <f>IF($D113="Sim",'10 - Rodagem'!Y38*9.25%,0)</f>
        <v>100.48808412720001</v>
      </c>
      <c r="AC113" s="402">
        <f>IF($D113="Sim",'10 - Rodagem'!Z38*9.25%,0)</f>
        <v>100.48808412720001</v>
      </c>
      <c r="AD113" s="402">
        <f>IF($D113="Sim",'10 - Rodagem'!AA38*9.25%,0)</f>
        <v>100.48808412720001</v>
      </c>
      <c r="AE113" s="402">
        <f>IF($D113="Sim",'10 - Rodagem'!AB38*9.25%,0)</f>
        <v>100.48808412720001</v>
      </c>
      <c r="AF113" s="402">
        <f>IF($D113="Sim",'10 - Rodagem'!AC38*9.25%,0)</f>
        <v>100.48808412720001</v>
      </c>
      <c r="AG113" s="402">
        <f>IF($D113="Sim",'10 - Rodagem'!AD38*9.25%,0)</f>
        <v>100.48808412720001</v>
      </c>
      <c r="AH113" s="402">
        <f>IF($D113="Sim",'10 - Rodagem'!AE38*9.25%,0)</f>
        <v>100.48808412720001</v>
      </c>
      <c r="AI113" s="402">
        <f>IF($D113="Sim",'10 - Rodagem'!AF38*9.25%,0)</f>
        <v>100.48808412720001</v>
      </c>
      <c r="AJ113" s="402">
        <f>IF($D113="Sim",'10 - Rodagem'!AG38*9.25%,0)</f>
        <v>100.48808412720001</v>
      </c>
      <c r="AK113" s="402">
        <f>IF($D113="Sim",'10 - Rodagem'!AH38*9.25%,0)</f>
        <v>100.48808412720001</v>
      </c>
      <c r="AL113" s="402">
        <f>IF($D113="Sim",'10 - Rodagem'!AI38*9.25%,0)</f>
        <v>100.48808412720001</v>
      </c>
      <c r="AM113" s="402">
        <f>IF($D113="Sim",'10 - Rodagem'!AJ38*9.25%,0)</f>
        <v>100.48808412720001</v>
      </c>
      <c r="AN113" s="402">
        <f>IF($D113="Sim",'10 - Rodagem'!AK38*9.25%,0)</f>
        <v>100.48808412720001</v>
      </c>
    </row>
    <row r="114" spans="2:40" ht="13.15" customHeight="1" outlineLevel="1" x14ac:dyDescent="0.2">
      <c r="B114" s="404" t="s">
        <v>1354</v>
      </c>
      <c r="C114" s="413"/>
      <c r="D114" s="299" t="s">
        <v>1333</v>
      </c>
      <c r="E114" s="407">
        <f t="shared" si="14"/>
        <v>213470.92475463625</v>
      </c>
      <c r="F114" s="402">
        <f>IF($D114="Sim",'10 - Rodagem'!C42*9.25%,0)</f>
        <v>6099.1692787038937</v>
      </c>
      <c r="G114" s="402">
        <f>IF($D114="Sim",'10 - Rodagem'!D42*9.25%,0)</f>
        <v>6099.1692787038937</v>
      </c>
      <c r="H114" s="402">
        <f>IF($D114="Sim",'10 - Rodagem'!E42*9.25%,0)</f>
        <v>6099.1692787038937</v>
      </c>
      <c r="I114" s="402">
        <f>IF($D114="Sim",'10 - Rodagem'!F42*9.25%,0)</f>
        <v>6099.1692787038937</v>
      </c>
      <c r="J114" s="402">
        <f>IF($D114="Sim",'10 - Rodagem'!G42*9.25%,0)</f>
        <v>6099.1692787038937</v>
      </c>
      <c r="K114" s="402">
        <f>IF($D114="Sim",'10 - Rodagem'!H42*9.25%,0)</f>
        <v>6099.1692787038937</v>
      </c>
      <c r="L114" s="402">
        <f>IF($D114="Sim",'10 - Rodagem'!I42*9.25%,0)</f>
        <v>6099.1692787038937</v>
      </c>
      <c r="M114" s="402">
        <f>IF($D114="Sim",'10 - Rodagem'!J42*9.25%,0)</f>
        <v>6099.1692787038937</v>
      </c>
      <c r="N114" s="402">
        <f>IF($D114="Sim",'10 - Rodagem'!K42*9.25%,0)</f>
        <v>6099.1692787038937</v>
      </c>
      <c r="O114" s="402">
        <f>IF($D114="Sim",'10 - Rodagem'!L42*9.25%,0)</f>
        <v>6099.1692787038937</v>
      </c>
      <c r="P114" s="402">
        <f>IF($D114="Sim",'10 - Rodagem'!M42*9.25%,0)</f>
        <v>6099.1692787038937</v>
      </c>
      <c r="Q114" s="402">
        <f>IF($D114="Sim",'10 - Rodagem'!N42*9.25%,0)</f>
        <v>6099.1692787038937</v>
      </c>
      <c r="R114" s="402">
        <f>IF($D114="Sim",'10 - Rodagem'!O42*9.25%,0)</f>
        <v>6099.1692787038937</v>
      </c>
      <c r="S114" s="402">
        <f>IF($D114="Sim",'10 - Rodagem'!P42*9.25%,0)</f>
        <v>6099.1692787038937</v>
      </c>
      <c r="T114" s="402">
        <f>IF($D114="Sim",'10 - Rodagem'!Q42*9.25%,0)</f>
        <v>6099.1692787038937</v>
      </c>
      <c r="U114" s="402">
        <f>IF($D114="Sim",'10 - Rodagem'!R42*9.25%,0)</f>
        <v>6099.1692787038937</v>
      </c>
      <c r="V114" s="402">
        <f>IF($D114="Sim",'10 - Rodagem'!S42*9.25%,0)</f>
        <v>6099.1692787038937</v>
      </c>
      <c r="W114" s="402">
        <f>IF($D114="Sim",'10 - Rodagem'!T42*9.25%,0)</f>
        <v>6099.1692787038937</v>
      </c>
      <c r="X114" s="402">
        <f>IF($D114="Sim",'10 - Rodagem'!U42*9.25%,0)</f>
        <v>6099.1692787038937</v>
      </c>
      <c r="Y114" s="402">
        <f>IF($D114="Sim",'10 - Rodagem'!V42*9.25%,0)</f>
        <v>6099.1692787038937</v>
      </c>
      <c r="Z114" s="402">
        <f>IF($D114="Sim",'10 - Rodagem'!W42*9.25%,0)</f>
        <v>6099.1692787038937</v>
      </c>
      <c r="AA114" s="402">
        <f>IF($D114="Sim",'10 - Rodagem'!X42*9.25%,0)</f>
        <v>6099.1692787038937</v>
      </c>
      <c r="AB114" s="402">
        <f>IF($D114="Sim",'10 - Rodagem'!Y42*9.25%,0)</f>
        <v>6099.1692787038937</v>
      </c>
      <c r="AC114" s="402">
        <f>IF($D114="Sim",'10 - Rodagem'!Z42*9.25%,0)</f>
        <v>6099.1692787038937</v>
      </c>
      <c r="AD114" s="402">
        <f>IF($D114="Sim",'10 - Rodagem'!AA42*9.25%,0)</f>
        <v>6099.1692787038937</v>
      </c>
      <c r="AE114" s="402">
        <f>IF($D114="Sim",'10 - Rodagem'!AB42*9.25%,0)</f>
        <v>6099.1692787038937</v>
      </c>
      <c r="AF114" s="402">
        <f>IF($D114="Sim",'10 - Rodagem'!AC42*9.25%,0)</f>
        <v>6099.1692787038937</v>
      </c>
      <c r="AG114" s="402">
        <f>IF($D114="Sim",'10 - Rodagem'!AD42*9.25%,0)</f>
        <v>6099.1692787038937</v>
      </c>
      <c r="AH114" s="402">
        <f>IF($D114="Sim",'10 - Rodagem'!AE42*9.25%,0)</f>
        <v>6099.1692787038937</v>
      </c>
      <c r="AI114" s="402">
        <f>IF($D114="Sim",'10 - Rodagem'!AF42*9.25%,0)</f>
        <v>6099.1692787038937</v>
      </c>
      <c r="AJ114" s="402">
        <f>IF($D114="Sim",'10 - Rodagem'!AG42*9.25%,0)</f>
        <v>6099.1692787038937</v>
      </c>
      <c r="AK114" s="402">
        <f>IF($D114="Sim",'10 - Rodagem'!AH42*9.25%,0)</f>
        <v>6099.1692787038937</v>
      </c>
      <c r="AL114" s="402">
        <f>IF($D114="Sim",'10 - Rodagem'!AI42*9.25%,0)</f>
        <v>6099.1692787038937</v>
      </c>
      <c r="AM114" s="402">
        <f>IF($D114="Sim",'10 - Rodagem'!AJ42*9.25%,0)</f>
        <v>6099.1692787038937</v>
      </c>
      <c r="AN114" s="402">
        <f>IF($D114="Sim",'10 - Rodagem'!AK42*9.25%,0)</f>
        <v>6099.1692787038937</v>
      </c>
    </row>
    <row r="115" spans="2:40" ht="13.15" customHeight="1" outlineLevel="1" x14ac:dyDescent="0.2">
      <c r="B115" s="404" t="s">
        <v>945</v>
      </c>
      <c r="C115" s="413"/>
      <c r="D115" s="299" t="s">
        <v>1333</v>
      </c>
      <c r="E115" s="407">
        <f t="shared" si="14"/>
        <v>91226.890920784674</v>
      </c>
      <c r="F115" s="402">
        <f>IF($D115="Sim",'10 - Rodagem'!C46*9.25%,0)</f>
        <v>2606.4825977367068</v>
      </c>
      <c r="G115" s="402">
        <f>IF($D115="Sim",'10 - Rodagem'!D46*9.25%,0)</f>
        <v>2606.4825977367068</v>
      </c>
      <c r="H115" s="402">
        <f>IF($D115="Sim",'10 - Rodagem'!E46*9.25%,0)</f>
        <v>2606.4825977367068</v>
      </c>
      <c r="I115" s="402">
        <f>IF($D115="Sim",'10 - Rodagem'!F46*9.25%,0)</f>
        <v>2606.4825977367068</v>
      </c>
      <c r="J115" s="402">
        <f>IF($D115="Sim",'10 - Rodagem'!G46*9.25%,0)</f>
        <v>2606.4825977367068</v>
      </c>
      <c r="K115" s="402">
        <f>IF($D115="Sim",'10 - Rodagem'!H46*9.25%,0)</f>
        <v>2606.4825977367068</v>
      </c>
      <c r="L115" s="402">
        <f>IF($D115="Sim",'10 - Rodagem'!I46*9.25%,0)</f>
        <v>2606.4825977367068</v>
      </c>
      <c r="M115" s="402">
        <f>IF($D115="Sim",'10 - Rodagem'!J46*9.25%,0)</f>
        <v>2606.4825977367068</v>
      </c>
      <c r="N115" s="402">
        <f>IF($D115="Sim",'10 - Rodagem'!K46*9.25%,0)</f>
        <v>2606.4825977367068</v>
      </c>
      <c r="O115" s="402">
        <f>IF($D115="Sim",'10 - Rodagem'!L46*9.25%,0)</f>
        <v>2606.4825977367068</v>
      </c>
      <c r="P115" s="402">
        <f>IF($D115="Sim",'10 - Rodagem'!M46*9.25%,0)</f>
        <v>2606.4825977367068</v>
      </c>
      <c r="Q115" s="402">
        <f>IF($D115="Sim",'10 - Rodagem'!N46*9.25%,0)</f>
        <v>2606.4825977367068</v>
      </c>
      <c r="R115" s="402">
        <f>IF($D115="Sim",'10 - Rodagem'!O46*9.25%,0)</f>
        <v>2606.4825977367068</v>
      </c>
      <c r="S115" s="402">
        <f>IF($D115="Sim",'10 - Rodagem'!P46*9.25%,0)</f>
        <v>2606.4825977367068</v>
      </c>
      <c r="T115" s="402">
        <f>IF($D115="Sim",'10 - Rodagem'!Q46*9.25%,0)</f>
        <v>2606.4825977367068</v>
      </c>
      <c r="U115" s="402">
        <f>IF($D115="Sim",'10 - Rodagem'!R46*9.25%,0)</f>
        <v>2606.4825977367068</v>
      </c>
      <c r="V115" s="402">
        <f>IF($D115="Sim",'10 - Rodagem'!S46*9.25%,0)</f>
        <v>2606.4825977367068</v>
      </c>
      <c r="W115" s="402">
        <f>IF($D115="Sim",'10 - Rodagem'!T46*9.25%,0)</f>
        <v>2606.4825977367068</v>
      </c>
      <c r="X115" s="402">
        <f>IF($D115="Sim",'10 - Rodagem'!U46*9.25%,0)</f>
        <v>2606.4825977367068</v>
      </c>
      <c r="Y115" s="402">
        <f>IF($D115="Sim",'10 - Rodagem'!V46*9.25%,0)</f>
        <v>2606.4825977367068</v>
      </c>
      <c r="Z115" s="402">
        <f>IF($D115="Sim",'10 - Rodagem'!W46*9.25%,0)</f>
        <v>2606.4825977367068</v>
      </c>
      <c r="AA115" s="402">
        <f>IF($D115="Sim",'10 - Rodagem'!X46*9.25%,0)</f>
        <v>2606.4825977367068</v>
      </c>
      <c r="AB115" s="402">
        <f>IF($D115="Sim",'10 - Rodagem'!Y46*9.25%,0)</f>
        <v>2606.4825977367068</v>
      </c>
      <c r="AC115" s="402">
        <f>IF($D115="Sim",'10 - Rodagem'!Z46*9.25%,0)</f>
        <v>2606.4825977367068</v>
      </c>
      <c r="AD115" s="402">
        <f>IF($D115="Sim",'10 - Rodagem'!AA46*9.25%,0)</f>
        <v>2606.4825977367068</v>
      </c>
      <c r="AE115" s="402">
        <f>IF($D115="Sim",'10 - Rodagem'!AB46*9.25%,0)</f>
        <v>2606.4825977367068</v>
      </c>
      <c r="AF115" s="402">
        <f>IF($D115="Sim",'10 - Rodagem'!AC46*9.25%,0)</f>
        <v>2606.4825977367068</v>
      </c>
      <c r="AG115" s="402">
        <f>IF($D115="Sim",'10 - Rodagem'!AD46*9.25%,0)</f>
        <v>2606.4825977367068</v>
      </c>
      <c r="AH115" s="402">
        <f>IF($D115="Sim",'10 - Rodagem'!AE46*9.25%,0)</f>
        <v>2606.4825977367068</v>
      </c>
      <c r="AI115" s="402">
        <f>IF($D115="Sim",'10 - Rodagem'!AF46*9.25%,0)</f>
        <v>2606.4825977367068</v>
      </c>
      <c r="AJ115" s="402">
        <f>IF($D115="Sim",'10 - Rodagem'!AG46*9.25%,0)</f>
        <v>2606.4825977367068</v>
      </c>
      <c r="AK115" s="402">
        <f>IF($D115="Sim",'10 - Rodagem'!AH46*9.25%,0)</f>
        <v>2606.4825977367068</v>
      </c>
      <c r="AL115" s="402">
        <f>IF($D115="Sim",'10 - Rodagem'!AI46*9.25%,0)</f>
        <v>2606.4825977367068</v>
      </c>
      <c r="AM115" s="402">
        <f>IF($D115="Sim",'10 - Rodagem'!AJ46*9.25%,0)</f>
        <v>2606.4825977367068</v>
      </c>
      <c r="AN115" s="402">
        <f>IF($D115="Sim",'10 - Rodagem'!AK46*9.25%,0)</f>
        <v>2606.4825977367068</v>
      </c>
    </row>
    <row r="116" spans="2:40" ht="13.15" customHeight="1" outlineLevel="1" x14ac:dyDescent="0.2">
      <c r="B116" s="404" t="s">
        <v>946</v>
      </c>
      <c r="C116" s="413"/>
      <c r="D116" s="299" t="s">
        <v>1333</v>
      </c>
      <c r="E116" s="407">
        <f t="shared" si="14"/>
        <v>29006.769749999989</v>
      </c>
      <c r="F116" s="402">
        <f>IF($D116="Sim",'10 - Rodagem'!C50*9.25%,0)</f>
        <v>828.76484999999991</v>
      </c>
      <c r="G116" s="402">
        <f>IF($D116="Sim",'10 - Rodagem'!D50*9.25%,0)</f>
        <v>828.76484999999991</v>
      </c>
      <c r="H116" s="402">
        <f>IF($D116="Sim",'10 - Rodagem'!E50*9.25%,0)</f>
        <v>828.76484999999991</v>
      </c>
      <c r="I116" s="402">
        <f>IF($D116="Sim",'10 - Rodagem'!F50*9.25%,0)</f>
        <v>828.76484999999991</v>
      </c>
      <c r="J116" s="402">
        <f>IF($D116="Sim",'10 - Rodagem'!G50*9.25%,0)</f>
        <v>828.76484999999991</v>
      </c>
      <c r="K116" s="402">
        <f>IF($D116="Sim",'10 - Rodagem'!H50*9.25%,0)</f>
        <v>828.76484999999991</v>
      </c>
      <c r="L116" s="402">
        <f>IF($D116="Sim",'10 - Rodagem'!I50*9.25%,0)</f>
        <v>828.76484999999991</v>
      </c>
      <c r="M116" s="402">
        <f>IF($D116="Sim",'10 - Rodagem'!J50*9.25%,0)</f>
        <v>828.76484999999991</v>
      </c>
      <c r="N116" s="402">
        <f>IF($D116="Sim",'10 - Rodagem'!K50*9.25%,0)</f>
        <v>828.76484999999991</v>
      </c>
      <c r="O116" s="402">
        <f>IF($D116="Sim",'10 - Rodagem'!L50*9.25%,0)</f>
        <v>828.76484999999991</v>
      </c>
      <c r="P116" s="402">
        <f>IF($D116="Sim",'10 - Rodagem'!M50*9.25%,0)</f>
        <v>828.76484999999991</v>
      </c>
      <c r="Q116" s="402">
        <f>IF($D116="Sim",'10 - Rodagem'!N50*9.25%,0)</f>
        <v>828.76484999999991</v>
      </c>
      <c r="R116" s="402">
        <f>IF($D116="Sim",'10 - Rodagem'!O50*9.25%,0)</f>
        <v>828.76484999999991</v>
      </c>
      <c r="S116" s="402">
        <f>IF($D116="Sim",'10 - Rodagem'!P50*9.25%,0)</f>
        <v>828.76484999999991</v>
      </c>
      <c r="T116" s="402">
        <f>IF($D116="Sim",'10 - Rodagem'!Q50*9.25%,0)</f>
        <v>828.76484999999991</v>
      </c>
      <c r="U116" s="402">
        <f>IF($D116="Sim",'10 - Rodagem'!R50*9.25%,0)</f>
        <v>828.76484999999991</v>
      </c>
      <c r="V116" s="402">
        <f>IF($D116="Sim",'10 - Rodagem'!S50*9.25%,0)</f>
        <v>828.76484999999991</v>
      </c>
      <c r="W116" s="402">
        <f>IF($D116="Sim",'10 - Rodagem'!T50*9.25%,0)</f>
        <v>828.76484999999991</v>
      </c>
      <c r="X116" s="402">
        <f>IF($D116="Sim",'10 - Rodagem'!U50*9.25%,0)</f>
        <v>828.76484999999991</v>
      </c>
      <c r="Y116" s="402">
        <f>IF($D116="Sim",'10 - Rodagem'!V50*9.25%,0)</f>
        <v>828.76484999999991</v>
      </c>
      <c r="Z116" s="402">
        <f>IF($D116="Sim",'10 - Rodagem'!W50*9.25%,0)</f>
        <v>828.76484999999991</v>
      </c>
      <c r="AA116" s="402">
        <f>IF($D116="Sim",'10 - Rodagem'!X50*9.25%,0)</f>
        <v>828.76484999999991</v>
      </c>
      <c r="AB116" s="402">
        <f>IF($D116="Sim",'10 - Rodagem'!Y50*9.25%,0)</f>
        <v>828.76484999999991</v>
      </c>
      <c r="AC116" s="402">
        <f>IF($D116="Sim",'10 - Rodagem'!Z50*9.25%,0)</f>
        <v>828.76484999999991</v>
      </c>
      <c r="AD116" s="402">
        <f>IF($D116="Sim",'10 - Rodagem'!AA50*9.25%,0)</f>
        <v>828.76484999999991</v>
      </c>
      <c r="AE116" s="402">
        <f>IF($D116="Sim",'10 - Rodagem'!AB50*9.25%,0)</f>
        <v>828.76484999999991</v>
      </c>
      <c r="AF116" s="402">
        <f>IF($D116="Sim",'10 - Rodagem'!AC50*9.25%,0)</f>
        <v>828.76484999999991</v>
      </c>
      <c r="AG116" s="402">
        <f>IF($D116="Sim",'10 - Rodagem'!AD50*9.25%,0)</f>
        <v>828.76484999999991</v>
      </c>
      <c r="AH116" s="402">
        <f>IF($D116="Sim",'10 - Rodagem'!AE50*9.25%,0)</f>
        <v>828.76484999999991</v>
      </c>
      <c r="AI116" s="402">
        <f>IF($D116="Sim",'10 - Rodagem'!AF50*9.25%,0)</f>
        <v>828.76484999999991</v>
      </c>
      <c r="AJ116" s="402">
        <f>IF($D116="Sim",'10 - Rodagem'!AG50*9.25%,0)</f>
        <v>828.76484999999991</v>
      </c>
      <c r="AK116" s="402">
        <f>IF($D116="Sim",'10 - Rodagem'!AH50*9.25%,0)</f>
        <v>828.76484999999991</v>
      </c>
      <c r="AL116" s="402">
        <f>IF($D116="Sim",'10 - Rodagem'!AI50*9.25%,0)</f>
        <v>828.76484999999991</v>
      </c>
      <c r="AM116" s="402">
        <f>IF($D116="Sim",'10 - Rodagem'!AJ50*9.25%,0)</f>
        <v>828.76484999999991</v>
      </c>
      <c r="AN116" s="402">
        <f>IF($D116="Sim",'10 - Rodagem'!AK50*9.25%,0)</f>
        <v>828.76484999999991</v>
      </c>
    </row>
    <row r="117" spans="2:40" ht="13.15" customHeight="1" outlineLevel="1" x14ac:dyDescent="0.2">
      <c r="B117" s="404" t="s">
        <v>948</v>
      </c>
      <c r="C117" s="413"/>
      <c r="D117" s="299" t="s">
        <v>1333</v>
      </c>
      <c r="E117" s="407">
        <f t="shared" si="14"/>
        <v>26106.09277499999</v>
      </c>
      <c r="F117" s="402">
        <f>IF($D117="Sim",'10 - Rodagem'!C54*9.25%,0)</f>
        <v>745.88836500000002</v>
      </c>
      <c r="G117" s="402">
        <f>IF($D117="Sim",'10 - Rodagem'!D54*9.25%,0)</f>
        <v>745.88836500000002</v>
      </c>
      <c r="H117" s="402">
        <f>IF($D117="Sim",'10 - Rodagem'!E54*9.25%,0)</f>
        <v>745.88836500000002</v>
      </c>
      <c r="I117" s="402">
        <f>IF($D117="Sim",'10 - Rodagem'!F54*9.25%,0)</f>
        <v>745.88836500000002</v>
      </c>
      <c r="J117" s="402">
        <f>IF($D117="Sim",'10 - Rodagem'!G54*9.25%,0)</f>
        <v>745.88836500000002</v>
      </c>
      <c r="K117" s="402">
        <f>IF($D117="Sim",'10 - Rodagem'!H54*9.25%,0)</f>
        <v>745.88836500000002</v>
      </c>
      <c r="L117" s="402">
        <f>IF($D117="Sim",'10 - Rodagem'!I54*9.25%,0)</f>
        <v>745.88836500000002</v>
      </c>
      <c r="M117" s="402">
        <f>IF($D117="Sim",'10 - Rodagem'!J54*9.25%,0)</f>
        <v>745.88836500000002</v>
      </c>
      <c r="N117" s="402">
        <f>IF($D117="Sim",'10 - Rodagem'!K54*9.25%,0)</f>
        <v>745.88836500000002</v>
      </c>
      <c r="O117" s="402">
        <f>IF($D117="Sim",'10 - Rodagem'!L54*9.25%,0)</f>
        <v>745.88836500000002</v>
      </c>
      <c r="P117" s="402">
        <f>IF($D117="Sim",'10 - Rodagem'!M54*9.25%,0)</f>
        <v>745.88836500000002</v>
      </c>
      <c r="Q117" s="402">
        <f>IF($D117="Sim",'10 - Rodagem'!N54*9.25%,0)</f>
        <v>745.88836500000002</v>
      </c>
      <c r="R117" s="402">
        <f>IF($D117="Sim",'10 - Rodagem'!O54*9.25%,0)</f>
        <v>745.88836500000002</v>
      </c>
      <c r="S117" s="402">
        <f>IF($D117="Sim",'10 - Rodagem'!P54*9.25%,0)</f>
        <v>745.88836500000002</v>
      </c>
      <c r="T117" s="402">
        <f>IF($D117="Sim",'10 - Rodagem'!Q54*9.25%,0)</f>
        <v>745.88836500000002</v>
      </c>
      <c r="U117" s="402">
        <f>IF($D117="Sim",'10 - Rodagem'!R54*9.25%,0)</f>
        <v>745.88836500000002</v>
      </c>
      <c r="V117" s="402">
        <f>IF($D117="Sim",'10 - Rodagem'!S54*9.25%,0)</f>
        <v>745.88836500000002</v>
      </c>
      <c r="W117" s="402">
        <f>IF($D117="Sim",'10 - Rodagem'!T54*9.25%,0)</f>
        <v>745.88836500000002</v>
      </c>
      <c r="X117" s="402">
        <f>IF($D117="Sim",'10 - Rodagem'!U54*9.25%,0)</f>
        <v>745.88836500000002</v>
      </c>
      <c r="Y117" s="402">
        <f>IF($D117="Sim",'10 - Rodagem'!V54*9.25%,0)</f>
        <v>745.88836500000002</v>
      </c>
      <c r="Z117" s="402">
        <f>IF($D117="Sim",'10 - Rodagem'!W54*9.25%,0)</f>
        <v>745.88836500000002</v>
      </c>
      <c r="AA117" s="402">
        <f>IF($D117="Sim",'10 - Rodagem'!X54*9.25%,0)</f>
        <v>745.88836500000002</v>
      </c>
      <c r="AB117" s="402">
        <f>IF($D117="Sim",'10 - Rodagem'!Y54*9.25%,0)</f>
        <v>745.88836500000002</v>
      </c>
      <c r="AC117" s="402">
        <f>IF($D117="Sim",'10 - Rodagem'!Z54*9.25%,0)</f>
        <v>745.88836500000002</v>
      </c>
      <c r="AD117" s="402">
        <f>IF($D117="Sim",'10 - Rodagem'!AA54*9.25%,0)</f>
        <v>745.88836500000002</v>
      </c>
      <c r="AE117" s="402">
        <f>IF($D117="Sim",'10 - Rodagem'!AB54*9.25%,0)</f>
        <v>745.88836500000002</v>
      </c>
      <c r="AF117" s="402">
        <f>IF($D117="Sim",'10 - Rodagem'!AC54*9.25%,0)</f>
        <v>745.88836500000002</v>
      </c>
      <c r="AG117" s="402">
        <f>IF($D117="Sim",'10 - Rodagem'!AD54*9.25%,0)</f>
        <v>745.88836500000002</v>
      </c>
      <c r="AH117" s="402">
        <f>IF($D117="Sim",'10 - Rodagem'!AE54*9.25%,0)</f>
        <v>745.88836500000002</v>
      </c>
      <c r="AI117" s="402">
        <f>IF($D117="Sim",'10 - Rodagem'!AF54*9.25%,0)</f>
        <v>745.88836500000002</v>
      </c>
      <c r="AJ117" s="402">
        <f>IF($D117="Sim",'10 - Rodagem'!AG54*9.25%,0)</f>
        <v>745.88836500000002</v>
      </c>
      <c r="AK117" s="402">
        <f>IF($D117="Sim",'10 - Rodagem'!AH54*9.25%,0)</f>
        <v>745.88836500000002</v>
      </c>
      <c r="AL117" s="402">
        <f>IF($D117="Sim",'10 - Rodagem'!AI54*9.25%,0)</f>
        <v>745.88836500000002</v>
      </c>
      <c r="AM117" s="402">
        <f>IF($D117="Sim",'10 - Rodagem'!AJ54*9.25%,0)</f>
        <v>745.88836500000002</v>
      </c>
      <c r="AN117" s="402">
        <f>IF($D117="Sim",'10 - Rodagem'!AK54*9.25%,0)</f>
        <v>745.88836500000002</v>
      </c>
    </row>
    <row r="118" spans="2:40" ht="13.15" customHeight="1" outlineLevel="1" x14ac:dyDescent="0.2">
      <c r="B118" s="404" t="s">
        <v>990</v>
      </c>
      <c r="C118" s="413"/>
      <c r="D118" s="299" t="s">
        <v>1333</v>
      </c>
      <c r="E118" s="407">
        <f t="shared" si="14"/>
        <v>9926.0640000000076</v>
      </c>
      <c r="F118" s="402">
        <f>IF($D118="Sim",'10 - Rodagem'!C58*9.25%,0)</f>
        <v>283.6018285714286</v>
      </c>
      <c r="G118" s="402">
        <f>IF($D118="Sim",'10 - Rodagem'!D58*9.25%,0)</f>
        <v>283.6018285714286</v>
      </c>
      <c r="H118" s="402">
        <f>IF($D118="Sim",'10 - Rodagem'!E58*9.25%,0)</f>
        <v>283.6018285714286</v>
      </c>
      <c r="I118" s="402">
        <f>IF($D118="Sim",'10 - Rodagem'!F58*9.25%,0)</f>
        <v>283.6018285714286</v>
      </c>
      <c r="J118" s="402">
        <f>IF($D118="Sim",'10 - Rodagem'!G58*9.25%,0)</f>
        <v>283.6018285714286</v>
      </c>
      <c r="K118" s="402">
        <f>IF($D118="Sim",'10 - Rodagem'!H58*9.25%,0)</f>
        <v>283.6018285714286</v>
      </c>
      <c r="L118" s="402">
        <f>IF($D118="Sim",'10 - Rodagem'!I58*9.25%,0)</f>
        <v>283.6018285714286</v>
      </c>
      <c r="M118" s="402">
        <f>IF($D118="Sim",'10 - Rodagem'!J58*9.25%,0)</f>
        <v>283.6018285714286</v>
      </c>
      <c r="N118" s="402">
        <f>IF($D118="Sim",'10 - Rodagem'!K58*9.25%,0)</f>
        <v>283.6018285714286</v>
      </c>
      <c r="O118" s="402">
        <f>IF($D118="Sim",'10 - Rodagem'!L58*9.25%,0)</f>
        <v>283.6018285714286</v>
      </c>
      <c r="P118" s="402">
        <f>IF($D118="Sim",'10 - Rodagem'!M58*9.25%,0)</f>
        <v>283.6018285714286</v>
      </c>
      <c r="Q118" s="402">
        <f>IF($D118="Sim",'10 - Rodagem'!N58*9.25%,0)</f>
        <v>283.6018285714286</v>
      </c>
      <c r="R118" s="402">
        <f>IF($D118="Sim",'10 - Rodagem'!O58*9.25%,0)</f>
        <v>283.6018285714286</v>
      </c>
      <c r="S118" s="402">
        <f>IF($D118="Sim",'10 - Rodagem'!P58*9.25%,0)</f>
        <v>283.6018285714286</v>
      </c>
      <c r="T118" s="402">
        <f>IF($D118="Sim",'10 - Rodagem'!Q58*9.25%,0)</f>
        <v>283.6018285714286</v>
      </c>
      <c r="U118" s="402">
        <f>IF($D118="Sim",'10 - Rodagem'!R58*9.25%,0)</f>
        <v>283.6018285714286</v>
      </c>
      <c r="V118" s="402">
        <f>IF($D118="Sim",'10 - Rodagem'!S58*9.25%,0)</f>
        <v>283.6018285714286</v>
      </c>
      <c r="W118" s="402">
        <f>IF($D118="Sim",'10 - Rodagem'!T58*9.25%,0)</f>
        <v>283.6018285714286</v>
      </c>
      <c r="X118" s="402">
        <f>IF($D118="Sim",'10 - Rodagem'!U58*9.25%,0)</f>
        <v>283.6018285714286</v>
      </c>
      <c r="Y118" s="402">
        <f>IF($D118="Sim",'10 - Rodagem'!V58*9.25%,0)</f>
        <v>283.6018285714286</v>
      </c>
      <c r="Z118" s="402">
        <f>IF($D118="Sim",'10 - Rodagem'!W58*9.25%,0)</f>
        <v>283.6018285714286</v>
      </c>
      <c r="AA118" s="402">
        <f>IF($D118="Sim",'10 - Rodagem'!X58*9.25%,0)</f>
        <v>283.6018285714286</v>
      </c>
      <c r="AB118" s="402">
        <f>IF($D118="Sim",'10 - Rodagem'!Y58*9.25%,0)</f>
        <v>283.6018285714286</v>
      </c>
      <c r="AC118" s="402">
        <f>IF($D118="Sim",'10 - Rodagem'!Z58*9.25%,0)</f>
        <v>283.6018285714286</v>
      </c>
      <c r="AD118" s="402">
        <f>IF($D118="Sim",'10 - Rodagem'!AA58*9.25%,0)</f>
        <v>283.6018285714286</v>
      </c>
      <c r="AE118" s="402">
        <f>IF($D118="Sim",'10 - Rodagem'!AB58*9.25%,0)</f>
        <v>283.6018285714286</v>
      </c>
      <c r="AF118" s="402">
        <f>IF($D118="Sim",'10 - Rodagem'!AC58*9.25%,0)</f>
        <v>283.6018285714286</v>
      </c>
      <c r="AG118" s="402">
        <f>IF($D118="Sim",'10 - Rodagem'!AD58*9.25%,0)</f>
        <v>283.6018285714286</v>
      </c>
      <c r="AH118" s="402">
        <f>IF($D118="Sim",'10 - Rodagem'!AE58*9.25%,0)</f>
        <v>283.6018285714286</v>
      </c>
      <c r="AI118" s="402">
        <f>IF($D118="Sim",'10 - Rodagem'!AF58*9.25%,0)</f>
        <v>283.6018285714286</v>
      </c>
      <c r="AJ118" s="402">
        <f>IF($D118="Sim",'10 - Rodagem'!AG58*9.25%,0)</f>
        <v>283.6018285714286</v>
      </c>
      <c r="AK118" s="402">
        <f>IF($D118="Sim",'10 - Rodagem'!AH58*9.25%,0)</f>
        <v>283.6018285714286</v>
      </c>
      <c r="AL118" s="402">
        <f>IF($D118="Sim",'10 - Rodagem'!AI58*9.25%,0)</f>
        <v>283.6018285714286</v>
      </c>
      <c r="AM118" s="402">
        <f>IF($D118="Sim",'10 - Rodagem'!AJ58*9.25%,0)</f>
        <v>283.6018285714286</v>
      </c>
      <c r="AN118" s="402">
        <f>IF($D118="Sim",'10 - Rodagem'!AK58*9.25%,0)</f>
        <v>283.6018285714286</v>
      </c>
    </row>
    <row r="119" spans="2:40" ht="13.15" customHeight="1" outlineLevel="1" x14ac:dyDescent="0.2">
      <c r="B119" s="404" t="s">
        <v>991</v>
      </c>
      <c r="C119" s="413"/>
      <c r="D119" s="299" t="s">
        <v>1333</v>
      </c>
      <c r="E119" s="407">
        <f t="shared" si="14"/>
        <v>33086.87999999999</v>
      </c>
      <c r="F119" s="402">
        <f>IF($D119="Sim",'10 - Rodagem'!C62*9.25%,0)</f>
        <v>945.33942857142858</v>
      </c>
      <c r="G119" s="402">
        <f>IF($D119="Sim",'10 - Rodagem'!D62*9.25%,0)</f>
        <v>945.33942857142858</v>
      </c>
      <c r="H119" s="402">
        <f>IF($D119="Sim",'10 - Rodagem'!E62*9.25%,0)</f>
        <v>945.33942857142858</v>
      </c>
      <c r="I119" s="402">
        <f>IF($D119="Sim",'10 - Rodagem'!F62*9.25%,0)</f>
        <v>945.33942857142858</v>
      </c>
      <c r="J119" s="402">
        <f>IF($D119="Sim",'10 - Rodagem'!G62*9.25%,0)</f>
        <v>945.33942857142858</v>
      </c>
      <c r="K119" s="402">
        <f>IF($D119="Sim",'10 - Rodagem'!H62*9.25%,0)</f>
        <v>945.33942857142858</v>
      </c>
      <c r="L119" s="402">
        <f>IF($D119="Sim",'10 - Rodagem'!I62*9.25%,0)</f>
        <v>945.33942857142858</v>
      </c>
      <c r="M119" s="402">
        <f>IF($D119="Sim",'10 - Rodagem'!J62*9.25%,0)</f>
        <v>945.33942857142858</v>
      </c>
      <c r="N119" s="402">
        <f>IF($D119="Sim",'10 - Rodagem'!K62*9.25%,0)</f>
        <v>945.33942857142858</v>
      </c>
      <c r="O119" s="402">
        <f>IF($D119="Sim",'10 - Rodagem'!L62*9.25%,0)</f>
        <v>945.33942857142858</v>
      </c>
      <c r="P119" s="402">
        <f>IF($D119="Sim",'10 - Rodagem'!M62*9.25%,0)</f>
        <v>945.33942857142858</v>
      </c>
      <c r="Q119" s="402">
        <f>IF($D119="Sim",'10 - Rodagem'!N62*9.25%,0)</f>
        <v>945.33942857142858</v>
      </c>
      <c r="R119" s="402">
        <f>IF($D119="Sim",'10 - Rodagem'!O62*9.25%,0)</f>
        <v>945.33942857142858</v>
      </c>
      <c r="S119" s="402">
        <f>IF($D119="Sim",'10 - Rodagem'!P62*9.25%,0)</f>
        <v>945.33942857142858</v>
      </c>
      <c r="T119" s="402">
        <f>IF($D119="Sim",'10 - Rodagem'!Q62*9.25%,0)</f>
        <v>945.33942857142858</v>
      </c>
      <c r="U119" s="402">
        <f>IF($D119="Sim",'10 - Rodagem'!R62*9.25%,0)</f>
        <v>945.33942857142858</v>
      </c>
      <c r="V119" s="402">
        <f>IF($D119="Sim",'10 - Rodagem'!S62*9.25%,0)</f>
        <v>945.33942857142858</v>
      </c>
      <c r="W119" s="402">
        <f>IF($D119="Sim",'10 - Rodagem'!T62*9.25%,0)</f>
        <v>945.33942857142858</v>
      </c>
      <c r="X119" s="402">
        <f>IF($D119="Sim",'10 - Rodagem'!U62*9.25%,0)</f>
        <v>945.33942857142858</v>
      </c>
      <c r="Y119" s="402">
        <f>IF($D119="Sim",'10 - Rodagem'!V62*9.25%,0)</f>
        <v>945.33942857142858</v>
      </c>
      <c r="Z119" s="402">
        <f>IF($D119="Sim",'10 - Rodagem'!W62*9.25%,0)</f>
        <v>945.33942857142858</v>
      </c>
      <c r="AA119" s="402">
        <f>IF($D119="Sim",'10 - Rodagem'!X62*9.25%,0)</f>
        <v>945.33942857142858</v>
      </c>
      <c r="AB119" s="402">
        <f>IF($D119="Sim",'10 - Rodagem'!Y62*9.25%,0)</f>
        <v>945.33942857142858</v>
      </c>
      <c r="AC119" s="402">
        <f>IF($D119="Sim",'10 - Rodagem'!Z62*9.25%,0)</f>
        <v>945.33942857142858</v>
      </c>
      <c r="AD119" s="402">
        <f>IF($D119="Sim",'10 - Rodagem'!AA62*9.25%,0)</f>
        <v>945.33942857142858</v>
      </c>
      <c r="AE119" s="402">
        <f>IF($D119="Sim",'10 - Rodagem'!AB62*9.25%,0)</f>
        <v>945.33942857142858</v>
      </c>
      <c r="AF119" s="402">
        <f>IF($D119="Sim",'10 - Rodagem'!AC62*9.25%,0)</f>
        <v>945.33942857142858</v>
      </c>
      <c r="AG119" s="402">
        <f>IF($D119="Sim",'10 - Rodagem'!AD62*9.25%,0)</f>
        <v>945.33942857142858</v>
      </c>
      <c r="AH119" s="402">
        <f>IF($D119="Sim",'10 - Rodagem'!AE62*9.25%,0)</f>
        <v>945.33942857142858</v>
      </c>
      <c r="AI119" s="402">
        <f>IF($D119="Sim",'10 - Rodagem'!AF62*9.25%,0)</f>
        <v>945.33942857142858</v>
      </c>
      <c r="AJ119" s="402">
        <f>IF($D119="Sim",'10 - Rodagem'!AG62*9.25%,0)</f>
        <v>945.33942857142858</v>
      </c>
      <c r="AK119" s="402">
        <f>IF($D119="Sim",'10 - Rodagem'!AH62*9.25%,0)</f>
        <v>945.33942857142858</v>
      </c>
      <c r="AL119" s="402">
        <f>IF($D119="Sim",'10 - Rodagem'!AI62*9.25%,0)</f>
        <v>945.33942857142858</v>
      </c>
      <c r="AM119" s="402">
        <f>IF($D119="Sim",'10 - Rodagem'!AJ62*9.25%,0)</f>
        <v>945.33942857142858</v>
      </c>
      <c r="AN119" s="402">
        <f>IF($D119="Sim",'10 - Rodagem'!AK62*9.25%,0)</f>
        <v>945.33942857142858</v>
      </c>
    </row>
    <row r="120" spans="2:40" ht="13.15" customHeight="1" outlineLevel="1" x14ac:dyDescent="0.2">
      <c r="B120" s="404" t="s">
        <v>992</v>
      </c>
      <c r="C120" s="413"/>
      <c r="D120" s="299" t="s">
        <v>1333</v>
      </c>
      <c r="E120" s="407">
        <f t="shared" si="14"/>
        <v>1967.3333803569583</v>
      </c>
      <c r="F120" s="402">
        <f>IF($D120="Sim",'10 - Rodagem'!C66*9.25%,0)</f>
        <v>56.209525153055999</v>
      </c>
      <c r="G120" s="402">
        <f>IF($D120="Sim",'10 - Rodagem'!D66*9.25%,0)</f>
        <v>56.209525153055999</v>
      </c>
      <c r="H120" s="402">
        <f>IF($D120="Sim",'10 - Rodagem'!E66*9.25%,0)</f>
        <v>56.209525153055999</v>
      </c>
      <c r="I120" s="402">
        <f>IF($D120="Sim",'10 - Rodagem'!F66*9.25%,0)</f>
        <v>56.209525153055999</v>
      </c>
      <c r="J120" s="402">
        <f>IF($D120="Sim",'10 - Rodagem'!G66*9.25%,0)</f>
        <v>56.209525153055999</v>
      </c>
      <c r="K120" s="402">
        <f>IF($D120="Sim",'10 - Rodagem'!H66*9.25%,0)</f>
        <v>56.209525153055999</v>
      </c>
      <c r="L120" s="402">
        <f>IF($D120="Sim",'10 - Rodagem'!I66*9.25%,0)</f>
        <v>56.209525153055999</v>
      </c>
      <c r="M120" s="402">
        <f>IF($D120="Sim",'10 - Rodagem'!J66*9.25%,0)</f>
        <v>56.209525153055999</v>
      </c>
      <c r="N120" s="402">
        <f>IF($D120="Sim",'10 - Rodagem'!K66*9.25%,0)</f>
        <v>56.209525153055999</v>
      </c>
      <c r="O120" s="402">
        <f>IF($D120="Sim",'10 - Rodagem'!L66*9.25%,0)</f>
        <v>56.209525153055999</v>
      </c>
      <c r="P120" s="402">
        <f>IF($D120="Sim",'10 - Rodagem'!M66*9.25%,0)</f>
        <v>56.209525153055999</v>
      </c>
      <c r="Q120" s="402">
        <f>IF($D120="Sim",'10 - Rodagem'!N66*9.25%,0)</f>
        <v>56.209525153055999</v>
      </c>
      <c r="R120" s="402">
        <f>IF($D120="Sim",'10 - Rodagem'!O66*9.25%,0)</f>
        <v>56.209525153055999</v>
      </c>
      <c r="S120" s="402">
        <f>IF($D120="Sim",'10 - Rodagem'!P66*9.25%,0)</f>
        <v>56.209525153055999</v>
      </c>
      <c r="T120" s="402">
        <f>IF($D120="Sim",'10 - Rodagem'!Q66*9.25%,0)</f>
        <v>56.209525153055999</v>
      </c>
      <c r="U120" s="402">
        <f>IF($D120="Sim",'10 - Rodagem'!R66*9.25%,0)</f>
        <v>56.209525153055999</v>
      </c>
      <c r="V120" s="402">
        <f>IF($D120="Sim",'10 - Rodagem'!S66*9.25%,0)</f>
        <v>56.209525153055999</v>
      </c>
      <c r="W120" s="402">
        <f>IF($D120="Sim",'10 - Rodagem'!T66*9.25%,0)</f>
        <v>56.209525153055999</v>
      </c>
      <c r="X120" s="402">
        <f>IF($D120="Sim",'10 - Rodagem'!U66*9.25%,0)</f>
        <v>56.209525153055999</v>
      </c>
      <c r="Y120" s="402">
        <f>IF($D120="Sim",'10 - Rodagem'!V66*9.25%,0)</f>
        <v>56.209525153055999</v>
      </c>
      <c r="Z120" s="402">
        <f>IF($D120="Sim",'10 - Rodagem'!W66*9.25%,0)</f>
        <v>56.209525153055999</v>
      </c>
      <c r="AA120" s="402">
        <f>IF($D120="Sim",'10 - Rodagem'!X66*9.25%,0)</f>
        <v>56.209525153055999</v>
      </c>
      <c r="AB120" s="402">
        <f>IF($D120="Sim",'10 - Rodagem'!Y66*9.25%,0)</f>
        <v>56.209525153055999</v>
      </c>
      <c r="AC120" s="402">
        <f>IF($D120="Sim",'10 - Rodagem'!Z66*9.25%,0)</f>
        <v>56.209525153055999</v>
      </c>
      <c r="AD120" s="402">
        <f>IF($D120="Sim",'10 - Rodagem'!AA66*9.25%,0)</f>
        <v>56.209525153055999</v>
      </c>
      <c r="AE120" s="402">
        <f>IF($D120="Sim",'10 - Rodagem'!AB66*9.25%,0)</f>
        <v>56.209525153055999</v>
      </c>
      <c r="AF120" s="402">
        <f>IF($D120="Sim",'10 - Rodagem'!AC66*9.25%,0)</f>
        <v>56.209525153055999</v>
      </c>
      <c r="AG120" s="402">
        <f>IF($D120="Sim",'10 - Rodagem'!AD66*9.25%,0)</f>
        <v>56.209525153055999</v>
      </c>
      <c r="AH120" s="402">
        <f>IF($D120="Sim",'10 - Rodagem'!AE66*9.25%,0)</f>
        <v>56.209525153055999</v>
      </c>
      <c r="AI120" s="402">
        <f>IF($D120="Sim",'10 - Rodagem'!AF66*9.25%,0)</f>
        <v>56.209525153055999</v>
      </c>
      <c r="AJ120" s="402">
        <f>IF($D120="Sim",'10 - Rodagem'!AG66*9.25%,0)</f>
        <v>56.209525153055999</v>
      </c>
      <c r="AK120" s="402">
        <f>IF($D120="Sim",'10 - Rodagem'!AH66*9.25%,0)</f>
        <v>56.209525153055999</v>
      </c>
      <c r="AL120" s="402">
        <f>IF($D120="Sim",'10 - Rodagem'!AI66*9.25%,0)</f>
        <v>56.209525153055999</v>
      </c>
      <c r="AM120" s="402">
        <f>IF($D120="Sim",'10 - Rodagem'!AJ66*9.25%,0)</f>
        <v>56.209525153055999</v>
      </c>
      <c r="AN120" s="402">
        <f>IF($D120="Sim",'10 - Rodagem'!AK66*9.25%,0)</f>
        <v>56.209525153055999</v>
      </c>
    </row>
    <row r="121" spans="2:40" ht="13.15" customHeight="1" outlineLevel="1" x14ac:dyDescent="0.2">
      <c r="B121" s="404" t="s">
        <v>1355</v>
      </c>
      <c r="C121" s="413"/>
      <c r="D121" s="299" t="s">
        <v>1333</v>
      </c>
      <c r="E121" s="407">
        <f t="shared" si="14"/>
        <v>45613.445460392337</v>
      </c>
      <c r="F121" s="402">
        <f>IF($D121="Sim",'10 - Rodagem'!C70*9.25%,0)</f>
        <v>1303.2412988683534</v>
      </c>
      <c r="G121" s="402">
        <f>IF($D121="Sim",'10 - Rodagem'!D70*9.25%,0)</f>
        <v>1303.2412988683534</v>
      </c>
      <c r="H121" s="402">
        <f>IF($D121="Sim",'10 - Rodagem'!E70*9.25%,0)</f>
        <v>1303.2412988683534</v>
      </c>
      <c r="I121" s="402">
        <f>IF($D121="Sim",'10 - Rodagem'!F70*9.25%,0)</f>
        <v>1303.2412988683534</v>
      </c>
      <c r="J121" s="402">
        <f>IF($D121="Sim",'10 - Rodagem'!G70*9.25%,0)</f>
        <v>1303.2412988683534</v>
      </c>
      <c r="K121" s="402">
        <f>IF($D121="Sim",'10 - Rodagem'!H70*9.25%,0)</f>
        <v>1303.2412988683534</v>
      </c>
      <c r="L121" s="402">
        <f>IF($D121="Sim",'10 - Rodagem'!I70*9.25%,0)</f>
        <v>1303.2412988683534</v>
      </c>
      <c r="M121" s="402">
        <f>IF($D121="Sim",'10 - Rodagem'!J70*9.25%,0)</f>
        <v>1303.2412988683534</v>
      </c>
      <c r="N121" s="402">
        <f>IF($D121="Sim",'10 - Rodagem'!K70*9.25%,0)</f>
        <v>1303.2412988683534</v>
      </c>
      <c r="O121" s="402">
        <f>IF($D121="Sim",'10 - Rodagem'!L70*9.25%,0)</f>
        <v>1303.2412988683534</v>
      </c>
      <c r="P121" s="402">
        <f>IF($D121="Sim",'10 - Rodagem'!M70*9.25%,0)</f>
        <v>1303.2412988683534</v>
      </c>
      <c r="Q121" s="402">
        <f>IF($D121="Sim",'10 - Rodagem'!N70*9.25%,0)</f>
        <v>1303.2412988683534</v>
      </c>
      <c r="R121" s="402">
        <f>IF($D121="Sim",'10 - Rodagem'!O70*9.25%,0)</f>
        <v>1303.2412988683534</v>
      </c>
      <c r="S121" s="402">
        <f>IF($D121="Sim",'10 - Rodagem'!P70*9.25%,0)</f>
        <v>1303.2412988683534</v>
      </c>
      <c r="T121" s="402">
        <f>IF($D121="Sim",'10 - Rodagem'!Q70*9.25%,0)</f>
        <v>1303.2412988683534</v>
      </c>
      <c r="U121" s="402">
        <f>IF($D121="Sim",'10 - Rodagem'!R70*9.25%,0)</f>
        <v>1303.2412988683534</v>
      </c>
      <c r="V121" s="402">
        <f>IF($D121="Sim",'10 - Rodagem'!S70*9.25%,0)</f>
        <v>1303.2412988683534</v>
      </c>
      <c r="W121" s="402">
        <f>IF($D121="Sim",'10 - Rodagem'!T70*9.25%,0)</f>
        <v>1303.2412988683534</v>
      </c>
      <c r="X121" s="402">
        <f>IF($D121="Sim",'10 - Rodagem'!U70*9.25%,0)</f>
        <v>1303.2412988683534</v>
      </c>
      <c r="Y121" s="402">
        <f>IF($D121="Sim",'10 - Rodagem'!V70*9.25%,0)</f>
        <v>1303.2412988683534</v>
      </c>
      <c r="Z121" s="402">
        <f>IF($D121="Sim",'10 - Rodagem'!W70*9.25%,0)</f>
        <v>1303.2412988683534</v>
      </c>
      <c r="AA121" s="402">
        <f>IF($D121="Sim",'10 - Rodagem'!X70*9.25%,0)</f>
        <v>1303.2412988683534</v>
      </c>
      <c r="AB121" s="402">
        <f>IF($D121="Sim",'10 - Rodagem'!Y70*9.25%,0)</f>
        <v>1303.2412988683534</v>
      </c>
      <c r="AC121" s="402">
        <f>IF($D121="Sim",'10 - Rodagem'!Z70*9.25%,0)</f>
        <v>1303.2412988683534</v>
      </c>
      <c r="AD121" s="402">
        <f>IF($D121="Sim",'10 - Rodagem'!AA70*9.25%,0)</f>
        <v>1303.2412988683534</v>
      </c>
      <c r="AE121" s="402">
        <f>IF($D121="Sim",'10 - Rodagem'!AB70*9.25%,0)</f>
        <v>1303.2412988683534</v>
      </c>
      <c r="AF121" s="402">
        <f>IF($D121="Sim",'10 - Rodagem'!AC70*9.25%,0)</f>
        <v>1303.2412988683534</v>
      </c>
      <c r="AG121" s="402">
        <f>IF($D121="Sim",'10 - Rodagem'!AD70*9.25%,0)</f>
        <v>1303.2412988683534</v>
      </c>
      <c r="AH121" s="402">
        <f>IF($D121="Sim",'10 - Rodagem'!AE70*9.25%,0)</f>
        <v>1303.2412988683534</v>
      </c>
      <c r="AI121" s="402">
        <f>IF($D121="Sim",'10 - Rodagem'!AF70*9.25%,0)</f>
        <v>1303.2412988683534</v>
      </c>
      <c r="AJ121" s="402">
        <f>IF($D121="Sim",'10 - Rodagem'!AG70*9.25%,0)</f>
        <v>1303.2412988683534</v>
      </c>
      <c r="AK121" s="402">
        <f>IF($D121="Sim",'10 - Rodagem'!AH70*9.25%,0)</f>
        <v>1303.2412988683534</v>
      </c>
      <c r="AL121" s="402">
        <f>IF($D121="Sim",'10 - Rodagem'!AI70*9.25%,0)</f>
        <v>1303.2412988683534</v>
      </c>
      <c r="AM121" s="402">
        <f>IF($D121="Sim",'10 - Rodagem'!AJ70*9.25%,0)</f>
        <v>1303.2412988683534</v>
      </c>
      <c r="AN121" s="402">
        <f>IF($D121="Sim",'10 - Rodagem'!AK70*9.25%,0)</f>
        <v>1303.2412988683534</v>
      </c>
    </row>
    <row r="122" spans="2:40" ht="13.15" customHeight="1" outlineLevel="1" x14ac:dyDescent="0.2">
      <c r="B122" s="404" t="s">
        <v>1356</v>
      </c>
      <c r="C122" s="413"/>
      <c r="D122" s="299" t="s">
        <v>1333</v>
      </c>
      <c r="E122" s="407">
        <f t="shared" si="14"/>
        <v>14574.770639999986</v>
      </c>
      <c r="F122" s="402">
        <f>IF($D122="Sim",'10 - Rodagem'!C74*9.25%,0)</f>
        <v>416.42201828571427</v>
      </c>
      <c r="G122" s="402">
        <f>IF($D122="Sim",'10 - Rodagem'!D74*9.25%,0)</f>
        <v>416.42201828571427</v>
      </c>
      <c r="H122" s="402">
        <f>IF($D122="Sim",'10 - Rodagem'!E74*9.25%,0)</f>
        <v>416.42201828571427</v>
      </c>
      <c r="I122" s="402">
        <f>IF($D122="Sim",'10 - Rodagem'!F74*9.25%,0)</f>
        <v>416.42201828571427</v>
      </c>
      <c r="J122" s="402">
        <f>IF($D122="Sim",'10 - Rodagem'!G74*9.25%,0)</f>
        <v>416.42201828571427</v>
      </c>
      <c r="K122" s="402">
        <f>IF($D122="Sim",'10 - Rodagem'!H74*9.25%,0)</f>
        <v>416.42201828571427</v>
      </c>
      <c r="L122" s="402">
        <f>IF($D122="Sim",'10 - Rodagem'!I74*9.25%,0)</f>
        <v>416.42201828571427</v>
      </c>
      <c r="M122" s="402">
        <f>IF($D122="Sim",'10 - Rodagem'!J74*9.25%,0)</f>
        <v>416.42201828571427</v>
      </c>
      <c r="N122" s="402">
        <f>IF($D122="Sim",'10 - Rodagem'!K74*9.25%,0)</f>
        <v>416.42201828571427</v>
      </c>
      <c r="O122" s="402">
        <f>IF($D122="Sim",'10 - Rodagem'!L74*9.25%,0)</f>
        <v>416.42201828571427</v>
      </c>
      <c r="P122" s="402">
        <f>IF($D122="Sim",'10 - Rodagem'!M74*9.25%,0)</f>
        <v>416.42201828571427</v>
      </c>
      <c r="Q122" s="402">
        <f>IF($D122="Sim",'10 - Rodagem'!N74*9.25%,0)</f>
        <v>416.42201828571427</v>
      </c>
      <c r="R122" s="402">
        <f>IF($D122="Sim",'10 - Rodagem'!O74*9.25%,0)</f>
        <v>416.42201828571427</v>
      </c>
      <c r="S122" s="402">
        <f>IF($D122="Sim",'10 - Rodagem'!P74*9.25%,0)</f>
        <v>416.42201828571427</v>
      </c>
      <c r="T122" s="402">
        <f>IF($D122="Sim",'10 - Rodagem'!Q74*9.25%,0)</f>
        <v>416.42201828571427</v>
      </c>
      <c r="U122" s="402">
        <f>IF($D122="Sim",'10 - Rodagem'!R74*9.25%,0)</f>
        <v>416.42201828571427</v>
      </c>
      <c r="V122" s="402">
        <f>IF($D122="Sim",'10 - Rodagem'!S74*9.25%,0)</f>
        <v>416.42201828571427</v>
      </c>
      <c r="W122" s="402">
        <f>IF($D122="Sim",'10 - Rodagem'!T74*9.25%,0)</f>
        <v>416.42201828571427</v>
      </c>
      <c r="X122" s="402">
        <f>IF($D122="Sim",'10 - Rodagem'!U74*9.25%,0)</f>
        <v>416.42201828571427</v>
      </c>
      <c r="Y122" s="402">
        <f>IF($D122="Sim",'10 - Rodagem'!V74*9.25%,0)</f>
        <v>416.42201828571427</v>
      </c>
      <c r="Z122" s="402">
        <f>IF($D122="Sim",'10 - Rodagem'!W74*9.25%,0)</f>
        <v>416.42201828571427</v>
      </c>
      <c r="AA122" s="402">
        <f>IF($D122="Sim",'10 - Rodagem'!X74*9.25%,0)</f>
        <v>416.42201828571427</v>
      </c>
      <c r="AB122" s="402">
        <f>IF($D122="Sim",'10 - Rodagem'!Y74*9.25%,0)</f>
        <v>416.42201828571427</v>
      </c>
      <c r="AC122" s="402">
        <f>IF($D122="Sim",'10 - Rodagem'!Z74*9.25%,0)</f>
        <v>416.42201828571427</v>
      </c>
      <c r="AD122" s="402">
        <f>IF($D122="Sim",'10 - Rodagem'!AA74*9.25%,0)</f>
        <v>416.42201828571427</v>
      </c>
      <c r="AE122" s="402">
        <f>IF($D122="Sim",'10 - Rodagem'!AB74*9.25%,0)</f>
        <v>416.42201828571427</v>
      </c>
      <c r="AF122" s="402">
        <f>IF($D122="Sim",'10 - Rodagem'!AC74*9.25%,0)</f>
        <v>416.42201828571427</v>
      </c>
      <c r="AG122" s="402">
        <f>IF($D122="Sim",'10 - Rodagem'!AD74*9.25%,0)</f>
        <v>416.42201828571427</v>
      </c>
      <c r="AH122" s="402">
        <f>IF($D122="Sim",'10 - Rodagem'!AE74*9.25%,0)</f>
        <v>416.42201828571427</v>
      </c>
      <c r="AI122" s="402">
        <f>IF($D122="Sim",'10 - Rodagem'!AF74*9.25%,0)</f>
        <v>416.42201828571427</v>
      </c>
      <c r="AJ122" s="402">
        <f>IF($D122="Sim",'10 - Rodagem'!AG74*9.25%,0)</f>
        <v>416.42201828571427</v>
      </c>
      <c r="AK122" s="402">
        <f>IF($D122="Sim",'10 - Rodagem'!AH74*9.25%,0)</f>
        <v>416.42201828571427</v>
      </c>
      <c r="AL122" s="402">
        <f>IF($D122="Sim",'10 - Rodagem'!AI74*9.25%,0)</f>
        <v>416.42201828571427</v>
      </c>
      <c r="AM122" s="402">
        <f>IF($D122="Sim",'10 - Rodagem'!AJ74*9.25%,0)</f>
        <v>416.42201828571427</v>
      </c>
      <c r="AN122" s="402">
        <f>IF($D122="Sim",'10 - Rodagem'!AK74*9.25%,0)</f>
        <v>416.42201828571427</v>
      </c>
    </row>
    <row r="123" spans="2:40" ht="13.15" customHeight="1" outlineLevel="1" x14ac:dyDescent="0.2">
      <c r="B123" s="404" t="s">
        <v>1357</v>
      </c>
      <c r="C123" s="413"/>
      <c r="D123" s="299" t="s">
        <v>1333</v>
      </c>
      <c r="E123" s="407">
        <f t="shared" si="14"/>
        <v>983.66669017847914</v>
      </c>
      <c r="F123" s="402">
        <f>IF($D123="Sim",'10 - Rodagem'!C78*9.25%,0)</f>
        <v>28.104762576528</v>
      </c>
      <c r="G123" s="402">
        <f>IF($D123="Sim",'10 - Rodagem'!D78*9.25%,0)</f>
        <v>28.104762576528</v>
      </c>
      <c r="H123" s="402">
        <f>IF($D123="Sim",'10 - Rodagem'!E78*9.25%,0)</f>
        <v>28.104762576528</v>
      </c>
      <c r="I123" s="402">
        <f>IF($D123="Sim",'10 - Rodagem'!F78*9.25%,0)</f>
        <v>28.104762576528</v>
      </c>
      <c r="J123" s="402">
        <f>IF($D123="Sim",'10 - Rodagem'!G78*9.25%,0)</f>
        <v>28.104762576528</v>
      </c>
      <c r="K123" s="402">
        <f>IF($D123="Sim",'10 - Rodagem'!H78*9.25%,0)</f>
        <v>28.104762576528</v>
      </c>
      <c r="L123" s="402">
        <f>IF($D123="Sim",'10 - Rodagem'!I78*9.25%,0)</f>
        <v>28.104762576528</v>
      </c>
      <c r="M123" s="402">
        <f>IF($D123="Sim",'10 - Rodagem'!J78*9.25%,0)</f>
        <v>28.104762576528</v>
      </c>
      <c r="N123" s="402">
        <f>IF($D123="Sim",'10 - Rodagem'!K78*9.25%,0)</f>
        <v>28.104762576528</v>
      </c>
      <c r="O123" s="402">
        <f>IF($D123="Sim",'10 - Rodagem'!L78*9.25%,0)</f>
        <v>28.104762576528</v>
      </c>
      <c r="P123" s="402">
        <f>IF($D123="Sim",'10 - Rodagem'!M78*9.25%,0)</f>
        <v>28.104762576528</v>
      </c>
      <c r="Q123" s="402">
        <f>IF($D123="Sim",'10 - Rodagem'!N78*9.25%,0)</f>
        <v>28.104762576528</v>
      </c>
      <c r="R123" s="402">
        <f>IF($D123="Sim",'10 - Rodagem'!O78*9.25%,0)</f>
        <v>28.104762576528</v>
      </c>
      <c r="S123" s="402">
        <f>IF($D123="Sim",'10 - Rodagem'!P78*9.25%,0)</f>
        <v>28.104762576528</v>
      </c>
      <c r="T123" s="402">
        <f>IF($D123="Sim",'10 - Rodagem'!Q78*9.25%,0)</f>
        <v>28.104762576528</v>
      </c>
      <c r="U123" s="402">
        <f>IF($D123="Sim",'10 - Rodagem'!R78*9.25%,0)</f>
        <v>28.104762576528</v>
      </c>
      <c r="V123" s="402">
        <f>IF($D123="Sim",'10 - Rodagem'!S78*9.25%,0)</f>
        <v>28.104762576528</v>
      </c>
      <c r="W123" s="402">
        <f>IF($D123="Sim",'10 - Rodagem'!T78*9.25%,0)</f>
        <v>28.104762576528</v>
      </c>
      <c r="X123" s="402">
        <f>IF($D123="Sim",'10 - Rodagem'!U78*9.25%,0)</f>
        <v>28.104762576528</v>
      </c>
      <c r="Y123" s="402">
        <f>IF($D123="Sim",'10 - Rodagem'!V78*9.25%,0)</f>
        <v>28.104762576528</v>
      </c>
      <c r="Z123" s="402">
        <f>IF($D123="Sim",'10 - Rodagem'!W78*9.25%,0)</f>
        <v>28.104762576528</v>
      </c>
      <c r="AA123" s="402">
        <f>IF($D123="Sim",'10 - Rodagem'!X78*9.25%,0)</f>
        <v>28.104762576528</v>
      </c>
      <c r="AB123" s="402">
        <f>IF($D123="Sim",'10 - Rodagem'!Y78*9.25%,0)</f>
        <v>28.104762576528</v>
      </c>
      <c r="AC123" s="402">
        <f>IF($D123="Sim",'10 - Rodagem'!Z78*9.25%,0)</f>
        <v>28.104762576528</v>
      </c>
      <c r="AD123" s="402">
        <f>IF($D123="Sim",'10 - Rodagem'!AA78*9.25%,0)</f>
        <v>28.104762576528</v>
      </c>
      <c r="AE123" s="402">
        <f>IF($D123="Sim",'10 - Rodagem'!AB78*9.25%,0)</f>
        <v>28.104762576528</v>
      </c>
      <c r="AF123" s="402">
        <f>IF($D123="Sim",'10 - Rodagem'!AC78*9.25%,0)</f>
        <v>28.104762576528</v>
      </c>
      <c r="AG123" s="402">
        <f>IF($D123="Sim",'10 - Rodagem'!AD78*9.25%,0)</f>
        <v>28.104762576528</v>
      </c>
      <c r="AH123" s="402">
        <f>IF($D123="Sim",'10 - Rodagem'!AE78*9.25%,0)</f>
        <v>28.104762576528</v>
      </c>
      <c r="AI123" s="402">
        <f>IF($D123="Sim",'10 - Rodagem'!AF78*9.25%,0)</f>
        <v>28.104762576528</v>
      </c>
      <c r="AJ123" s="402">
        <f>IF($D123="Sim",'10 - Rodagem'!AG78*9.25%,0)</f>
        <v>28.104762576528</v>
      </c>
      <c r="AK123" s="402">
        <f>IF($D123="Sim",'10 - Rodagem'!AH78*9.25%,0)</f>
        <v>28.104762576528</v>
      </c>
      <c r="AL123" s="402">
        <f>IF($D123="Sim",'10 - Rodagem'!AI78*9.25%,0)</f>
        <v>28.104762576528</v>
      </c>
      <c r="AM123" s="402">
        <f>IF($D123="Sim",'10 - Rodagem'!AJ78*9.25%,0)</f>
        <v>28.104762576528</v>
      </c>
      <c r="AN123" s="402">
        <f>IF($D123="Sim",'10 - Rodagem'!AK78*9.25%,0)</f>
        <v>28.104762576528</v>
      </c>
    </row>
    <row r="124" spans="2:40" ht="13.15" customHeight="1" outlineLevel="1" x14ac:dyDescent="0.2">
      <c r="B124" s="404" t="s">
        <v>962</v>
      </c>
      <c r="C124" s="413"/>
      <c r="D124" s="299" t="s">
        <v>1333</v>
      </c>
      <c r="E124" s="407">
        <f t="shared" si="14"/>
        <v>39911.764777843338</v>
      </c>
      <c r="F124" s="402">
        <f>IF($D124="Sim",'10 - Rodagem'!C86*9.25%,0)</f>
        <v>1140.3361365098092</v>
      </c>
      <c r="G124" s="402">
        <f>IF($D124="Sim",'10 - Rodagem'!D86*9.25%,0)</f>
        <v>1140.3361365098092</v>
      </c>
      <c r="H124" s="402">
        <f>IF($D124="Sim",'10 - Rodagem'!E86*9.25%,0)</f>
        <v>1140.3361365098092</v>
      </c>
      <c r="I124" s="402">
        <f>IF($D124="Sim",'10 - Rodagem'!F86*9.25%,0)</f>
        <v>1140.3361365098092</v>
      </c>
      <c r="J124" s="402">
        <f>IF($D124="Sim",'10 - Rodagem'!G86*9.25%,0)</f>
        <v>1140.3361365098092</v>
      </c>
      <c r="K124" s="402">
        <f>IF($D124="Sim",'10 - Rodagem'!H86*9.25%,0)</f>
        <v>1140.3361365098092</v>
      </c>
      <c r="L124" s="402">
        <f>IF($D124="Sim",'10 - Rodagem'!I86*9.25%,0)</f>
        <v>1140.3361365098092</v>
      </c>
      <c r="M124" s="402">
        <f>IF($D124="Sim",'10 - Rodagem'!J86*9.25%,0)</f>
        <v>1140.3361365098092</v>
      </c>
      <c r="N124" s="402">
        <f>IF($D124="Sim",'10 - Rodagem'!K86*9.25%,0)</f>
        <v>1140.3361365098092</v>
      </c>
      <c r="O124" s="402">
        <f>IF($D124="Sim",'10 - Rodagem'!L86*9.25%,0)</f>
        <v>1140.3361365098092</v>
      </c>
      <c r="P124" s="402">
        <f>IF($D124="Sim",'10 - Rodagem'!M86*9.25%,0)</f>
        <v>1140.3361365098092</v>
      </c>
      <c r="Q124" s="402">
        <f>IF($D124="Sim",'10 - Rodagem'!N86*9.25%,0)</f>
        <v>1140.3361365098092</v>
      </c>
      <c r="R124" s="402">
        <f>IF($D124="Sim",'10 - Rodagem'!O86*9.25%,0)</f>
        <v>1140.3361365098092</v>
      </c>
      <c r="S124" s="402">
        <f>IF($D124="Sim",'10 - Rodagem'!P86*9.25%,0)</f>
        <v>1140.3361365098092</v>
      </c>
      <c r="T124" s="402">
        <f>IF($D124="Sim",'10 - Rodagem'!Q86*9.25%,0)</f>
        <v>1140.3361365098092</v>
      </c>
      <c r="U124" s="402">
        <f>IF($D124="Sim",'10 - Rodagem'!R86*9.25%,0)</f>
        <v>1140.3361365098092</v>
      </c>
      <c r="V124" s="402">
        <f>IF($D124="Sim",'10 - Rodagem'!S86*9.25%,0)</f>
        <v>1140.3361365098092</v>
      </c>
      <c r="W124" s="402">
        <f>IF($D124="Sim",'10 - Rodagem'!T86*9.25%,0)</f>
        <v>1140.3361365098092</v>
      </c>
      <c r="X124" s="402">
        <f>IF($D124="Sim",'10 - Rodagem'!U86*9.25%,0)</f>
        <v>1140.3361365098092</v>
      </c>
      <c r="Y124" s="402">
        <f>IF($D124="Sim",'10 - Rodagem'!V86*9.25%,0)</f>
        <v>1140.3361365098092</v>
      </c>
      <c r="Z124" s="402">
        <f>IF($D124="Sim",'10 - Rodagem'!W86*9.25%,0)</f>
        <v>1140.3361365098092</v>
      </c>
      <c r="AA124" s="402">
        <f>IF($D124="Sim",'10 - Rodagem'!X86*9.25%,0)</f>
        <v>1140.3361365098092</v>
      </c>
      <c r="AB124" s="402">
        <f>IF($D124="Sim",'10 - Rodagem'!Y86*9.25%,0)</f>
        <v>1140.3361365098092</v>
      </c>
      <c r="AC124" s="402">
        <f>IF($D124="Sim",'10 - Rodagem'!Z86*9.25%,0)</f>
        <v>1140.3361365098092</v>
      </c>
      <c r="AD124" s="402">
        <f>IF($D124="Sim",'10 - Rodagem'!AA86*9.25%,0)</f>
        <v>1140.3361365098092</v>
      </c>
      <c r="AE124" s="402">
        <f>IF($D124="Sim",'10 - Rodagem'!AB86*9.25%,0)</f>
        <v>1140.3361365098092</v>
      </c>
      <c r="AF124" s="402">
        <f>IF($D124="Sim",'10 - Rodagem'!AC86*9.25%,0)</f>
        <v>1140.3361365098092</v>
      </c>
      <c r="AG124" s="402">
        <f>IF($D124="Sim",'10 - Rodagem'!AD86*9.25%,0)</f>
        <v>1140.3361365098092</v>
      </c>
      <c r="AH124" s="402">
        <f>IF($D124="Sim",'10 - Rodagem'!AE86*9.25%,0)</f>
        <v>1140.3361365098092</v>
      </c>
      <c r="AI124" s="402">
        <f>IF($D124="Sim",'10 - Rodagem'!AF86*9.25%,0)</f>
        <v>1140.3361365098092</v>
      </c>
      <c r="AJ124" s="402">
        <f>IF($D124="Sim",'10 - Rodagem'!AG86*9.25%,0)</f>
        <v>1140.3361365098092</v>
      </c>
      <c r="AK124" s="402">
        <f>IF($D124="Sim",'10 - Rodagem'!AH86*9.25%,0)</f>
        <v>1140.3361365098092</v>
      </c>
      <c r="AL124" s="402">
        <f>IF($D124="Sim",'10 - Rodagem'!AI86*9.25%,0)</f>
        <v>1140.3361365098092</v>
      </c>
      <c r="AM124" s="402">
        <f>IF($D124="Sim",'10 - Rodagem'!AJ86*9.25%,0)</f>
        <v>1140.3361365098092</v>
      </c>
      <c r="AN124" s="402">
        <f>IF($D124="Sim",'10 - Rodagem'!AK86*9.25%,0)</f>
        <v>1140.3361365098092</v>
      </c>
    </row>
    <row r="125" spans="2:40" ht="13.15" customHeight="1" outlineLevel="1" x14ac:dyDescent="0.2">
      <c r="B125" s="404" t="s">
        <v>963</v>
      </c>
      <c r="C125" s="413"/>
      <c r="D125" s="299" t="s">
        <v>1333</v>
      </c>
      <c r="E125" s="407">
        <f t="shared" si="14"/>
        <v>1967.3333803569583</v>
      </c>
      <c r="F125" s="402">
        <f>IF($D125="Sim",'10 - Rodagem'!C90*9.25%,0)</f>
        <v>56.209525153055999</v>
      </c>
      <c r="G125" s="402">
        <f>IF($D125="Sim",'10 - Rodagem'!D90*9.25%,0)</f>
        <v>56.209525153055999</v>
      </c>
      <c r="H125" s="402">
        <f>IF($D125="Sim",'10 - Rodagem'!E90*9.25%,0)</f>
        <v>56.209525153055999</v>
      </c>
      <c r="I125" s="402">
        <f>IF($D125="Sim",'10 - Rodagem'!F90*9.25%,0)</f>
        <v>56.209525153055999</v>
      </c>
      <c r="J125" s="402">
        <f>IF($D125="Sim",'10 - Rodagem'!G90*9.25%,0)</f>
        <v>56.209525153055999</v>
      </c>
      <c r="K125" s="402">
        <f>IF($D125="Sim",'10 - Rodagem'!H90*9.25%,0)</f>
        <v>56.209525153055999</v>
      </c>
      <c r="L125" s="402">
        <f>IF($D125="Sim",'10 - Rodagem'!I90*9.25%,0)</f>
        <v>56.209525153055999</v>
      </c>
      <c r="M125" s="402">
        <f>IF($D125="Sim",'10 - Rodagem'!J90*9.25%,0)</f>
        <v>56.209525153055999</v>
      </c>
      <c r="N125" s="402">
        <f>IF($D125="Sim",'10 - Rodagem'!K90*9.25%,0)</f>
        <v>56.209525153055999</v>
      </c>
      <c r="O125" s="402">
        <f>IF($D125="Sim",'10 - Rodagem'!L90*9.25%,0)</f>
        <v>56.209525153055999</v>
      </c>
      <c r="P125" s="402">
        <f>IF($D125="Sim",'10 - Rodagem'!M90*9.25%,0)</f>
        <v>56.209525153055999</v>
      </c>
      <c r="Q125" s="402">
        <f>IF($D125="Sim",'10 - Rodagem'!N90*9.25%,0)</f>
        <v>56.209525153055999</v>
      </c>
      <c r="R125" s="402">
        <f>IF($D125="Sim",'10 - Rodagem'!O90*9.25%,0)</f>
        <v>56.209525153055999</v>
      </c>
      <c r="S125" s="402">
        <f>IF($D125="Sim",'10 - Rodagem'!P90*9.25%,0)</f>
        <v>56.209525153055999</v>
      </c>
      <c r="T125" s="402">
        <f>IF($D125="Sim",'10 - Rodagem'!Q90*9.25%,0)</f>
        <v>56.209525153055999</v>
      </c>
      <c r="U125" s="402">
        <f>IF($D125="Sim",'10 - Rodagem'!R90*9.25%,0)</f>
        <v>56.209525153055999</v>
      </c>
      <c r="V125" s="402">
        <f>IF($D125="Sim",'10 - Rodagem'!S90*9.25%,0)</f>
        <v>56.209525153055999</v>
      </c>
      <c r="W125" s="402">
        <f>IF($D125="Sim",'10 - Rodagem'!T90*9.25%,0)</f>
        <v>56.209525153055999</v>
      </c>
      <c r="X125" s="402">
        <f>IF($D125="Sim",'10 - Rodagem'!U90*9.25%,0)</f>
        <v>56.209525153055999</v>
      </c>
      <c r="Y125" s="402">
        <f>IF($D125="Sim",'10 - Rodagem'!V90*9.25%,0)</f>
        <v>56.209525153055999</v>
      </c>
      <c r="Z125" s="402">
        <f>IF($D125="Sim",'10 - Rodagem'!W90*9.25%,0)</f>
        <v>56.209525153055999</v>
      </c>
      <c r="AA125" s="402">
        <f>IF($D125="Sim",'10 - Rodagem'!X90*9.25%,0)</f>
        <v>56.209525153055999</v>
      </c>
      <c r="AB125" s="402">
        <f>IF($D125="Sim",'10 - Rodagem'!Y90*9.25%,0)</f>
        <v>56.209525153055999</v>
      </c>
      <c r="AC125" s="402">
        <f>IF($D125="Sim",'10 - Rodagem'!Z90*9.25%,0)</f>
        <v>56.209525153055999</v>
      </c>
      <c r="AD125" s="402">
        <f>IF($D125="Sim",'10 - Rodagem'!AA90*9.25%,0)</f>
        <v>56.209525153055999</v>
      </c>
      <c r="AE125" s="402">
        <f>IF($D125="Sim",'10 - Rodagem'!AB90*9.25%,0)</f>
        <v>56.209525153055999</v>
      </c>
      <c r="AF125" s="402">
        <f>IF($D125="Sim",'10 - Rodagem'!AC90*9.25%,0)</f>
        <v>56.209525153055999</v>
      </c>
      <c r="AG125" s="402">
        <f>IF($D125="Sim",'10 - Rodagem'!AD90*9.25%,0)</f>
        <v>56.209525153055999</v>
      </c>
      <c r="AH125" s="402">
        <f>IF($D125="Sim",'10 - Rodagem'!AE90*9.25%,0)</f>
        <v>56.209525153055999</v>
      </c>
      <c r="AI125" s="402">
        <f>IF($D125="Sim",'10 - Rodagem'!AF90*9.25%,0)</f>
        <v>56.209525153055999</v>
      </c>
      <c r="AJ125" s="402">
        <f>IF($D125="Sim",'10 - Rodagem'!AG90*9.25%,0)</f>
        <v>56.209525153055999</v>
      </c>
      <c r="AK125" s="402">
        <f>IF($D125="Sim",'10 - Rodagem'!AH90*9.25%,0)</f>
        <v>56.209525153055999</v>
      </c>
      <c r="AL125" s="402">
        <f>IF($D125="Sim",'10 - Rodagem'!AI90*9.25%,0)</f>
        <v>56.209525153055999</v>
      </c>
      <c r="AM125" s="402">
        <f>IF($D125="Sim",'10 - Rodagem'!AJ90*9.25%,0)</f>
        <v>56.209525153055999</v>
      </c>
      <c r="AN125" s="402">
        <f>IF($D125="Sim",'10 - Rodagem'!AK90*9.25%,0)</f>
        <v>56.209525153055999</v>
      </c>
    </row>
    <row r="126" spans="2:40" ht="13.15" customHeight="1" outlineLevel="1" x14ac:dyDescent="0.2">
      <c r="B126" s="404" t="s">
        <v>967</v>
      </c>
      <c r="C126" s="413"/>
      <c r="D126" s="299" t="s">
        <v>1333</v>
      </c>
      <c r="E126" s="407">
        <f t="shared" si="14"/>
        <v>3934.6667607139166</v>
      </c>
      <c r="F126" s="402">
        <f>IF($D126="Sim",'10 - Rodagem'!C94*9.25%,0)</f>
        <v>112.419050306112</v>
      </c>
      <c r="G126" s="402">
        <f>IF($D126="Sim",'10 - Rodagem'!D94*9.25%,0)</f>
        <v>112.419050306112</v>
      </c>
      <c r="H126" s="402">
        <f>IF($D126="Sim",'10 - Rodagem'!E94*9.25%,0)</f>
        <v>112.419050306112</v>
      </c>
      <c r="I126" s="402">
        <f>IF($D126="Sim",'10 - Rodagem'!F94*9.25%,0)</f>
        <v>112.419050306112</v>
      </c>
      <c r="J126" s="402">
        <f>IF($D126="Sim",'10 - Rodagem'!G94*9.25%,0)</f>
        <v>112.419050306112</v>
      </c>
      <c r="K126" s="402">
        <f>IF($D126="Sim",'10 - Rodagem'!H94*9.25%,0)</f>
        <v>112.419050306112</v>
      </c>
      <c r="L126" s="402">
        <f>IF($D126="Sim",'10 - Rodagem'!I94*9.25%,0)</f>
        <v>112.419050306112</v>
      </c>
      <c r="M126" s="402">
        <f>IF($D126="Sim",'10 - Rodagem'!J94*9.25%,0)</f>
        <v>112.419050306112</v>
      </c>
      <c r="N126" s="402">
        <f>IF($D126="Sim",'10 - Rodagem'!K94*9.25%,0)</f>
        <v>112.419050306112</v>
      </c>
      <c r="O126" s="402">
        <f>IF($D126="Sim",'10 - Rodagem'!L94*9.25%,0)</f>
        <v>112.419050306112</v>
      </c>
      <c r="P126" s="402">
        <f>IF($D126="Sim",'10 - Rodagem'!M94*9.25%,0)</f>
        <v>112.419050306112</v>
      </c>
      <c r="Q126" s="402">
        <f>IF($D126="Sim",'10 - Rodagem'!N94*9.25%,0)</f>
        <v>112.419050306112</v>
      </c>
      <c r="R126" s="402">
        <f>IF($D126="Sim",'10 - Rodagem'!O94*9.25%,0)</f>
        <v>112.419050306112</v>
      </c>
      <c r="S126" s="402">
        <f>IF($D126="Sim",'10 - Rodagem'!P94*9.25%,0)</f>
        <v>112.419050306112</v>
      </c>
      <c r="T126" s="402">
        <f>IF($D126="Sim",'10 - Rodagem'!Q94*9.25%,0)</f>
        <v>112.419050306112</v>
      </c>
      <c r="U126" s="402">
        <f>IF($D126="Sim",'10 - Rodagem'!R94*9.25%,0)</f>
        <v>112.419050306112</v>
      </c>
      <c r="V126" s="402">
        <f>IF($D126="Sim",'10 - Rodagem'!S94*9.25%,0)</f>
        <v>112.419050306112</v>
      </c>
      <c r="W126" s="402">
        <f>IF($D126="Sim",'10 - Rodagem'!T94*9.25%,0)</f>
        <v>112.419050306112</v>
      </c>
      <c r="X126" s="402">
        <f>IF($D126="Sim",'10 - Rodagem'!U94*9.25%,0)</f>
        <v>112.419050306112</v>
      </c>
      <c r="Y126" s="402">
        <f>IF($D126="Sim",'10 - Rodagem'!V94*9.25%,0)</f>
        <v>112.419050306112</v>
      </c>
      <c r="Z126" s="402">
        <f>IF($D126="Sim",'10 - Rodagem'!W94*9.25%,0)</f>
        <v>112.419050306112</v>
      </c>
      <c r="AA126" s="402">
        <f>IF($D126="Sim",'10 - Rodagem'!X94*9.25%,0)</f>
        <v>112.419050306112</v>
      </c>
      <c r="AB126" s="402">
        <f>IF($D126="Sim",'10 - Rodagem'!Y94*9.25%,0)</f>
        <v>112.419050306112</v>
      </c>
      <c r="AC126" s="402">
        <f>IF($D126="Sim",'10 - Rodagem'!Z94*9.25%,0)</f>
        <v>112.419050306112</v>
      </c>
      <c r="AD126" s="402">
        <f>IF($D126="Sim",'10 - Rodagem'!AA94*9.25%,0)</f>
        <v>112.419050306112</v>
      </c>
      <c r="AE126" s="402">
        <f>IF($D126="Sim",'10 - Rodagem'!AB94*9.25%,0)</f>
        <v>112.419050306112</v>
      </c>
      <c r="AF126" s="402">
        <f>IF($D126="Sim",'10 - Rodagem'!AC94*9.25%,0)</f>
        <v>112.419050306112</v>
      </c>
      <c r="AG126" s="402">
        <f>IF($D126="Sim",'10 - Rodagem'!AD94*9.25%,0)</f>
        <v>112.419050306112</v>
      </c>
      <c r="AH126" s="402">
        <f>IF($D126="Sim",'10 - Rodagem'!AE94*9.25%,0)</f>
        <v>112.419050306112</v>
      </c>
      <c r="AI126" s="402">
        <f>IF($D126="Sim",'10 - Rodagem'!AF94*9.25%,0)</f>
        <v>112.419050306112</v>
      </c>
      <c r="AJ126" s="402">
        <f>IF($D126="Sim",'10 - Rodagem'!AG94*9.25%,0)</f>
        <v>112.419050306112</v>
      </c>
      <c r="AK126" s="402">
        <f>IF($D126="Sim",'10 - Rodagem'!AH94*9.25%,0)</f>
        <v>112.419050306112</v>
      </c>
      <c r="AL126" s="402">
        <f>IF($D126="Sim",'10 - Rodagem'!AI94*9.25%,0)</f>
        <v>112.419050306112</v>
      </c>
      <c r="AM126" s="402">
        <f>IF($D126="Sim",'10 - Rodagem'!AJ94*9.25%,0)</f>
        <v>112.419050306112</v>
      </c>
      <c r="AN126" s="402">
        <f>IF($D126="Sim",'10 - Rodagem'!AK94*9.25%,0)</f>
        <v>112.419050306112</v>
      </c>
    </row>
    <row r="127" spans="2:40" s="8" customFormat="1" ht="13.15" customHeight="1" x14ac:dyDescent="0.2">
      <c r="B127" s="323" t="s">
        <v>1363</v>
      </c>
      <c r="C127" s="418"/>
      <c r="D127" s="391"/>
      <c r="E127" s="392">
        <f t="shared" ref="E127:AN127" si="17">SUM(E128:E139)</f>
        <v>9499626.1989866681</v>
      </c>
      <c r="F127" s="392">
        <f t="shared" si="17"/>
        <v>242803.05963500001</v>
      </c>
      <c r="G127" s="392">
        <f t="shared" si="17"/>
        <v>244692.63079583336</v>
      </c>
      <c r="H127" s="392">
        <f t="shared" si="17"/>
        <v>252509.37379000001</v>
      </c>
      <c r="I127" s="392">
        <f t="shared" si="17"/>
        <v>252512.08404000002</v>
      </c>
      <c r="J127" s="392">
        <f t="shared" si="17"/>
        <v>258406.17445083338</v>
      </c>
      <c r="K127" s="392">
        <f t="shared" si="17"/>
        <v>267783.07520083332</v>
      </c>
      <c r="L127" s="392">
        <f t="shared" si="17"/>
        <v>267785.78545083333</v>
      </c>
      <c r="M127" s="392">
        <f t="shared" si="17"/>
        <v>275467.91045083327</v>
      </c>
      <c r="N127" s="392">
        <f t="shared" si="17"/>
        <v>275467.91045083327</v>
      </c>
      <c r="O127" s="392">
        <f t="shared" si="17"/>
        <v>275467.91045083327</v>
      </c>
      <c r="P127" s="392">
        <f t="shared" si="17"/>
        <v>275467.91045083327</v>
      </c>
      <c r="Q127" s="392">
        <f t="shared" si="17"/>
        <v>275470.62070083327</v>
      </c>
      <c r="R127" s="392">
        <f t="shared" si="17"/>
        <v>275470.62070083327</v>
      </c>
      <c r="S127" s="392">
        <f t="shared" si="17"/>
        <v>275470.62070083327</v>
      </c>
      <c r="T127" s="392">
        <f t="shared" si="17"/>
        <v>275470.62070083327</v>
      </c>
      <c r="U127" s="392">
        <f t="shared" si="17"/>
        <v>275470.62070083327</v>
      </c>
      <c r="V127" s="392">
        <f t="shared" si="17"/>
        <v>275470.62070083327</v>
      </c>
      <c r="W127" s="392">
        <f t="shared" si="17"/>
        <v>275470.62070083327</v>
      </c>
      <c r="X127" s="392">
        <f t="shared" si="17"/>
        <v>275470.62070083327</v>
      </c>
      <c r="Y127" s="392">
        <f t="shared" si="17"/>
        <v>275470.62070083327</v>
      </c>
      <c r="Z127" s="392">
        <f t="shared" si="17"/>
        <v>275470.62070083327</v>
      </c>
      <c r="AA127" s="392">
        <f t="shared" si="17"/>
        <v>275470.62070083327</v>
      </c>
      <c r="AB127" s="392">
        <f t="shared" si="17"/>
        <v>275470.62070083327</v>
      </c>
      <c r="AC127" s="392">
        <f t="shared" si="17"/>
        <v>275470.62070083327</v>
      </c>
      <c r="AD127" s="392">
        <f t="shared" si="17"/>
        <v>275470.62070083327</v>
      </c>
      <c r="AE127" s="392">
        <f t="shared" si="17"/>
        <v>275470.62070083327</v>
      </c>
      <c r="AF127" s="392">
        <f t="shared" si="17"/>
        <v>275467.91045083327</v>
      </c>
      <c r="AG127" s="392">
        <f t="shared" si="17"/>
        <v>275467.91045083327</v>
      </c>
      <c r="AH127" s="392">
        <f t="shared" si="17"/>
        <v>275467.91045083327</v>
      </c>
      <c r="AI127" s="392">
        <f t="shared" si="17"/>
        <v>275467.91045083327</v>
      </c>
      <c r="AJ127" s="392">
        <f t="shared" si="17"/>
        <v>275467.91045083327</v>
      </c>
      <c r="AK127" s="392">
        <f t="shared" si="17"/>
        <v>275467.91045083327</v>
      </c>
      <c r="AL127" s="392">
        <f t="shared" si="17"/>
        <v>275465.20020083326</v>
      </c>
      <c r="AM127" s="392">
        <f t="shared" si="17"/>
        <v>275465.20020083326</v>
      </c>
      <c r="AN127" s="392">
        <f t="shared" si="17"/>
        <v>275465.20020083326</v>
      </c>
    </row>
    <row r="128" spans="2:40" ht="13.15" customHeight="1" outlineLevel="1" x14ac:dyDescent="0.2">
      <c r="B128" s="404" t="s">
        <v>784</v>
      </c>
      <c r="C128" s="413"/>
      <c r="D128" s="299" t="s">
        <v>1333</v>
      </c>
      <c r="E128" s="407">
        <f t="shared" si="14"/>
        <v>3551225.0164999985</v>
      </c>
      <c r="F128" s="402">
        <f>IF($D128="Sim",SUM('11 - Manutenção'!C8:C13)*9.25%,0)</f>
        <v>93426.228400000007</v>
      </c>
      <c r="G128" s="402">
        <f>IF($D128="Sim",SUM('11 - Manutenção'!D8:D13)*9.25%,0)</f>
        <v>93426.228400000007</v>
      </c>
      <c r="H128" s="402">
        <f>IF($D128="Sim",SUM('11 - Manutenção'!E8:E13)*9.25%,0)</f>
        <v>93426.228400000007</v>
      </c>
      <c r="I128" s="402">
        <f>IF($D128="Sim",SUM('11 - Manutenção'!F8:F13)*9.25%,0)</f>
        <v>93426.228400000007</v>
      </c>
      <c r="J128" s="402">
        <f>IF($D128="Sim",SUM('11 - Manutenção'!G8:G13)*9.25%,0)</f>
        <v>93426.228400000007</v>
      </c>
      <c r="K128" s="402">
        <f>IF($D128="Sim",SUM('11 - Manutenção'!H8:H13)*9.25%,0)</f>
        <v>102803.12914999999</v>
      </c>
      <c r="L128" s="402">
        <f>IF($D128="Sim",SUM('11 - Manutenção'!I8:I13)*9.25%,0)</f>
        <v>102803.12914999999</v>
      </c>
      <c r="M128" s="402">
        <f>IF($D128="Sim",SUM('11 - Manutenção'!J8:J13)*9.25%,0)</f>
        <v>102803.12914999999</v>
      </c>
      <c r="N128" s="402">
        <f>IF($D128="Sim",SUM('11 - Manutenção'!K8:K13)*9.25%,0)</f>
        <v>102803.12914999999</v>
      </c>
      <c r="O128" s="402">
        <f>IF($D128="Sim",SUM('11 - Manutenção'!L8:L13)*9.25%,0)</f>
        <v>102803.12914999999</v>
      </c>
      <c r="P128" s="402">
        <f>IF($D128="Sim",SUM('11 - Manutenção'!M8:M13)*9.25%,0)</f>
        <v>102803.12914999999</v>
      </c>
      <c r="Q128" s="402">
        <f>IF($D128="Sim",SUM('11 - Manutenção'!N8:N13)*9.25%,0)</f>
        <v>102803.12914999999</v>
      </c>
      <c r="R128" s="402">
        <f>IF($D128="Sim",SUM('11 - Manutenção'!O8:O13)*9.25%,0)</f>
        <v>102803.12914999999</v>
      </c>
      <c r="S128" s="402">
        <f>IF($D128="Sim",SUM('11 - Manutenção'!P8:P13)*9.25%,0)</f>
        <v>102803.12914999999</v>
      </c>
      <c r="T128" s="402">
        <f>IF($D128="Sim",SUM('11 - Manutenção'!Q8:Q13)*9.25%,0)</f>
        <v>102803.12914999999</v>
      </c>
      <c r="U128" s="402">
        <f>IF($D128="Sim",SUM('11 - Manutenção'!R8:R13)*9.25%,0)</f>
        <v>102803.12914999999</v>
      </c>
      <c r="V128" s="402">
        <f>IF($D128="Sim",SUM('11 - Manutenção'!S8:S13)*9.25%,0)</f>
        <v>102803.12914999999</v>
      </c>
      <c r="W128" s="402">
        <f>IF($D128="Sim",SUM('11 - Manutenção'!T8:T13)*9.25%,0)</f>
        <v>102803.12914999999</v>
      </c>
      <c r="X128" s="402">
        <f>IF($D128="Sim",SUM('11 - Manutenção'!U8:U13)*9.25%,0)</f>
        <v>102803.12914999999</v>
      </c>
      <c r="Y128" s="402">
        <f>IF($D128="Sim",SUM('11 - Manutenção'!V8:V13)*9.25%,0)</f>
        <v>102803.12914999999</v>
      </c>
      <c r="Z128" s="402">
        <f>IF($D128="Sim",SUM('11 - Manutenção'!W8:W13)*9.25%,0)</f>
        <v>102803.12914999999</v>
      </c>
      <c r="AA128" s="402">
        <f>IF($D128="Sim",SUM('11 - Manutenção'!X8:X13)*9.25%,0)</f>
        <v>102803.12914999999</v>
      </c>
      <c r="AB128" s="402">
        <f>IF($D128="Sim",SUM('11 - Manutenção'!Y8:Y13)*9.25%,0)</f>
        <v>102803.12914999999</v>
      </c>
      <c r="AC128" s="402">
        <f>IF($D128="Sim",SUM('11 - Manutenção'!Z8:Z13)*9.25%,0)</f>
        <v>102803.12914999999</v>
      </c>
      <c r="AD128" s="402">
        <f>IF($D128="Sim",SUM('11 - Manutenção'!AA8:AA13)*9.25%,0)</f>
        <v>102803.12914999999</v>
      </c>
      <c r="AE128" s="402">
        <f>IF($D128="Sim",SUM('11 - Manutenção'!AB8:AB13)*9.25%,0)</f>
        <v>102803.12914999999</v>
      </c>
      <c r="AF128" s="402">
        <f>IF($D128="Sim",SUM('11 - Manutenção'!AC8:AC13)*9.25%,0)</f>
        <v>102803.12914999999</v>
      </c>
      <c r="AG128" s="402">
        <f>IF($D128="Sim",SUM('11 - Manutenção'!AD8:AD13)*9.25%,0)</f>
        <v>102803.12914999999</v>
      </c>
      <c r="AH128" s="402">
        <f>IF($D128="Sim",SUM('11 - Manutenção'!AE8:AE13)*9.25%,0)</f>
        <v>102803.12914999999</v>
      </c>
      <c r="AI128" s="402">
        <f>IF($D128="Sim",SUM('11 - Manutenção'!AF8:AF13)*9.25%,0)</f>
        <v>102803.12914999999</v>
      </c>
      <c r="AJ128" s="402">
        <f>IF($D128="Sim",SUM('11 - Manutenção'!AG8:AG13)*9.25%,0)</f>
        <v>102803.12914999999</v>
      </c>
      <c r="AK128" s="402">
        <f>IF($D128="Sim",SUM('11 - Manutenção'!AH8:AH13)*9.25%,0)</f>
        <v>102803.12914999999</v>
      </c>
      <c r="AL128" s="402">
        <f>IF($D128="Sim",SUM('11 - Manutenção'!AI8:AI13)*9.25%,0)</f>
        <v>102803.12914999999</v>
      </c>
      <c r="AM128" s="402">
        <f>IF($D128="Sim",SUM('11 - Manutenção'!AJ8:AJ13)*9.25%,0)</f>
        <v>102803.12914999999</v>
      </c>
      <c r="AN128" s="402">
        <f>IF($D128="Sim",SUM('11 - Manutenção'!AK8:AK13)*9.25%,0)</f>
        <v>102803.12914999999</v>
      </c>
    </row>
    <row r="129" spans="2:40" ht="13.15" customHeight="1" outlineLevel="1" x14ac:dyDescent="0.2">
      <c r="B129" s="404" t="s">
        <v>795</v>
      </c>
      <c r="C129" s="413"/>
      <c r="D129" s="299" t="s">
        <v>1333</v>
      </c>
      <c r="E129" s="407">
        <f t="shared" si="14"/>
        <v>2673150.0075000012</v>
      </c>
      <c r="F129" s="402">
        <f>IF($D129="Sim",SUM('11 - Manutenção'!C15:C18)*9.25%,0)</f>
        <v>70230.014500000005</v>
      </c>
      <c r="G129" s="402">
        <f>IF($D129="Sim",SUM('11 - Manutenção'!D15:D18)*9.25%,0)</f>
        <v>70230.014500000005</v>
      </c>
      <c r="H129" s="402">
        <f>IF($D129="Sim",SUM('11 - Manutenção'!E15:E18)*9.25%,0)</f>
        <v>70230.014500000005</v>
      </c>
      <c r="I129" s="402">
        <f>IF($D129="Sim",SUM('11 - Manutenção'!F15:F18)*9.25%,0)</f>
        <v>70230.014500000005</v>
      </c>
      <c r="J129" s="402">
        <f>IF($D129="Sim",SUM('11 - Manutenção'!G15:G18)*9.25%,0)</f>
        <v>70230.014500000005</v>
      </c>
      <c r="K129" s="402">
        <f>IF($D129="Sim",SUM('11 - Manutenção'!H15:H18)*9.25%,0)</f>
        <v>70230.014500000005</v>
      </c>
      <c r="L129" s="402">
        <f>IF($D129="Sim",SUM('11 - Manutenção'!I15:I18)*9.25%,0)</f>
        <v>70230.014500000005</v>
      </c>
      <c r="M129" s="402">
        <f>IF($D129="Sim",SUM('11 - Manutenção'!J15:J18)*9.25%,0)</f>
        <v>77912.139500000005</v>
      </c>
      <c r="N129" s="402">
        <f>IF($D129="Sim",SUM('11 - Manutenção'!K15:K18)*9.25%,0)</f>
        <v>77912.139500000005</v>
      </c>
      <c r="O129" s="402">
        <f>IF($D129="Sim",SUM('11 - Manutenção'!L15:L18)*9.25%,0)</f>
        <v>77912.139500000005</v>
      </c>
      <c r="P129" s="402">
        <f>IF($D129="Sim",SUM('11 - Manutenção'!M15:M18)*9.25%,0)</f>
        <v>77912.139500000005</v>
      </c>
      <c r="Q129" s="402">
        <f>IF($D129="Sim",SUM('11 - Manutenção'!N15:N18)*9.25%,0)</f>
        <v>77912.139500000005</v>
      </c>
      <c r="R129" s="402">
        <f>IF($D129="Sim",SUM('11 - Manutenção'!O15:O18)*9.25%,0)</f>
        <v>77912.139500000005</v>
      </c>
      <c r="S129" s="402">
        <f>IF($D129="Sim",SUM('11 - Manutenção'!P15:P18)*9.25%,0)</f>
        <v>77912.139500000005</v>
      </c>
      <c r="T129" s="402">
        <f>IF($D129="Sim",SUM('11 - Manutenção'!Q15:Q18)*9.25%,0)</f>
        <v>77912.139500000005</v>
      </c>
      <c r="U129" s="402">
        <f>IF($D129="Sim",SUM('11 - Manutenção'!R15:R18)*9.25%,0)</f>
        <v>77912.139500000005</v>
      </c>
      <c r="V129" s="402">
        <f>IF($D129="Sim",SUM('11 - Manutenção'!S15:S18)*9.25%,0)</f>
        <v>77912.139500000005</v>
      </c>
      <c r="W129" s="402">
        <f>IF($D129="Sim",SUM('11 - Manutenção'!T15:T18)*9.25%,0)</f>
        <v>77912.139500000005</v>
      </c>
      <c r="X129" s="402">
        <f>IF($D129="Sim",SUM('11 - Manutenção'!U15:U18)*9.25%,0)</f>
        <v>77912.139500000005</v>
      </c>
      <c r="Y129" s="402">
        <f>IF($D129="Sim",SUM('11 - Manutenção'!V15:V18)*9.25%,0)</f>
        <v>77912.139500000005</v>
      </c>
      <c r="Z129" s="402">
        <f>IF($D129="Sim",SUM('11 - Manutenção'!W15:W18)*9.25%,0)</f>
        <v>77912.139500000005</v>
      </c>
      <c r="AA129" s="402">
        <f>IF($D129="Sim",SUM('11 - Manutenção'!X15:X18)*9.25%,0)</f>
        <v>77912.139500000005</v>
      </c>
      <c r="AB129" s="402">
        <f>IF($D129="Sim",SUM('11 - Manutenção'!Y15:Y18)*9.25%,0)</f>
        <v>77912.139500000005</v>
      </c>
      <c r="AC129" s="402">
        <f>IF($D129="Sim",SUM('11 - Manutenção'!Z15:Z18)*9.25%,0)</f>
        <v>77912.139500000005</v>
      </c>
      <c r="AD129" s="402">
        <f>IF($D129="Sim",SUM('11 - Manutenção'!AA15:AA18)*9.25%,0)</f>
        <v>77912.139500000005</v>
      </c>
      <c r="AE129" s="402">
        <f>IF($D129="Sim",SUM('11 - Manutenção'!AB15:AB18)*9.25%,0)</f>
        <v>77912.139500000005</v>
      </c>
      <c r="AF129" s="402">
        <f>IF($D129="Sim",SUM('11 - Manutenção'!AC15:AC18)*9.25%,0)</f>
        <v>77912.139500000005</v>
      </c>
      <c r="AG129" s="402">
        <f>IF($D129="Sim",SUM('11 - Manutenção'!AD15:AD18)*9.25%,0)</f>
        <v>77912.139500000005</v>
      </c>
      <c r="AH129" s="402">
        <f>IF($D129="Sim",SUM('11 - Manutenção'!AE15:AE18)*9.25%,0)</f>
        <v>77912.139500000005</v>
      </c>
      <c r="AI129" s="402">
        <f>IF($D129="Sim",SUM('11 - Manutenção'!AF15:AF18)*9.25%,0)</f>
        <v>77912.139500000005</v>
      </c>
      <c r="AJ129" s="402">
        <f>IF($D129="Sim",SUM('11 - Manutenção'!AG15:AG18)*9.25%,0)</f>
        <v>77912.139500000005</v>
      </c>
      <c r="AK129" s="402">
        <f>IF($D129="Sim",SUM('11 - Manutenção'!AH15:AH18)*9.25%,0)</f>
        <v>77912.139500000005</v>
      </c>
      <c r="AL129" s="402">
        <f>IF($D129="Sim",SUM('11 - Manutenção'!AI15:AI18)*9.25%,0)</f>
        <v>77912.139500000005</v>
      </c>
      <c r="AM129" s="402">
        <f>IF($D129="Sim",SUM('11 - Manutenção'!AJ15:AJ18)*9.25%,0)</f>
        <v>77912.139500000005</v>
      </c>
      <c r="AN129" s="402">
        <f>IF($D129="Sim",SUM('11 - Manutenção'!AK15:AK18)*9.25%,0)</f>
        <v>77912.139500000005</v>
      </c>
    </row>
    <row r="130" spans="2:40" ht="13.15" customHeight="1" outlineLevel="1" x14ac:dyDescent="0.2">
      <c r="B130" s="404" t="s">
        <v>800</v>
      </c>
      <c r="C130" s="413"/>
      <c r="D130" s="299" t="s">
        <v>1333</v>
      </c>
      <c r="E130" s="407">
        <f t="shared" si="14"/>
        <v>32638.856249999993</v>
      </c>
      <c r="F130" s="402">
        <f>IF($D130="Sim",SUM('11 - Manutenção'!C20)*9.25%,0)</f>
        <v>932.53874999999994</v>
      </c>
      <c r="G130" s="402">
        <f>IF($D130="Sim",SUM('11 - Manutenção'!D20)*9.25%,0)</f>
        <v>932.53874999999994</v>
      </c>
      <c r="H130" s="402">
        <f>IF($D130="Sim",SUM('11 - Manutenção'!E20)*9.25%,0)</f>
        <v>932.53874999999994</v>
      </c>
      <c r="I130" s="402">
        <f>IF($D130="Sim",SUM('11 - Manutenção'!F20)*9.25%,0)</f>
        <v>932.53874999999994</v>
      </c>
      <c r="J130" s="402">
        <f>IF($D130="Sim",SUM('11 - Manutenção'!G20)*9.25%,0)</f>
        <v>932.53874999999994</v>
      </c>
      <c r="K130" s="402">
        <f>IF($D130="Sim",SUM('11 - Manutenção'!H20)*9.25%,0)</f>
        <v>932.53874999999994</v>
      </c>
      <c r="L130" s="402">
        <f>IF($D130="Sim",SUM('11 - Manutenção'!I20)*9.25%,0)</f>
        <v>932.53874999999994</v>
      </c>
      <c r="M130" s="402">
        <f>IF($D130="Sim",SUM('11 - Manutenção'!J20)*9.25%,0)</f>
        <v>932.53874999999994</v>
      </c>
      <c r="N130" s="402">
        <f>IF($D130="Sim",SUM('11 - Manutenção'!K20)*9.25%,0)</f>
        <v>932.53874999999994</v>
      </c>
      <c r="O130" s="402">
        <f>IF($D130="Sim",SUM('11 - Manutenção'!L20)*9.25%,0)</f>
        <v>932.53874999999994</v>
      </c>
      <c r="P130" s="402">
        <f>IF($D130="Sim",SUM('11 - Manutenção'!M20)*9.25%,0)</f>
        <v>932.53874999999994</v>
      </c>
      <c r="Q130" s="402">
        <f>IF($D130="Sim",SUM('11 - Manutenção'!N20)*9.25%,0)</f>
        <v>932.53874999999994</v>
      </c>
      <c r="R130" s="402">
        <f>IF($D130="Sim",SUM('11 - Manutenção'!O20)*9.25%,0)</f>
        <v>932.53874999999994</v>
      </c>
      <c r="S130" s="402">
        <f>IF($D130="Sim",SUM('11 - Manutenção'!P20)*9.25%,0)</f>
        <v>932.53874999999994</v>
      </c>
      <c r="T130" s="402">
        <f>IF($D130="Sim",SUM('11 - Manutenção'!Q20)*9.25%,0)</f>
        <v>932.53874999999994</v>
      </c>
      <c r="U130" s="402">
        <f>IF($D130="Sim",SUM('11 - Manutenção'!R20)*9.25%,0)</f>
        <v>932.53874999999994</v>
      </c>
      <c r="V130" s="402">
        <f>IF($D130="Sim",SUM('11 - Manutenção'!S20)*9.25%,0)</f>
        <v>932.53874999999994</v>
      </c>
      <c r="W130" s="402">
        <f>IF($D130="Sim",SUM('11 - Manutenção'!T20)*9.25%,0)</f>
        <v>932.53874999999994</v>
      </c>
      <c r="X130" s="402">
        <f>IF($D130="Sim",SUM('11 - Manutenção'!U20)*9.25%,0)</f>
        <v>932.53874999999994</v>
      </c>
      <c r="Y130" s="402">
        <f>IF($D130="Sim",SUM('11 - Manutenção'!V20)*9.25%,0)</f>
        <v>932.53874999999994</v>
      </c>
      <c r="Z130" s="402">
        <f>IF($D130="Sim",SUM('11 - Manutenção'!W20)*9.25%,0)</f>
        <v>932.53874999999994</v>
      </c>
      <c r="AA130" s="402">
        <f>IF($D130="Sim",SUM('11 - Manutenção'!X20)*9.25%,0)</f>
        <v>932.53874999999994</v>
      </c>
      <c r="AB130" s="402">
        <f>IF($D130="Sim",SUM('11 - Manutenção'!Y20)*9.25%,0)</f>
        <v>932.53874999999994</v>
      </c>
      <c r="AC130" s="402">
        <f>IF($D130="Sim",SUM('11 - Manutenção'!Z20)*9.25%,0)</f>
        <v>932.53874999999994</v>
      </c>
      <c r="AD130" s="402">
        <f>IF($D130="Sim",SUM('11 - Manutenção'!AA20)*9.25%,0)</f>
        <v>932.53874999999994</v>
      </c>
      <c r="AE130" s="402">
        <f>IF($D130="Sim",SUM('11 - Manutenção'!AB20)*9.25%,0)</f>
        <v>932.53874999999994</v>
      </c>
      <c r="AF130" s="402">
        <f>IF($D130="Sim",SUM('11 - Manutenção'!AC20)*9.25%,0)</f>
        <v>932.53874999999994</v>
      </c>
      <c r="AG130" s="402">
        <f>IF($D130="Sim",SUM('11 - Manutenção'!AD20)*9.25%,0)</f>
        <v>932.53874999999994</v>
      </c>
      <c r="AH130" s="402">
        <f>IF($D130="Sim",SUM('11 - Manutenção'!AE20)*9.25%,0)</f>
        <v>932.53874999999994</v>
      </c>
      <c r="AI130" s="402">
        <f>IF($D130="Sim",SUM('11 - Manutenção'!AF20)*9.25%,0)</f>
        <v>932.53874999999994</v>
      </c>
      <c r="AJ130" s="402">
        <f>IF($D130="Sim",SUM('11 - Manutenção'!AG20)*9.25%,0)</f>
        <v>932.53874999999994</v>
      </c>
      <c r="AK130" s="402">
        <f>IF($D130="Sim",SUM('11 - Manutenção'!AH20)*9.25%,0)</f>
        <v>932.53874999999994</v>
      </c>
      <c r="AL130" s="402">
        <f>IF($D130="Sim",SUM('11 - Manutenção'!AI20)*9.25%,0)</f>
        <v>932.53874999999994</v>
      </c>
      <c r="AM130" s="402">
        <f>IF($D130="Sim",SUM('11 - Manutenção'!AJ20)*9.25%,0)</f>
        <v>932.53874999999994</v>
      </c>
      <c r="AN130" s="402">
        <f>IF($D130="Sim",SUM('11 - Manutenção'!AK20)*9.25%,0)</f>
        <v>932.53874999999994</v>
      </c>
    </row>
    <row r="131" spans="2:40" ht="13.15" customHeight="1" outlineLevel="1" x14ac:dyDescent="0.2">
      <c r="B131" s="404" t="s">
        <v>801</v>
      </c>
      <c r="C131" s="413"/>
      <c r="D131" s="299" t="s">
        <v>1333</v>
      </c>
      <c r="E131" s="407">
        <f t="shared" si="14"/>
        <v>24367.691250000003</v>
      </c>
      <c r="F131" s="402">
        <f>IF($D131="Sim",SUM('11 - Manutenção'!C22)*9.25%,0)</f>
        <v>696.21975000000009</v>
      </c>
      <c r="G131" s="402">
        <f>IF($D131="Sim",SUM('11 - Manutenção'!D22)*9.25%,0)</f>
        <v>696.21975000000009</v>
      </c>
      <c r="H131" s="402">
        <f>IF($D131="Sim",SUM('11 - Manutenção'!E22)*9.25%,0)</f>
        <v>696.21975000000009</v>
      </c>
      <c r="I131" s="402">
        <f>IF($D131="Sim",SUM('11 - Manutenção'!F22)*9.25%,0)</f>
        <v>696.21975000000009</v>
      </c>
      <c r="J131" s="402">
        <f>IF($D131="Sim",SUM('11 - Manutenção'!G22)*9.25%,0)</f>
        <v>696.21975000000009</v>
      </c>
      <c r="K131" s="402">
        <f>IF($D131="Sim",SUM('11 - Manutenção'!H22)*9.25%,0)</f>
        <v>696.21975000000009</v>
      </c>
      <c r="L131" s="402">
        <f>IF($D131="Sim",SUM('11 - Manutenção'!I22)*9.25%,0)</f>
        <v>696.21975000000009</v>
      </c>
      <c r="M131" s="402">
        <f>IF($D131="Sim",SUM('11 - Manutenção'!J22)*9.25%,0)</f>
        <v>696.21975000000009</v>
      </c>
      <c r="N131" s="402">
        <f>IF($D131="Sim",SUM('11 - Manutenção'!K22)*9.25%,0)</f>
        <v>696.21975000000009</v>
      </c>
      <c r="O131" s="402">
        <f>IF($D131="Sim",SUM('11 - Manutenção'!L22)*9.25%,0)</f>
        <v>696.21975000000009</v>
      </c>
      <c r="P131" s="402">
        <f>IF($D131="Sim",SUM('11 - Manutenção'!M22)*9.25%,0)</f>
        <v>696.21975000000009</v>
      </c>
      <c r="Q131" s="402">
        <f>IF($D131="Sim",SUM('11 - Manutenção'!N22)*9.25%,0)</f>
        <v>696.21975000000009</v>
      </c>
      <c r="R131" s="402">
        <f>IF($D131="Sim",SUM('11 - Manutenção'!O22)*9.25%,0)</f>
        <v>696.21975000000009</v>
      </c>
      <c r="S131" s="402">
        <f>IF($D131="Sim",SUM('11 - Manutenção'!P22)*9.25%,0)</f>
        <v>696.21975000000009</v>
      </c>
      <c r="T131" s="402">
        <f>IF($D131="Sim",SUM('11 - Manutenção'!Q22)*9.25%,0)</f>
        <v>696.21975000000009</v>
      </c>
      <c r="U131" s="402">
        <f>IF($D131="Sim",SUM('11 - Manutenção'!R22)*9.25%,0)</f>
        <v>696.21975000000009</v>
      </c>
      <c r="V131" s="402">
        <f>IF($D131="Sim",SUM('11 - Manutenção'!S22)*9.25%,0)</f>
        <v>696.21975000000009</v>
      </c>
      <c r="W131" s="402">
        <f>IF($D131="Sim",SUM('11 - Manutenção'!T22)*9.25%,0)</f>
        <v>696.21975000000009</v>
      </c>
      <c r="X131" s="402">
        <f>IF($D131="Sim",SUM('11 - Manutenção'!U22)*9.25%,0)</f>
        <v>696.21975000000009</v>
      </c>
      <c r="Y131" s="402">
        <f>IF($D131="Sim",SUM('11 - Manutenção'!V22)*9.25%,0)</f>
        <v>696.21975000000009</v>
      </c>
      <c r="Z131" s="402">
        <f>IF($D131="Sim",SUM('11 - Manutenção'!W22)*9.25%,0)</f>
        <v>696.21975000000009</v>
      </c>
      <c r="AA131" s="402">
        <f>IF($D131="Sim",SUM('11 - Manutenção'!X22)*9.25%,0)</f>
        <v>696.21975000000009</v>
      </c>
      <c r="AB131" s="402">
        <f>IF($D131="Sim",SUM('11 - Manutenção'!Y22)*9.25%,0)</f>
        <v>696.21975000000009</v>
      </c>
      <c r="AC131" s="402">
        <f>IF($D131="Sim",SUM('11 - Manutenção'!Z22)*9.25%,0)</f>
        <v>696.21975000000009</v>
      </c>
      <c r="AD131" s="402">
        <f>IF($D131="Sim",SUM('11 - Manutenção'!AA22)*9.25%,0)</f>
        <v>696.21975000000009</v>
      </c>
      <c r="AE131" s="402">
        <f>IF($D131="Sim",SUM('11 - Manutenção'!AB22)*9.25%,0)</f>
        <v>696.21975000000009</v>
      </c>
      <c r="AF131" s="402">
        <f>IF($D131="Sim",SUM('11 - Manutenção'!AC22)*9.25%,0)</f>
        <v>696.21975000000009</v>
      </c>
      <c r="AG131" s="402">
        <f>IF($D131="Sim",SUM('11 - Manutenção'!AD22)*9.25%,0)</f>
        <v>696.21975000000009</v>
      </c>
      <c r="AH131" s="402">
        <f>IF($D131="Sim",SUM('11 - Manutenção'!AE22)*9.25%,0)</f>
        <v>696.21975000000009</v>
      </c>
      <c r="AI131" s="402">
        <f>IF($D131="Sim",SUM('11 - Manutenção'!AF22)*9.25%,0)</f>
        <v>696.21975000000009</v>
      </c>
      <c r="AJ131" s="402">
        <f>IF($D131="Sim",SUM('11 - Manutenção'!AG22)*9.25%,0)</f>
        <v>696.21975000000009</v>
      </c>
      <c r="AK131" s="402">
        <f>IF($D131="Sim",SUM('11 - Manutenção'!AH22)*9.25%,0)</f>
        <v>696.21975000000009</v>
      </c>
      <c r="AL131" s="402">
        <f>IF($D131="Sim",SUM('11 - Manutenção'!AI22)*9.25%,0)</f>
        <v>696.21975000000009</v>
      </c>
      <c r="AM131" s="402">
        <f>IF($D131="Sim",SUM('11 - Manutenção'!AJ22)*9.25%,0)</f>
        <v>696.21975000000009</v>
      </c>
      <c r="AN131" s="402">
        <f>IF($D131="Sim",SUM('11 - Manutenção'!AK22)*9.25%,0)</f>
        <v>696.21975000000009</v>
      </c>
    </row>
    <row r="132" spans="2:40" ht="13.15" customHeight="1" outlineLevel="1" x14ac:dyDescent="0.2">
      <c r="B132" s="404" t="s">
        <v>803</v>
      </c>
      <c r="C132" s="413"/>
      <c r="D132" s="299" t="s">
        <v>1333</v>
      </c>
      <c r="E132" s="407">
        <f t="shared" si="14"/>
        <v>24367.691250000003</v>
      </c>
      <c r="F132" s="402">
        <f>IF($D132="Sim",'11 - Manutenção'!C24*9.25%,0)</f>
        <v>696.21975000000009</v>
      </c>
      <c r="G132" s="402">
        <f>IF($D132="Sim",'11 - Manutenção'!D24*9.25%,0)</f>
        <v>696.21975000000009</v>
      </c>
      <c r="H132" s="402">
        <f>IF($D132="Sim",'11 - Manutenção'!E24*9.25%,0)</f>
        <v>696.21975000000009</v>
      </c>
      <c r="I132" s="402">
        <f>IF($D132="Sim",'11 - Manutenção'!F24*9.25%,0)</f>
        <v>696.21975000000009</v>
      </c>
      <c r="J132" s="402">
        <f>IF($D132="Sim",'11 - Manutenção'!G24*9.25%,0)</f>
        <v>696.21975000000009</v>
      </c>
      <c r="K132" s="402">
        <f>IF($D132="Sim",'11 - Manutenção'!H24*9.25%,0)</f>
        <v>696.21975000000009</v>
      </c>
      <c r="L132" s="402">
        <f>IF($D132="Sim",'11 - Manutenção'!I24*9.25%,0)</f>
        <v>696.21975000000009</v>
      </c>
      <c r="M132" s="402">
        <f>IF($D132="Sim",'11 - Manutenção'!J24*9.25%,0)</f>
        <v>696.21975000000009</v>
      </c>
      <c r="N132" s="402">
        <f>IF($D132="Sim",'11 - Manutenção'!K24*9.25%,0)</f>
        <v>696.21975000000009</v>
      </c>
      <c r="O132" s="402">
        <f>IF($D132="Sim",'11 - Manutenção'!L24*9.25%,0)</f>
        <v>696.21975000000009</v>
      </c>
      <c r="P132" s="402">
        <f>IF($D132="Sim",'11 - Manutenção'!M24*9.25%,0)</f>
        <v>696.21975000000009</v>
      </c>
      <c r="Q132" s="402">
        <f>IF($D132="Sim",'11 - Manutenção'!N24*9.25%,0)</f>
        <v>696.21975000000009</v>
      </c>
      <c r="R132" s="402">
        <f>IF($D132="Sim",'11 - Manutenção'!O24*9.25%,0)</f>
        <v>696.21975000000009</v>
      </c>
      <c r="S132" s="402">
        <f>IF($D132="Sim",'11 - Manutenção'!P24*9.25%,0)</f>
        <v>696.21975000000009</v>
      </c>
      <c r="T132" s="402">
        <f>IF($D132="Sim",'11 - Manutenção'!Q24*9.25%,0)</f>
        <v>696.21975000000009</v>
      </c>
      <c r="U132" s="402">
        <f>IF($D132="Sim",'11 - Manutenção'!R24*9.25%,0)</f>
        <v>696.21975000000009</v>
      </c>
      <c r="V132" s="402">
        <f>IF($D132="Sim",'11 - Manutenção'!S24*9.25%,0)</f>
        <v>696.21975000000009</v>
      </c>
      <c r="W132" s="402">
        <f>IF($D132="Sim",'11 - Manutenção'!T24*9.25%,0)</f>
        <v>696.21975000000009</v>
      </c>
      <c r="X132" s="402">
        <f>IF($D132="Sim",'11 - Manutenção'!U24*9.25%,0)</f>
        <v>696.21975000000009</v>
      </c>
      <c r="Y132" s="402">
        <f>IF($D132="Sim",'11 - Manutenção'!V24*9.25%,0)</f>
        <v>696.21975000000009</v>
      </c>
      <c r="Z132" s="402">
        <f>IF($D132="Sim",'11 - Manutenção'!W24*9.25%,0)</f>
        <v>696.21975000000009</v>
      </c>
      <c r="AA132" s="402">
        <f>IF($D132="Sim",'11 - Manutenção'!X24*9.25%,0)</f>
        <v>696.21975000000009</v>
      </c>
      <c r="AB132" s="402">
        <f>IF($D132="Sim",'11 - Manutenção'!Y24*9.25%,0)</f>
        <v>696.21975000000009</v>
      </c>
      <c r="AC132" s="402">
        <f>IF($D132="Sim",'11 - Manutenção'!Z24*9.25%,0)</f>
        <v>696.21975000000009</v>
      </c>
      <c r="AD132" s="402">
        <f>IF($D132="Sim",'11 - Manutenção'!AA24*9.25%,0)</f>
        <v>696.21975000000009</v>
      </c>
      <c r="AE132" s="402">
        <f>IF($D132="Sim",'11 - Manutenção'!AB24*9.25%,0)</f>
        <v>696.21975000000009</v>
      </c>
      <c r="AF132" s="402">
        <f>IF($D132="Sim",'11 - Manutenção'!AC24*9.25%,0)</f>
        <v>696.21975000000009</v>
      </c>
      <c r="AG132" s="402">
        <f>IF($D132="Sim",'11 - Manutenção'!AD24*9.25%,0)</f>
        <v>696.21975000000009</v>
      </c>
      <c r="AH132" s="402">
        <f>IF($D132="Sim",'11 - Manutenção'!AE24*9.25%,0)</f>
        <v>696.21975000000009</v>
      </c>
      <c r="AI132" s="402">
        <f>IF($D132="Sim",'11 - Manutenção'!AF24*9.25%,0)</f>
        <v>696.21975000000009</v>
      </c>
      <c r="AJ132" s="402">
        <f>IF($D132="Sim",'11 - Manutenção'!AG24*9.25%,0)</f>
        <v>696.21975000000009</v>
      </c>
      <c r="AK132" s="402">
        <f>IF($D132="Sim",'11 - Manutenção'!AH24*9.25%,0)</f>
        <v>696.21975000000009</v>
      </c>
      <c r="AL132" s="402">
        <f>IF($D132="Sim",'11 - Manutenção'!AI24*9.25%,0)</f>
        <v>696.21975000000009</v>
      </c>
      <c r="AM132" s="402">
        <f>IF($D132="Sim",'11 - Manutenção'!AJ24*9.25%,0)</f>
        <v>696.21975000000009</v>
      </c>
      <c r="AN132" s="402">
        <f>IF($D132="Sim",'11 - Manutenção'!AK24*9.25%,0)</f>
        <v>696.21975000000009</v>
      </c>
    </row>
    <row r="133" spans="2:40" ht="13.15" customHeight="1" outlineLevel="1" x14ac:dyDescent="0.2">
      <c r="B133" s="404" t="s">
        <v>804</v>
      </c>
      <c r="C133" s="413"/>
      <c r="D133" s="299" t="s">
        <v>1333</v>
      </c>
      <c r="E133" s="407">
        <f t="shared" si="14"/>
        <v>48735.382500000007</v>
      </c>
      <c r="F133" s="402">
        <f>IF($D133="Sim",SUM('11 - Manutenção'!C26)*9.25%,0)</f>
        <v>1392.4395000000002</v>
      </c>
      <c r="G133" s="402">
        <f>IF($D133="Sim",SUM('11 - Manutenção'!D26)*9.25%,0)</f>
        <v>1392.4395000000002</v>
      </c>
      <c r="H133" s="402">
        <f>IF($D133="Sim",SUM('11 - Manutenção'!E26)*9.25%,0)</f>
        <v>1392.4395000000002</v>
      </c>
      <c r="I133" s="402">
        <f>IF($D133="Sim",SUM('11 - Manutenção'!F26)*9.25%,0)</f>
        <v>1392.4395000000002</v>
      </c>
      <c r="J133" s="402">
        <f>IF($D133="Sim",SUM('11 - Manutenção'!G26)*9.25%,0)</f>
        <v>1392.4395000000002</v>
      </c>
      <c r="K133" s="402">
        <f>IF($D133="Sim",SUM('11 - Manutenção'!H26)*9.25%,0)</f>
        <v>1392.4395000000002</v>
      </c>
      <c r="L133" s="402">
        <f>IF($D133="Sim",SUM('11 - Manutenção'!I26)*9.25%,0)</f>
        <v>1392.4395000000002</v>
      </c>
      <c r="M133" s="402">
        <f>IF($D133="Sim",SUM('11 - Manutenção'!J26)*9.25%,0)</f>
        <v>1392.4395000000002</v>
      </c>
      <c r="N133" s="402">
        <f>IF($D133="Sim",SUM('11 - Manutenção'!K26)*9.25%,0)</f>
        <v>1392.4395000000002</v>
      </c>
      <c r="O133" s="402">
        <f>IF($D133="Sim",SUM('11 - Manutenção'!L26)*9.25%,0)</f>
        <v>1392.4395000000002</v>
      </c>
      <c r="P133" s="402">
        <f>IF($D133="Sim",SUM('11 - Manutenção'!M26)*9.25%,0)</f>
        <v>1392.4395000000002</v>
      </c>
      <c r="Q133" s="402">
        <f>IF($D133="Sim",SUM('11 - Manutenção'!N26)*9.25%,0)</f>
        <v>1392.4395000000002</v>
      </c>
      <c r="R133" s="402">
        <f>IF($D133="Sim",SUM('11 - Manutenção'!O26)*9.25%,0)</f>
        <v>1392.4395000000002</v>
      </c>
      <c r="S133" s="402">
        <f>IF($D133="Sim",SUM('11 - Manutenção'!P26)*9.25%,0)</f>
        <v>1392.4395000000002</v>
      </c>
      <c r="T133" s="402">
        <f>IF($D133="Sim",SUM('11 - Manutenção'!Q26)*9.25%,0)</f>
        <v>1392.4395000000002</v>
      </c>
      <c r="U133" s="402">
        <f>IF($D133="Sim",SUM('11 - Manutenção'!R26)*9.25%,0)</f>
        <v>1392.4395000000002</v>
      </c>
      <c r="V133" s="402">
        <f>IF($D133="Sim",SUM('11 - Manutenção'!S26)*9.25%,0)</f>
        <v>1392.4395000000002</v>
      </c>
      <c r="W133" s="402">
        <f>IF($D133="Sim",SUM('11 - Manutenção'!T26)*9.25%,0)</f>
        <v>1392.4395000000002</v>
      </c>
      <c r="X133" s="402">
        <f>IF($D133="Sim",SUM('11 - Manutenção'!U26)*9.25%,0)</f>
        <v>1392.4395000000002</v>
      </c>
      <c r="Y133" s="402">
        <f>IF($D133="Sim",SUM('11 - Manutenção'!V26)*9.25%,0)</f>
        <v>1392.4395000000002</v>
      </c>
      <c r="Z133" s="402">
        <f>IF($D133="Sim",SUM('11 - Manutenção'!W26)*9.25%,0)</f>
        <v>1392.4395000000002</v>
      </c>
      <c r="AA133" s="402">
        <f>IF($D133="Sim",SUM('11 - Manutenção'!X26)*9.25%,0)</f>
        <v>1392.4395000000002</v>
      </c>
      <c r="AB133" s="402">
        <f>IF($D133="Sim",SUM('11 - Manutenção'!Y26)*9.25%,0)</f>
        <v>1392.4395000000002</v>
      </c>
      <c r="AC133" s="402">
        <f>IF($D133="Sim",SUM('11 - Manutenção'!Z26)*9.25%,0)</f>
        <v>1392.4395000000002</v>
      </c>
      <c r="AD133" s="402">
        <f>IF($D133="Sim",SUM('11 - Manutenção'!AA26)*9.25%,0)</f>
        <v>1392.4395000000002</v>
      </c>
      <c r="AE133" s="402">
        <f>IF($D133="Sim",SUM('11 - Manutenção'!AB26)*9.25%,0)</f>
        <v>1392.4395000000002</v>
      </c>
      <c r="AF133" s="402">
        <f>IF($D133="Sim",SUM('11 - Manutenção'!AC26)*9.25%,0)</f>
        <v>1392.4395000000002</v>
      </c>
      <c r="AG133" s="402">
        <f>IF($D133="Sim",SUM('11 - Manutenção'!AD26)*9.25%,0)</f>
        <v>1392.4395000000002</v>
      </c>
      <c r="AH133" s="402">
        <f>IF($D133="Sim",SUM('11 - Manutenção'!AE26)*9.25%,0)</f>
        <v>1392.4395000000002</v>
      </c>
      <c r="AI133" s="402">
        <f>IF($D133="Sim",SUM('11 - Manutenção'!AF26)*9.25%,0)</f>
        <v>1392.4395000000002</v>
      </c>
      <c r="AJ133" s="402">
        <f>IF($D133="Sim",SUM('11 - Manutenção'!AG26)*9.25%,0)</f>
        <v>1392.4395000000002</v>
      </c>
      <c r="AK133" s="402">
        <f>IF($D133="Sim",SUM('11 - Manutenção'!AH26)*9.25%,0)</f>
        <v>1392.4395000000002</v>
      </c>
      <c r="AL133" s="402">
        <f>IF($D133="Sim",SUM('11 - Manutenção'!AI26)*9.25%,0)</f>
        <v>1392.4395000000002</v>
      </c>
      <c r="AM133" s="402">
        <f>IF($D133="Sim",SUM('11 - Manutenção'!AJ26)*9.25%,0)</f>
        <v>1392.4395000000002</v>
      </c>
      <c r="AN133" s="402">
        <f>IF($D133="Sim",SUM('11 - Manutenção'!AK26)*9.25%,0)</f>
        <v>1392.4395000000002</v>
      </c>
    </row>
    <row r="134" spans="2:40" ht="13.15" customHeight="1" outlineLevel="1" x14ac:dyDescent="0.2">
      <c r="B134" s="404" t="s">
        <v>1001</v>
      </c>
      <c r="C134" s="413"/>
      <c r="D134" s="299" t="s">
        <v>1333</v>
      </c>
      <c r="E134" s="407">
        <f t="shared" si="14"/>
        <v>2043742.3526616672</v>
      </c>
      <c r="F134" s="402">
        <f>IF($D134="Sim",(SUM('11 - Manutenção'!C28:C35)*9.25%),0)</f>
        <v>43966.503190000003</v>
      </c>
      <c r="G134" s="402">
        <f>IF($D134="Sim",(SUM('11 - Manutenção'!D28:D35)*9.25%),0)</f>
        <v>45856.07435083334</v>
      </c>
      <c r="H134" s="402">
        <f>IF($D134="Sim",(SUM('11 - Manutenção'!E28:E35)*9.25%),0)</f>
        <v>53672.817344999996</v>
      </c>
      <c r="I134" s="402">
        <f>IF($D134="Sim",(SUM('11 - Manutenção'!F28:F35)*9.25%),0)</f>
        <v>53672.817344999996</v>
      </c>
      <c r="J134" s="402">
        <f>IF($D134="Sim",(SUM('11 - Manutenção'!G28:G35)*9.25%),0)</f>
        <v>59566.907755833345</v>
      </c>
      <c r="K134" s="402">
        <f>IF($D134="Sim",(SUM('11 - Manutenção'!H28:H35)*9.25%),0)</f>
        <v>59566.907755833345</v>
      </c>
      <c r="L134" s="402">
        <f>IF($D134="Sim",(SUM('11 - Manutenção'!I28:I35)*9.25%),0)</f>
        <v>59566.907755833345</v>
      </c>
      <c r="M134" s="402">
        <f>IF($D134="Sim",(SUM('11 - Manutenção'!J28:J35)*9.25%),0)</f>
        <v>59566.907755833345</v>
      </c>
      <c r="N134" s="402">
        <f>IF($D134="Sim",(SUM('11 - Manutenção'!K28:K35)*9.25%),0)</f>
        <v>59566.907755833345</v>
      </c>
      <c r="O134" s="402">
        <f>IF($D134="Sim",(SUM('11 - Manutenção'!L28:L35)*9.25%),0)</f>
        <v>59566.907755833345</v>
      </c>
      <c r="P134" s="402">
        <f>IF($D134="Sim",(SUM('11 - Manutenção'!M28:M35)*9.25%),0)</f>
        <v>59566.907755833345</v>
      </c>
      <c r="Q134" s="402">
        <f>IF($D134="Sim",(SUM('11 - Manutenção'!N28:N35)*9.25%),0)</f>
        <v>59566.907755833345</v>
      </c>
      <c r="R134" s="402">
        <f>IF($D134="Sim",(SUM('11 - Manutenção'!O28:O35)*9.25%),0)</f>
        <v>59566.907755833345</v>
      </c>
      <c r="S134" s="402">
        <f>IF($D134="Sim",(SUM('11 - Manutenção'!P28:P35)*9.25%),0)</f>
        <v>59566.907755833345</v>
      </c>
      <c r="T134" s="402">
        <f>IF($D134="Sim",(SUM('11 - Manutenção'!Q28:Q35)*9.25%),0)</f>
        <v>59566.907755833345</v>
      </c>
      <c r="U134" s="402">
        <f>IF($D134="Sim",(SUM('11 - Manutenção'!R28:R35)*9.25%),0)</f>
        <v>59566.907755833345</v>
      </c>
      <c r="V134" s="402">
        <f>IF($D134="Sim",(SUM('11 - Manutenção'!S28:S35)*9.25%),0)</f>
        <v>59566.907755833345</v>
      </c>
      <c r="W134" s="402">
        <f>IF($D134="Sim",(SUM('11 - Manutenção'!T28:T35)*9.25%),0)</f>
        <v>59566.907755833345</v>
      </c>
      <c r="X134" s="402">
        <f>IF($D134="Sim",(SUM('11 - Manutenção'!U28:U35)*9.25%),0)</f>
        <v>59566.907755833345</v>
      </c>
      <c r="Y134" s="402">
        <f>IF($D134="Sim",(SUM('11 - Manutenção'!V28:V35)*9.25%),0)</f>
        <v>59566.907755833345</v>
      </c>
      <c r="Z134" s="402">
        <f>IF($D134="Sim",(SUM('11 - Manutenção'!W28:W35)*9.25%),0)</f>
        <v>59566.907755833345</v>
      </c>
      <c r="AA134" s="402">
        <f>IF($D134="Sim",(SUM('11 - Manutenção'!X28:X35)*9.25%),0)</f>
        <v>59566.907755833345</v>
      </c>
      <c r="AB134" s="402">
        <f>IF($D134="Sim",(SUM('11 - Manutenção'!Y28:Y35)*9.25%),0)</f>
        <v>59566.907755833345</v>
      </c>
      <c r="AC134" s="402">
        <f>IF($D134="Sim",(SUM('11 - Manutenção'!Z28:Z35)*9.25%),0)</f>
        <v>59566.907755833345</v>
      </c>
      <c r="AD134" s="402">
        <f>IF($D134="Sim",(SUM('11 - Manutenção'!AA28:AA35)*9.25%),0)</f>
        <v>59566.907755833345</v>
      </c>
      <c r="AE134" s="402">
        <f>IF($D134="Sim",(SUM('11 - Manutenção'!AB28:AB35)*9.25%),0)</f>
        <v>59566.907755833345</v>
      </c>
      <c r="AF134" s="402">
        <f>IF($D134="Sim",(SUM('11 - Manutenção'!AC28:AC35)*9.25%),0)</f>
        <v>59566.907755833345</v>
      </c>
      <c r="AG134" s="402">
        <f>IF($D134="Sim",(SUM('11 - Manutenção'!AD28:AD35)*9.25%),0)</f>
        <v>59566.907755833345</v>
      </c>
      <c r="AH134" s="402">
        <f>IF($D134="Sim",(SUM('11 - Manutenção'!AE28:AE35)*9.25%),0)</f>
        <v>59566.907755833345</v>
      </c>
      <c r="AI134" s="402">
        <f>IF($D134="Sim",(SUM('11 - Manutenção'!AF28:AF35)*9.25%),0)</f>
        <v>59566.907755833345</v>
      </c>
      <c r="AJ134" s="402">
        <f>IF($D134="Sim",(SUM('11 - Manutenção'!AG28:AG35)*9.25%),0)</f>
        <v>59566.907755833345</v>
      </c>
      <c r="AK134" s="402">
        <f>IF($D134="Sim",(SUM('11 - Manutenção'!AH28:AH35)*9.25%),0)</f>
        <v>59566.907755833345</v>
      </c>
      <c r="AL134" s="402">
        <f>IF($D134="Sim",(SUM('11 - Manutenção'!AI28:AI35)*9.25%),0)</f>
        <v>59566.907755833345</v>
      </c>
      <c r="AM134" s="402">
        <f>IF($D134="Sim",(SUM('11 - Manutenção'!AJ28:AJ35)*9.25%),0)</f>
        <v>59566.907755833345</v>
      </c>
      <c r="AN134" s="402">
        <f>IF($D134="Sim",(SUM('11 - Manutenção'!AK28:AK35)*9.25%),0)</f>
        <v>59566.907755833345</v>
      </c>
    </row>
    <row r="135" spans="2:40" ht="13.15" customHeight="1" outlineLevel="1" x14ac:dyDescent="0.2">
      <c r="B135" s="404" t="s">
        <v>1354</v>
      </c>
      <c r="C135" s="413"/>
      <c r="D135" s="299" t="s">
        <v>1333</v>
      </c>
      <c r="E135" s="407">
        <f t="shared" si="14"/>
        <v>439393.49999999977</v>
      </c>
      <c r="F135" s="402">
        <f>IF($D135="Sim",SUM('11 - Manutenção'!C37:C37)*9.25%,0)</f>
        <v>12554.1</v>
      </c>
      <c r="G135" s="402">
        <f>IF($D135="Sim",SUM('11 - Manutenção'!D37:D37)*9.25%,0)</f>
        <v>12554.1</v>
      </c>
      <c r="H135" s="402">
        <f>IF($D135="Sim",SUM('11 - Manutenção'!E37:E37)*9.25%,0)</f>
        <v>12554.1</v>
      </c>
      <c r="I135" s="402">
        <f>IF($D135="Sim",SUM('11 - Manutenção'!F37:F37)*9.25%,0)</f>
        <v>12554.1</v>
      </c>
      <c r="J135" s="402">
        <f>IF($D135="Sim",SUM('11 - Manutenção'!G37:G37)*9.25%,0)</f>
        <v>12554.1</v>
      </c>
      <c r="K135" s="402">
        <f>IF($D135="Sim",SUM('11 - Manutenção'!H37:H37)*9.25%,0)</f>
        <v>12554.1</v>
      </c>
      <c r="L135" s="402">
        <f>IF($D135="Sim",SUM('11 - Manutenção'!I37:I37)*9.25%,0)</f>
        <v>12554.1</v>
      </c>
      <c r="M135" s="402">
        <f>IF($D135="Sim",SUM('11 - Manutenção'!J37:J37)*9.25%,0)</f>
        <v>12554.1</v>
      </c>
      <c r="N135" s="402">
        <f>IF($D135="Sim",SUM('11 - Manutenção'!K37:K37)*9.25%,0)</f>
        <v>12554.1</v>
      </c>
      <c r="O135" s="402">
        <f>IF($D135="Sim",SUM('11 - Manutenção'!L37:L37)*9.25%,0)</f>
        <v>12554.1</v>
      </c>
      <c r="P135" s="402">
        <f>IF($D135="Sim",SUM('11 - Manutenção'!M37:M37)*9.25%,0)</f>
        <v>12554.1</v>
      </c>
      <c r="Q135" s="402">
        <f>IF($D135="Sim",SUM('11 - Manutenção'!N37:N37)*9.25%,0)</f>
        <v>12554.1</v>
      </c>
      <c r="R135" s="402">
        <f>IF($D135="Sim",SUM('11 - Manutenção'!O37:O37)*9.25%,0)</f>
        <v>12554.1</v>
      </c>
      <c r="S135" s="402">
        <f>IF($D135="Sim",SUM('11 - Manutenção'!P37:P37)*9.25%,0)</f>
        <v>12554.1</v>
      </c>
      <c r="T135" s="402">
        <f>IF($D135="Sim",SUM('11 - Manutenção'!Q37:Q37)*9.25%,0)</f>
        <v>12554.1</v>
      </c>
      <c r="U135" s="402">
        <f>IF($D135="Sim",SUM('11 - Manutenção'!R37:R37)*9.25%,0)</f>
        <v>12554.1</v>
      </c>
      <c r="V135" s="402">
        <f>IF($D135="Sim",SUM('11 - Manutenção'!S37:S37)*9.25%,0)</f>
        <v>12554.1</v>
      </c>
      <c r="W135" s="402">
        <f>IF($D135="Sim",SUM('11 - Manutenção'!T37:T37)*9.25%,0)</f>
        <v>12554.1</v>
      </c>
      <c r="X135" s="402">
        <f>IF($D135="Sim",SUM('11 - Manutenção'!U37:U37)*9.25%,0)</f>
        <v>12554.1</v>
      </c>
      <c r="Y135" s="402">
        <f>IF($D135="Sim",SUM('11 - Manutenção'!V37:V37)*9.25%,0)</f>
        <v>12554.1</v>
      </c>
      <c r="Z135" s="402">
        <f>IF($D135="Sim",SUM('11 - Manutenção'!W37:W37)*9.25%,0)</f>
        <v>12554.1</v>
      </c>
      <c r="AA135" s="402">
        <f>IF($D135="Sim",SUM('11 - Manutenção'!X37:X37)*9.25%,0)</f>
        <v>12554.1</v>
      </c>
      <c r="AB135" s="402">
        <f>IF($D135="Sim",SUM('11 - Manutenção'!Y37:Y37)*9.25%,0)</f>
        <v>12554.1</v>
      </c>
      <c r="AC135" s="402">
        <f>IF($D135="Sim",SUM('11 - Manutenção'!Z37:Z37)*9.25%,0)</f>
        <v>12554.1</v>
      </c>
      <c r="AD135" s="402">
        <f>IF($D135="Sim",SUM('11 - Manutenção'!AA37:AA37)*9.25%,0)</f>
        <v>12554.1</v>
      </c>
      <c r="AE135" s="402">
        <f>IF($D135="Sim",SUM('11 - Manutenção'!AB37:AB37)*9.25%,0)</f>
        <v>12554.1</v>
      </c>
      <c r="AF135" s="402">
        <f>IF($D135="Sim",SUM('11 - Manutenção'!AC37:AC37)*9.25%,0)</f>
        <v>12554.1</v>
      </c>
      <c r="AG135" s="402">
        <f>IF($D135="Sim",SUM('11 - Manutenção'!AD37:AD37)*9.25%,0)</f>
        <v>12554.1</v>
      </c>
      <c r="AH135" s="402">
        <f>IF($D135="Sim",SUM('11 - Manutenção'!AE37:AE37)*9.25%,0)</f>
        <v>12554.1</v>
      </c>
      <c r="AI135" s="402">
        <f>IF($D135="Sim",SUM('11 - Manutenção'!AF37:AF37)*9.25%,0)</f>
        <v>12554.1</v>
      </c>
      <c r="AJ135" s="402">
        <f>IF($D135="Sim",SUM('11 - Manutenção'!AG37:AG37)*9.25%,0)</f>
        <v>12554.1</v>
      </c>
      <c r="AK135" s="402">
        <f>IF($D135="Sim",SUM('11 - Manutenção'!AH37:AH37)*9.25%,0)</f>
        <v>12554.1</v>
      </c>
      <c r="AL135" s="402">
        <f>IF($D135="Sim",SUM('11 - Manutenção'!AI37:AI37)*9.25%,0)</f>
        <v>12554.1</v>
      </c>
      <c r="AM135" s="402">
        <f>IF($D135="Sim",SUM('11 - Manutenção'!AJ37:AJ37)*9.25%,0)</f>
        <v>12554.1</v>
      </c>
      <c r="AN135" s="402">
        <f>IF($D135="Sim",SUM('11 - Manutenção'!AK37:AK37)*9.25%,0)</f>
        <v>12554.1</v>
      </c>
    </row>
    <row r="136" spans="2:40" ht="13.15" customHeight="1" outlineLevel="1" x14ac:dyDescent="0.2">
      <c r="B136" s="404" t="s">
        <v>880</v>
      </c>
      <c r="C136" s="413"/>
      <c r="D136" s="299" t="s">
        <v>1346</v>
      </c>
      <c r="E136" s="407">
        <f t="shared" si="14"/>
        <v>0</v>
      </c>
      <c r="F136" s="402">
        <f>IF($D136="Sim",SUM('11 - Manutenção'!C39:C46)*9.25%,0)</f>
        <v>0</v>
      </c>
      <c r="G136" s="402">
        <f>IF($D136="Sim",SUM('11 - Manutenção'!D39:D46)*9.25%,0)</f>
        <v>0</v>
      </c>
      <c r="H136" s="402">
        <f>IF($D136="Sim",SUM('11 - Manutenção'!E39:E46)*9.25%,0)</f>
        <v>0</v>
      </c>
      <c r="I136" s="402">
        <f>IF($D136="Sim",SUM('11 - Manutenção'!F39:F46)*9.25%,0)</f>
        <v>0</v>
      </c>
      <c r="J136" s="402">
        <f>IF($D136="Sim",SUM('11 - Manutenção'!G39:G46)*9.25%,0)</f>
        <v>0</v>
      </c>
      <c r="K136" s="402">
        <f>IF($D136="Sim",SUM('11 - Manutenção'!H39:H46)*9.25%,0)</f>
        <v>0</v>
      </c>
      <c r="L136" s="402">
        <f>IF($D136="Sim",SUM('11 - Manutenção'!I39:I46)*9.25%,0)</f>
        <v>0</v>
      </c>
      <c r="M136" s="402">
        <f>IF($D136="Sim",SUM('11 - Manutenção'!J39:J46)*9.25%,0)</f>
        <v>0</v>
      </c>
      <c r="N136" s="402">
        <f>IF($D136="Sim",SUM('11 - Manutenção'!K39:K46)*9.25%,0)</f>
        <v>0</v>
      </c>
      <c r="O136" s="402">
        <f>IF($D136="Sim",SUM('11 - Manutenção'!L39:L46)*9.25%,0)</f>
        <v>0</v>
      </c>
      <c r="P136" s="402">
        <f>IF($D136="Sim",SUM('11 - Manutenção'!M39:M46)*9.25%,0)</f>
        <v>0</v>
      </c>
      <c r="Q136" s="402">
        <f>IF($D136="Sim",SUM('11 - Manutenção'!N39:N46)*9.25%,0)</f>
        <v>0</v>
      </c>
      <c r="R136" s="402">
        <f>IF($D136="Sim",SUM('11 - Manutenção'!O39:O46)*9.25%,0)</f>
        <v>0</v>
      </c>
      <c r="S136" s="402">
        <f>IF($D136="Sim",SUM('11 - Manutenção'!P39:P46)*9.25%,0)</f>
        <v>0</v>
      </c>
      <c r="T136" s="402">
        <f>IF($D136="Sim",SUM('11 - Manutenção'!Q39:Q46)*9.25%,0)</f>
        <v>0</v>
      </c>
      <c r="U136" s="402">
        <f>IF($D136="Sim",SUM('11 - Manutenção'!R39:R46)*9.25%,0)</f>
        <v>0</v>
      </c>
      <c r="V136" s="402">
        <f>IF($D136="Sim",SUM('11 - Manutenção'!S39:S46)*9.25%,0)</f>
        <v>0</v>
      </c>
      <c r="W136" s="402">
        <f>IF($D136="Sim",SUM('11 - Manutenção'!T39:T46)*9.25%,0)</f>
        <v>0</v>
      </c>
      <c r="X136" s="402">
        <f>IF($D136="Sim",SUM('11 - Manutenção'!U39:U46)*9.25%,0)</f>
        <v>0</v>
      </c>
      <c r="Y136" s="402">
        <f>IF($D136="Sim",SUM('11 - Manutenção'!V39:V46)*9.25%,0)</f>
        <v>0</v>
      </c>
      <c r="Z136" s="402">
        <f>IF($D136="Sim",SUM('11 - Manutenção'!W39:W46)*9.25%,0)</f>
        <v>0</v>
      </c>
      <c r="AA136" s="402">
        <f>IF($D136="Sim",SUM('11 - Manutenção'!X39:X46)*9.25%,0)</f>
        <v>0</v>
      </c>
      <c r="AB136" s="402">
        <f>IF($D136="Sim",SUM('11 - Manutenção'!Y39:Y46)*9.25%,0)</f>
        <v>0</v>
      </c>
      <c r="AC136" s="402">
        <f>IF($D136="Sim",SUM('11 - Manutenção'!Z39:Z46)*9.25%,0)</f>
        <v>0</v>
      </c>
      <c r="AD136" s="402">
        <f>IF($D136="Sim",SUM('11 - Manutenção'!AA39:AA46)*9.25%,0)</f>
        <v>0</v>
      </c>
      <c r="AE136" s="402">
        <f>IF($D136="Sim",SUM('11 - Manutenção'!AB39:AB46)*9.25%,0)</f>
        <v>0</v>
      </c>
      <c r="AF136" s="402">
        <f>IF($D136="Sim",SUM('11 - Manutenção'!AC39:AC46)*9.25%,0)</f>
        <v>0</v>
      </c>
      <c r="AG136" s="402">
        <f>IF($D136="Sim",SUM('11 - Manutenção'!AD39:AD46)*9.25%,0)</f>
        <v>0</v>
      </c>
      <c r="AH136" s="402">
        <f>IF($D136="Sim",SUM('11 - Manutenção'!AE39:AE46)*9.25%,0)</f>
        <v>0</v>
      </c>
      <c r="AI136" s="402">
        <f>IF($D136="Sim",SUM('11 - Manutenção'!AF39:AF46)*9.25%,0)</f>
        <v>0</v>
      </c>
      <c r="AJ136" s="402">
        <f>IF($D136="Sim",SUM('11 - Manutenção'!AG39:AG46)*9.25%,0)</f>
        <v>0</v>
      </c>
      <c r="AK136" s="402">
        <f>IF($D136="Sim",SUM('11 - Manutenção'!AH39:AH46)*9.25%,0)</f>
        <v>0</v>
      </c>
      <c r="AL136" s="402">
        <f>IF($D136="Sim",SUM('11 - Manutenção'!AI39:AI46)*9.25%,0)</f>
        <v>0</v>
      </c>
      <c r="AM136" s="402">
        <f>IF($D136="Sim",SUM('11 - Manutenção'!AJ39:AJ46)*9.25%,0)</f>
        <v>0</v>
      </c>
      <c r="AN136" s="402">
        <f>IF($D136="Sim",SUM('11 - Manutenção'!AK39:AK46)*9.25%,0)</f>
        <v>0</v>
      </c>
    </row>
    <row r="137" spans="2:40" ht="13.15" customHeight="1" outlineLevel="1" x14ac:dyDescent="0.2">
      <c r="B137" s="404" t="s">
        <v>1364</v>
      </c>
      <c r="C137" s="413"/>
      <c r="D137" s="299" t="s">
        <v>1333</v>
      </c>
      <c r="E137" s="407">
        <f t="shared" si="14"/>
        <v>320551.63489999995</v>
      </c>
      <c r="F137" s="402">
        <f>IF($D137="Sim",SUM('11 - Manutenção'!C48:C53)*9.25%,0)</f>
        <v>9158.6181399999987</v>
      </c>
      <c r="G137" s="402">
        <f>IF($D137="Sim",SUM('11 - Manutenção'!D48:D53)*9.25%,0)</f>
        <v>9158.6181399999987</v>
      </c>
      <c r="H137" s="402">
        <f>IF($D137="Sim",SUM('11 - Manutenção'!E48:E53)*9.25%,0)</f>
        <v>9158.6181399999987</v>
      </c>
      <c r="I137" s="402">
        <f>IF($D137="Sim",SUM('11 - Manutenção'!F48:F53)*9.25%,0)</f>
        <v>9158.6181399999987</v>
      </c>
      <c r="J137" s="402">
        <f>IF($D137="Sim",SUM('11 - Manutenção'!G48:G53)*9.25%,0)</f>
        <v>9158.6181399999987</v>
      </c>
      <c r="K137" s="402">
        <f>IF($D137="Sim",SUM('11 - Manutenção'!H48:H53)*9.25%,0)</f>
        <v>9158.6181399999987</v>
      </c>
      <c r="L137" s="402">
        <f>IF($D137="Sim",SUM('11 - Manutenção'!I48:I53)*9.25%,0)</f>
        <v>9158.6181399999987</v>
      </c>
      <c r="M137" s="402">
        <f>IF($D137="Sim",SUM('11 - Manutenção'!J48:J53)*9.25%,0)</f>
        <v>9158.6181399999987</v>
      </c>
      <c r="N137" s="402">
        <f>IF($D137="Sim",SUM('11 - Manutenção'!K48:K53)*9.25%,0)</f>
        <v>9158.6181399999987</v>
      </c>
      <c r="O137" s="402">
        <f>IF($D137="Sim",SUM('11 - Manutenção'!L48:L53)*9.25%,0)</f>
        <v>9158.6181399999987</v>
      </c>
      <c r="P137" s="402">
        <f>IF($D137="Sim",SUM('11 - Manutenção'!M48:M53)*9.25%,0)</f>
        <v>9158.6181399999987</v>
      </c>
      <c r="Q137" s="402">
        <f>IF($D137="Sim",SUM('11 - Manutenção'!N48:N53)*9.25%,0)</f>
        <v>9158.6181399999987</v>
      </c>
      <c r="R137" s="402">
        <f>IF($D137="Sim",SUM('11 - Manutenção'!O48:O53)*9.25%,0)</f>
        <v>9158.6181399999987</v>
      </c>
      <c r="S137" s="402">
        <f>IF($D137="Sim",SUM('11 - Manutenção'!P48:P53)*9.25%,0)</f>
        <v>9158.6181399999987</v>
      </c>
      <c r="T137" s="402">
        <f>IF($D137="Sim",SUM('11 - Manutenção'!Q48:Q53)*9.25%,0)</f>
        <v>9158.6181399999987</v>
      </c>
      <c r="U137" s="402">
        <f>IF($D137="Sim",SUM('11 - Manutenção'!R48:R53)*9.25%,0)</f>
        <v>9158.6181399999987</v>
      </c>
      <c r="V137" s="402">
        <f>IF($D137="Sim",SUM('11 - Manutenção'!S48:S53)*9.25%,0)</f>
        <v>9158.6181399999987</v>
      </c>
      <c r="W137" s="402">
        <f>IF($D137="Sim",SUM('11 - Manutenção'!T48:T53)*9.25%,0)</f>
        <v>9158.6181399999987</v>
      </c>
      <c r="X137" s="402">
        <f>IF($D137="Sim",SUM('11 - Manutenção'!U48:U53)*9.25%,0)</f>
        <v>9158.6181399999987</v>
      </c>
      <c r="Y137" s="402">
        <f>IF($D137="Sim",SUM('11 - Manutenção'!V48:V53)*9.25%,0)</f>
        <v>9158.6181399999987</v>
      </c>
      <c r="Z137" s="402">
        <f>IF($D137="Sim",SUM('11 - Manutenção'!W48:W53)*9.25%,0)</f>
        <v>9158.6181399999987</v>
      </c>
      <c r="AA137" s="402">
        <f>IF($D137="Sim",SUM('11 - Manutenção'!X48:X53)*9.25%,0)</f>
        <v>9158.6181399999987</v>
      </c>
      <c r="AB137" s="402">
        <f>IF($D137="Sim",SUM('11 - Manutenção'!Y48:Y53)*9.25%,0)</f>
        <v>9158.6181399999987</v>
      </c>
      <c r="AC137" s="402">
        <f>IF($D137="Sim",SUM('11 - Manutenção'!Z48:Z53)*9.25%,0)</f>
        <v>9158.6181399999987</v>
      </c>
      <c r="AD137" s="402">
        <f>IF($D137="Sim",SUM('11 - Manutenção'!AA48:AA53)*9.25%,0)</f>
        <v>9158.6181399999987</v>
      </c>
      <c r="AE137" s="402">
        <f>IF($D137="Sim",SUM('11 - Manutenção'!AB48:AB53)*9.25%,0)</f>
        <v>9158.6181399999987</v>
      </c>
      <c r="AF137" s="402">
        <f>IF($D137="Sim",SUM('11 - Manutenção'!AC48:AC53)*9.25%,0)</f>
        <v>9158.6181399999987</v>
      </c>
      <c r="AG137" s="402">
        <f>IF($D137="Sim",SUM('11 - Manutenção'!AD48:AD53)*9.25%,0)</f>
        <v>9158.6181399999987</v>
      </c>
      <c r="AH137" s="402">
        <f>IF($D137="Sim",SUM('11 - Manutenção'!AE48:AE53)*9.25%,0)</f>
        <v>9158.6181399999987</v>
      </c>
      <c r="AI137" s="402">
        <f>IF($D137="Sim",SUM('11 - Manutenção'!AF48:AF53)*9.25%,0)</f>
        <v>9158.6181399999987</v>
      </c>
      <c r="AJ137" s="402">
        <f>IF($D137="Sim",SUM('11 - Manutenção'!AG48:AG53)*9.25%,0)</f>
        <v>9158.6181399999987</v>
      </c>
      <c r="AK137" s="402">
        <f>IF($D137="Sim",SUM('11 - Manutenção'!AH48:AH53)*9.25%,0)</f>
        <v>9158.6181399999987</v>
      </c>
      <c r="AL137" s="402">
        <f>IF($D137="Sim",SUM('11 - Manutenção'!AI48:AI53)*9.25%,0)</f>
        <v>9158.6181399999987</v>
      </c>
      <c r="AM137" s="402">
        <f>IF($D137="Sim",SUM('11 - Manutenção'!AJ48:AJ53)*9.25%,0)</f>
        <v>9158.6181399999987</v>
      </c>
      <c r="AN137" s="402">
        <f>IF($D137="Sim",SUM('11 - Manutenção'!AK48:AK53)*9.25%,0)</f>
        <v>9158.6181399999987</v>
      </c>
    </row>
    <row r="138" spans="2:40" ht="13.15" customHeight="1" outlineLevel="1" x14ac:dyDescent="0.2">
      <c r="B138" s="404" t="s">
        <v>884</v>
      </c>
      <c r="C138" s="413"/>
      <c r="D138" s="299" t="s">
        <v>1333</v>
      </c>
      <c r="E138" s="407">
        <f t="shared" si="14"/>
        <v>325618.44542499998</v>
      </c>
      <c r="F138" s="402">
        <f>IF($D138="Sim",SUM('11 - Manutenção'!C55:C59)*9.25%,0)</f>
        <v>9303.3841549999997</v>
      </c>
      <c r="G138" s="402">
        <f>IF($D138="Sim",SUM('11 - Manutenção'!D55:D59)*9.25%,0)</f>
        <v>9303.3841549999997</v>
      </c>
      <c r="H138" s="402">
        <f>IF($D138="Sim",SUM('11 - Manutenção'!E55:E59)*9.25%,0)</f>
        <v>9303.3841549999997</v>
      </c>
      <c r="I138" s="402">
        <f>IF($D138="Sim",SUM('11 - Manutenção'!F55:F59)*9.25%,0)</f>
        <v>9303.3841549999997</v>
      </c>
      <c r="J138" s="402">
        <f>IF($D138="Sim",SUM('11 - Manutenção'!G55:G59)*9.25%,0)</f>
        <v>9303.3841549999997</v>
      </c>
      <c r="K138" s="402">
        <f>IF($D138="Sim",SUM('11 - Manutenção'!H55:H59)*9.25%,0)</f>
        <v>9303.3841549999997</v>
      </c>
      <c r="L138" s="402">
        <f>IF($D138="Sim",SUM('11 - Manutenção'!I55:I59)*9.25%,0)</f>
        <v>9303.3841549999997</v>
      </c>
      <c r="M138" s="402">
        <f>IF($D138="Sim",SUM('11 - Manutenção'!J55:J59)*9.25%,0)</f>
        <v>9303.3841549999997</v>
      </c>
      <c r="N138" s="402">
        <f>IF($D138="Sim",SUM('11 - Manutenção'!K55:K59)*9.25%,0)</f>
        <v>9303.3841549999997</v>
      </c>
      <c r="O138" s="402">
        <f>IF($D138="Sim",SUM('11 - Manutenção'!L55:L59)*9.25%,0)</f>
        <v>9303.3841549999997</v>
      </c>
      <c r="P138" s="402">
        <f>IF($D138="Sim",SUM('11 - Manutenção'!M55:M59)*9.25%,0)</f>
        <v>9303.3841549999997</v>
      </c>
      <c r="Q138" s="402">
        <f>IF($D138="Sim",SUM('11 - Manutenção'!N55:N59)*9.25%,0)</f>
        <v>9303.3841549999997</v>
      </c>
      <c r="R138" s="402">
        <f>IF($D138="Sim",SUM('11 - Manutenção'!O55:O59)*9.25%,0)</f>
        <v>9303.3841549999997</v>
      </c>
      <c r="S138" s="402">
        <f>IF($D138="Sim",SUM('11 - Manutenção'!P55:P59)*9.25%,0)</f>
        <v>9303.3841549999997</v>
      </c>
      <c r="T138" s="402">
        <f>IF($D138="Sim",SUM('11 - Manutenção'!Q55:Q59)*9.25%,0)</f>
        <v>9303.3841549999997</v>
      </c>
      <c r="U138" s="402">
        <f>IF($D138="Sim",SUM('11 - Manutenção'!R55:R59)*9.25%,0)</f>
        <v>9303.3841549999997</v>
      </c>
      <c r="V138" s="402">
        <f>IF($D138="Sim",SUM('11 - Manutenção'!S55:S59)*9.25%,0)</f>
        <v>9303.3841549999997</v>
      </c>
      <c r="W138" s="402">
        <f>IF($D138="Sim",SUM('11 - Manutenção'!T55:T59)*9.25%,0)</f>
        <v>9303.3841549999997</v>
      </c>
      <c r="X138" s="402">
        <f>IF($D138="Sim",SUM('11 - Manutenção'!U55:U59)*9.25%,0)</f>
        <v>9303.3841549999997</v>
      </c>
      <c r="Y138" s="402">
        <f>IF($D138="Sim",SUM('11 - Manutenção'!V55:V59)*9.25%,0)</f>
        <v>9303.3841549999997</v>
      </c>
      <c r="Z138" s="402">
        <f>IF($D138="Sim",SUM('11 - Manutenção'!W55:W59)*9.25%,0)</f>
        <v>9303.3841549999997</v>
      </c>
      <c r="AA138" s="402">
        <f>IF($D138="Sim",SUM('11 - Manutenção'!X55:X59)*9.25%,0)</f>
        <v>9303.3841549999997</v>
      </c>
      <c r="AB138" s="402">
        <f>IF($D138="Sim",SUM('11 - Manutenção'!Y55:Y59)*9.25%,0)</f>
        <v>9303.3841549999997</v>
      </c>
      <c r="AC138" s="402">
        <f>IF($D138="Sim",SUM('11 - Manutenção'!Z55:Z59)*9.25%,0)</f>
        <v>9303.3841549999997</v>
      </c>
      <c r="AD138" s="402">
        <f>IF($D138="Sim",SUM('11 - Manutenção'!AA55:AA59)*9.25%,0)</f>
        <v>9303.3841549999997</v>
      </c>
      <c r="AE138" s="402">
        <f>IF($D138="Sim",SUM('11 - Manutenção'!AB55:AB59)*9.25%,0)</f>
        <v>9303.3841549999997</v>
      </c>
      <c r="AF138" s="402">
        <f>IF($D138="Sim",SUM('11 - Manutenção'!AC55:AC59)*9.25%,0)</f>
        <v>9303.3841549999997</v>
      </c>
      <c r="AG138" s="402">
        <f>IF($D138="Sim",SUM('11 - Manutenção'!AD55:AD59)*9.25%,0)</f>
        <v>9303.3841549999997</v>
      </c>
      <c r="AH138" s="402">
        <f>IF($D138="Sim",SUM('11 - Manutenção'!AE55:AE59)*9.25%,0)</f>
        <v>9303.3841549999997</v>
      </c>
      <c r="AI138" s="402">
        <f>IF($D138="Sim",SUM('11 - Manutenção'!AF55:AF59)*9.25%,0)</f>
        <v>9303.3841549999997</v>
      </c>
      <c r="AJ138" s="402">
        <f>IF($D138="Sim",SUM('11 - Manutenção'!AG55:AG59)*9.25%,0)</f>
        <v>9303.3841549999997</v>
      </c>
      <c r="AK138" s="402">
        <f>IF($D138="Sim",SUM('11 - Manutenção'!AH55:AH59)*9.25%,0)</f>
        <v>9303.3841549999997</v>
      </c>
      <c r="AL138" s="402">
        <f>IF($D138="Sim",SUM('11 - Manutenção'!AI55:AI59)*9.25%,0)</f>
        <v>9303.3841549999997</v>
      </c>
      <c r="AM138" s="402">
        <f>IF($D138="Sim",SUM('11 - Manutenção'!AJ55:AJ59)*9.25%,0)</f>
        <v>9303.3841549999997</v>
      </c>
      <c r="AN138" s="402">
        <f>IF($D138="Sim",SUM('11 - Manutenção'!AK55:AK59)*9.25%,0)</f>
        <v>9303.3841549999997</v>
      </c>
    </row>
    <row r="139" spans="2:40" ht="13.15" customHeight="1" outlineLevel="1" x14ac:dyDescent="0.2">
      <c r="B139" s="404" t="s">
        <v>885</v>
      </c>
      <c r="C139" s="413"/>
      <c r="D139" s="299" t="s">
        <v>1333</v>
      </c>
      <c r="E139" s="407">
        <f t="shared" si="14"/>
        <v>15835.620749999998</v>
      </c>
      <c r="F139" s="402">
        <f>IF($D139="Sim",SUM('11 - Manutenção'!C61:C62)*9.25%,0)</f>
        <v>446.79350000000005</v>
      </c>
      <c r="G139" s="402">
        <f>IF($D139="Sim",SUM('11 - Manutenção'!D61:D62)*9.25%,0)</f>
        <v>446.79350000000005</v>
      </c>
      <c r="H139" s="402">
        <f>IF($D139="Sim",SUM('11 - Manutenção'!E61:E62)*9.25%,0)</f>
        <v>446.79350000000005</v>
      </c>
      <c r="I139" s="402">
        <f>IF($D139="Sim",SUM('11 - Manutenção'!F61:F62)*9.25%,0)</f>
        <v>449.50374999999997</v>
      </c>
      <c r="J139" s="402">
        <f>IF($D139="Sim",SUM('11 - Manutenção'!G61:G62)*9.25%,0)</f>
        <v>449.50374999999997</v>
      </c>
      <c r="K139" s="402">
        <f>IF($D139="Sim",SUM('11 - Manutenção'!H61:H62)*9.25%,0)</f>
        <v>449.50374999999997</v>
      </c>
      <c r="L139" s="402">
        <f>IF($D139="Sim",SUM('11 - Manutenção'!I61:I62)*9.25%,0)</f>
        <v>452.214</v>
      </c>
      <c r="M139" s="402">
        <f>IF($D139="Sim",SUM('11 - Manutenção'!J61:J62)*9.25%,0)</f>
        <v>452.214</v>
      </c>
      <c r="N139" s="402">
        <f>IF($D139="Sim",SUM('11 - Manutenção'!K61:K62)*9.25%,0)</f>
        <v>452.214</v>
      </c>
      <c r="O139" s="402">
        <f>IF($D139="Sim",SUM('11 - Manutenção'!L61:L62)*9.25%,0)</f>
        <v>452.214</v>
      </c>
      <c r="P139" s="402">
        <f>IF($D139="Sim",SUM('11 - Manutenção'!M61:M62)*9.25%,0)</f>
        <v>452.214</v>
      </c>
      <c r="Q139" s="402">
        <f>IF($D139="Sim",SUM('11 - Manutenção'!N61:N62)*9.25%,0)</f>
        <v>454.92425000000003</v>
      </c>
      <c r="R139" s="402">
        <f>IF($D139="Sim",SUM('11 - Manutenção'!O61:O62)*9.25%,0)</f>
        <v>454.92425000000003</v>
      </c>
      <c r="S139" s="402">
        <f>IF($D139="Sim",SUM('11 - Manutenção'!P61:P62)*9.25%,0)</f>
        <v>454.92425000000003</v>
      </c>
      <c r="T139" s="402">
        <f>IF($D139="Sim",SUM('11 - Manutenção'!Q61:Q62)*9.25%,0)</f>
        <v>454.92425000000003</v>
      </c>
      <c r="U139" s="402">
        <f>IF($D139="Sim",SUM('11 - Manutenção'!R61:R62)*9.25%,0)</f>
        <v>454.92425000000003</v>
      </c>
      <c r="V139" s="402">
        <f>IF($D139="Sim",SUM('11 - Manutenção'!S61:S62)*9.25%,0)</f>
        <v>454.92425000000003</v>
      </c>
      <c r="W139" s="402">
        <f>IF($D139="Sim",SUM('11 - Manutenção'!T61:T62)*9.25%,0)</f>
        <v>454.92425000000003</v>
      </c>
      <c r="X139" s="402">
        <f>IF($D139="Sim",SUM('11 - Manutenção'!U61:U62)*9.25%,0)</f>
        <v>454.92425000000003</v>
      </c>
      <c r="Y139" s="402">
        <f>IF($D139="Sim",SUM('11 - Manutenção'!V61:V62)*9.25%,0)</f>
        <v>454.92425000000003</v>
      </c>
      <c r="Z139" s="402">
        <f>IF($D139="Sim",SUM('11 - Manutenção'!W61:W62)*9.25%,0)</f>
        <v>454.92425000000003</v>
      </c>
      <c r="AA139" s="402">
        <f>IF($D139="Sim",SUM('11 - Manutenção'!X61:X62)*9.25%,0)</f>
        <v>454.92425000000003</v>
      </c>
      <c r="AB139" s="402">
        <f>IF($D139="Sim",SUM('11 - Manutenção'!Y61:Y62)*9.25%,0)</f>
        <v>454.92425000000003</v>
      </c>
      <c r="AC139" s="402">
        <f>IF($D139="Sim",SUM('11 - Manutenção'!Z61:Z62)*9.25%,0)</f>
        <v>454.92425000000003</v>
      </c>
      <c r="AD139" s="402">
        <f>IF($D139="Sim",SUM('11 - Manutenção'!AA61:AA62)*9.25%,0)</f>
        <v>454.92425000000003</v>
      </c>
      <c r="AE139" s="402">
        <f>IF($D139="Sim",SUM('11 - Manutenção'!AB61:AB62)*9.25%,0)</f>
        <v>454.92425000000003</v>
      </c>
      <c r="AF139" s="402">
        <f>IF($D139="Sim",SUM('11 - Manutenção'!AC61:AC62)*9.25%,0)</f>
        <v>452.214</v>
      </c>
      <c r="AG139" s="402">
        <f>IF($D139="Sim",SUM('11 - Manutenção'!AD61:AD62)*9.25%,0)</f>
        <v>452.214</v>
      </c>
      <c r="AH139" s="402">
        <f>IF($D139="Sim",SUM('11 - Manutenção'!AE61:AE62)*9.25%,0)</f>
        <v>452.214</v>
      </c>
      <c r="AI139" s="402">
        <f>IF($D139="Sim",SUM('11 - Manutenção'!AF61:AF62)*9.25%,0)</f>
        <v>452.214</v>
      </c>
      <c r="AJ139" s="402">
        <f>IF($D139="Sim",SUM('11 - Manutenção'!AG61:AG62)*9.25%,0)</f>
        <v>452.214</v>
      </c>
      <c r="AK139" s="402">
        <f>IF($D139="Sim",SUM('11 - Manutenção'!AH61:AH62)*9.25%,0)</f>
        <v>452.214</v>
      </c>
      <c r="AL139" s="402">
        <f>IF($D139="Sim",SUM('11 - Manutenção'!AI61:AI62)*9.25%,0)</f>
        <v>449.50374999999997</v>
      </c>
      <c r="AM139" s="402">
        <f>IF($D139="Sim",SUM('11 - Manutenção'!AJ61:AJ62)*9.25%,0)</f>
        <v>449.50374999999997</v>
      </c>
      <c r="AN139" s="402">
        <f>IF($D139="Sim",SUM('11 - Manutenção'!AK61:AK62)*9.25%,0)</f>
        <v>449.50374999999997</v>
      </c>
    </row>
    <row r="140" spans="2:40" s="8" customFormat="1" ht="13.15" customHeight="1" x14ac:dyDescent="0.2">
      <c r="B140" s="323" t="s">
        <v>1365</v>
      </c>
      <c r="C140" s="418"/>
      <c r="D140" s="391"/>
      <c r="E140" s="392">
        <f t="shared" ref="E140:AM140" si="18">SUM(E141:E146)</f>
        <v>0</v>
      </c>
      <c r="F140" s="392">
        <f t="shared" si="18"/>
        <v>0</v>
      </c>
      <c r="G140" s="392">
        <f t="shared" si="18"/>
        <v>0</v>
      </c>
      <c r="H140" s="392">
        <f t="shared" si="18"/>
        <v>0</v>
      </c>
      <c r="I140" s="392">
        <f t="shared" si="18"/>
        <v>0</v>
      </c>
      <c r="J140" s="392">
        <f t="shared" si="18"/>
        <v>0</v>
      </c>
      <c r="K140" s="392">
        <f t="shared" si="18"/>
        <v>0</v>
      </c>
      <c r="L140" s="392">
        <f t="shared" si="18"/>
        <v>0</v>
      </c>
      <c r="M140" s="392">
        <f t="shared" si="18"/>
        <v>0</v>
      </c>
      <c r="N140" s="392">
        <f t="shared" si="18"/>
        <v>0</v>
      </c>
      <c r="O140" s="392">
        <f t="shared" si="18"/>
        <v>0</v>
      </c>
      <c r="P140" s="392">
        <f t="shared" si="18"/>
        <v>0</v>
      </c>
      <c r="Q140" s="392">
        <f t="shared" si="18"/>
        <v>0</v>
      </c>
      <c r="R140" s="392">
        <f t="shared" si="18"/>
        <v>0</v>
      </c>
      <c r="S140" s="392">
        <f t="shared" si="18"/>
        <v>0</v>
      </c>
      <c r="T140" s="392">
        <f t="shared" si="18"/>
        <v>0</v>
      </c>
      <c r="U140" s="392">
        <f t="shared" si="18"/>
        <v>0</v>
      </c>
      <c r="V140" s="392">
        <f t="shared" si="18"/>
        <v>0</v>
      </c>
      <c r="W140" s="392">
        <f t="shared" si="18"/>
        <v>0</v>
      </c>
      <c r="X140" s="392">
        <f t="shared" si="18"/>
        <v>0</v>
      </c>
      <c r="Y140" s="392">
        <f t="shared" si="18"/>
        <v>0</v>
      </c>
      <c r="Z140" s="392">
        <f t="shared" si="18"/>
        <v>0</v>
      </c>
      <c r="AA140" s="392">
        <f t="shared" si="18"/>
        <v>0</v>
      </c>
      <c r="AB140" s="392">
        <f t="shared" si="18"/>
        <v>0</v>
      </c>
      <c r="AC140" s="392">
        <f t="shared" si="18"/>
        <v>0</v>
      </c>
      <c r="AD140" s="392">
        <f t="shared" si="18"/>
        <v>0</v>
      </c>
      <c r="AE140" s="392">
        <f t="shared" si="18"/>
        <v>0</v>
      </c>
      <c r="AF140" s="392">
        <f t="shared" si="18"/>
        <v>0</v>
      </c>
      <c r="AG140" s="392">
        <f t="shared" si="18"/>
        <v>0</v>
      </c>
      <c r="AH140" s="392">
        <f t="shared" si="18"/>
        <v>0</v>
      </c>
      <c r="AI140" s="392">
        <f t="shared" si="18"/>
        <v>0</v>
      </c>
      <c r="AJ140" s="392">
        <f t="shared" si="18"/>
        <v>0</v>
      </c>
      <c r="AK140" s="392">
        <f t="shared" si="18"/>
        <v>0</v>
      </c>
      <c r="AL140" s="392">
        <f t="shared" si="18"/>
        <v>0</v>
      </c>
      <c r="AM140" s="392">
        <f t="shared" si="18"/>
        <v>0</v>
      </c>
      <c r="AN140" s="392">
        <f>SUM(AN141:AN146)</f>
        <v>0</v>
      </c>
    </row>
    <row r="141" spans="2:40" ht="13.15" customHeight="1" outlineLevel="1" x14ac:dyDescent="0.2">
      <c r="B141" s="404" t="s">
        <v>1366</v>
      </c>
      <c r="C141" s="413"/>
      <c r="D141" s="299" t="s">
        <v>1346</v>
      </c>
      <c r="E141" s="407">
        <f t="shared" si="14"/>
        <v>0</v>
      </c>
      <c r="F141" s="402">
        <f>IF($D141="Sim",'12 - IPVA + Licenciamento'!D7*9.25%,0)</f>
        <v>0</v>
      </c>
      <c r="G141" s="402">
        <f>IF($D141="Sim",'12 - IPVA + Licenciamento'!E7*9.25%,0)</f>
        <v>0</v>
      </c>
      <c r="H141" s="402">
        <f>IF($D141="Sim",'12 - IPVA + Licenciamento'!F7*9.25%,0)</f>
        <v>0</v>
      </c>
      <c r="I141" s="402">
        <f>IF($D141="Sim",'12 - IPVA + Licenciamento'!G7*9.25%,0)</f>
        <v>0</v>
      </c>
      <c r="J141" s="402">
        <f>IF($D141="Sim",'12 - IPVA + Licenciamento'!H7*9.25%,0)</f>
        <v>0</v>
      </c>
      <c r="K141" s="402">
        <f>IF($D141="Sim",'12 - IPVA + Licenciamento'!I7*9.25%,0)</f>
        <v>0</v>
      </c>
      <c r="L141" s="402">
        <f>IF($D141="Sim",'12 - IPVA + Licenciamento'!J7*9.25%,0)</f>
        <v>0</v>
      </c>
      <c r="M141" s="402">
        <f>IF($D141="Sim",'12 - IPVA + Licenciamento'!K7*9.25%,0)</f>
        <v>0</v>
      </c>
      <c r="N141" s="402">
        <f>IF($D141="Sim",'12 - IPVA + Licenciamento'!L7*9.25%,0)</f>
        <v>0</v>
      </c>
      <c r="O141" s="402">
        <f>IF($D141="Sim",'12 - IPVA + Licenciamento'!M7*9.25%,0)</f>
        <v>0</v>
      </c>
      <c r="P141" s="402">
        <f>IF($D141="Sim",'12 - IPVA + Licenciamento'!N7*9.25%,0)</f>
        <v>0</v>
      </c>
      <c r="Q141" s="402">
        <f>IF($D141="Sim",'12 - IPVA + Licenciamento'!O7*9.25%,0)</f>
        <v>0</v>
      </c>
      <c r="R141" s="402">
        <f>IF($D141="Sim",'12 - IPVA + Licenciamento'!P7*9.25%,0)</f>
        <v>0</v>
      </c>
      <c r="S141" s="402">
        <f>IF($D141="Sim",'12 - IPVA + Licenciamento'!Q7*9.25%,0)</f>
        <v>0</v>
      </c>
      <c r="T141" s="402">
        <f>IF($D141="Sim",'12 - IPVA + Licenciamento'!R7*9.25%,0)</f>
        <v>0</v>
      </c>
      <c r="U141" s="402">
        <f>IF($D141="Sim",'12 - IPVA + Licenciamento'!S7*9.25%,0)</f>
        <v>0</v>
      </c>
      <c r="V141" s="402">
        <f>IF($D141="Sim",'12 - IPVA + Licenciamento'!T7*9.25%,0)</f>
        <v>0</v>
      </c>
      <c r="W141" s="402">
        <f>IF($D141="Sim",'12 - IPVA + Licenciamento'!U7*9.25%,0)</f>
        <v>0</v>
      </c>
      <c r="X141" s="402">
        <f>IF($D141="Sim",'12 - IPVA + Licenciamento'!V7*9.25%,0)</f>
        <v>0</v>
      </c>
      <c r="Y141" s="402">
        <f>IF($D141="Sim",'12 - IPVA + Licenciamento'!W7*9.25%,0)</f>
        <v>0</v>
      </c>
      <c r="Z141" s="402">
        <f>IF($D141="Sim",'12 - IPVA + Licenciamento'!X7*9.25%,0)</f>
        <v>0</v>
      </c>
      <c r="AA141" s="402">
        <f>IF($D141="Sim",'12 - IPVA + Licenciamento'!Y7*9.25%,0)</f>
        <v>0</v>
      </c>
      <c r="AB141" s="402">
        <f>IF($D141="Sim",'12 - IPVA + Licenciamento'!Z7*9.25%,0)</f>
        <v>0</v>
      </c>
      <c r="AC141" s="402">
        <f>IF($D141="Sim",'12 - IPVA + Licenciamento'!AA7*9.25%,0)</f>
        <v>0</v>
      </c>
      <c r="AD141" s="402">
        <f>IF($D141="Sim",'12 - IPVA + Licenciamento'!AB7*9.25%,0)</f>
        <v>0</v>
      </c>
      <c r="AE141" s="402">
        <f>IF($D141="Sim",'12 - IPVA + Licenciamento'!AC7*9.25%,0)</f>
        <v>0</v>
      </c>
      <c r="AF141" s="402">
        <f>IF($D141="Sim",'12 - IPVA + Licenciamento'!AD7*9.25%,0)</f>
        <v>0</v>
      </c>
      <c r="AG141" s="402">
        <f>IF($D141="Sim",'12 - IPVA + Licenciamento'!AE7*9.25%,0)</f>
        <v>0</v>
      </c>
      <c r="AH141" s="402">
        <f>IF($D141="Sim",'12 - IPVA + Licenciamento'!AF7*9.25%,0)</f>
        <v>0</v>
      </c>
      <c r="AI141" s="402">
        <f>IF($D141="Sim",'12 - IPVA + Licenciamento'!AG7*9.25%,0)</f>
        <v>0</v>
      </c>
      <c r="AJ141" s="402">
        <f>IF($D141="Sim",'12 - IPVA + Licenciamento'!AH7*9.25%,0)</f>
        <v>0</v>
      </c>
      <c r="AK141" s="402">
        <f>IF($D141="Sim",'12 - IPVA + Licenciamento'!AI7*9.25%,0)</f>
        <v>0</v>
      </c>
      <c r="AL141" s="402">
        <f>IF($D141="Sim",'12 - IPVA + Licenciamento'!AJ7*9.25%,0)</f>
        <v>0</v>
      </c>
      <c r="AM141" s="402">
        <f>IF($D141="Sim",'12 - IPVA + Licenciamento'!AK7*9.25%,0)</f>
        <v>0</v>
      </c>
      <c r="AN141" s="402">
        <f>IF($D141="Sim",'12 - IPVA + Licenciamento'!AL7*9.25%,0)</f>
        <v>0</v>
      </c>
    </row>
    <row r="142" spans="2:40" ht="13.15" customHeight="1" outlineLevel="1" x14ac:dyDescent="0.2">
      <c r="B142" s="404" t="s">
        <v>1044</v>
      </c>
      <c r="C142" s="413"/>
      <c r="D142" s="299" t="s">
        <v>1346</v>
      </c>
      <c r="E142" s="407">
        <f t="shared" si="14"/>
        <v>0</v>
      </c>
      <c r="F142" s="402">
        <f>IF($D142="Sim",'12 - IPVA + Licenciamento'!D14*9.25%,0)</f>
        <v>0</v>
      </c>
      <c r="G142" s="402">
        <f>IF($D142="Sim",'12 - IPVA + Licenciamento'!E14*9.25%,0)</f>
        <v>0</v>
      </c>
      <c r="H142" s="402">
        <f>IF($D142="Sim",'12 - IPVA + Licenciamento'!F14*9.25%,0)</f>
        <v>0</v>
      </c>
      <c r="I142" s="402">
        <f>IF($D142="Sim",'12 - IPVA + Licenciamento'!G14*9.25%,0)</f>
        <v>0</v>
      </c>
      <c r="J142" s="402">
        <f>IF($D142="Sim",'12 - IPVA + Licenciamento'!H14*9.25%,0)</f>
        <v>0</v>
      </c>
      <c r="K142" s="402">
        <f>IF($D142="Sim",'12 - IPVA + Licenciamento'!I14*9.25%,0)</f>
        <v>0</v>
      </c>
      <c r="L142" s="402">
        <f>IF($D142="Sim",'12 - IPVA + Licenciamento'!J14*9.25%,0)</f>
        <v>0</v>
      </c>
      <c r="M142" s="402">
        <f>IF($D142="Sim",'12 - IPVA + Licenciamento'!K14*9.25%,0)</f>
        <v>0</v>
      </c>
      <c r="N142" s="402">
        <f>IF($D142="Sim",'12 - IPVA + Licenciamento'!L14*9.25%,0)</f>
        <v>0</v>
      </c>
      <c r="O142" s="402">
        <f>IF($D142="Sim",'12 - IPVA + Licenciamento'!M14*9.25%,0)</f>
        <v>0</v>
      </c>
      <c r="P142" s="402">
        <f>IF($D142="Sim",'12 - IPVA + Licenciamento'!N14*9.25%,0)</f>
        <v>0</v>
      </c>
      <c r="Q142" s="402">
        <f>IF($D142="Sim",'12 - IPVA + Licenciamento'!O14*9.25%,0)</f>
        <v>0</v>
      </c>
      <c r="R142" s="402">
        <f>IF($D142="Sim",'12 - IPVA + Licenciamento'!P14*9.25%,0)</f>
        <v>0</v>
      </c>
      <c r="S142" s="402">
        <f>IF($D142="Sim",'12 - IPVA + Licenciamento'!Q14*9.25%,0)</f>
        <v>0</v>
      </c>
      <c r="T142" s="402">
        <f>IF($D142="Sim",'12 - IPVA + Licenciamento'!R14*9.25%,0)</f>
        <v>0</v>
      </c>
      <c r="U142" s="402">
        <f>IF($D142="Sim",'12 - IPVA + Licenciamento'!S14*9.25%,0)</f>
        <v>0</v>
      </c>
      <c r="V142" s="402">
        <f>IF($D142="Sim",'12 - IPVA + Licenciamento'!T14*9.25%,0)</f>
        <v>0</v>
      </c>
      <c r="W142" s="402">
        <f>IF($D142="Sim",'12 - IPVA + Licenciamento'!U14*9.25%,0)</f>
        <v>0</v>
      </c>
      <c r="X142" s="402">
        <f>IF($D142="Sim",'12 - IPVA + Licenciamento'!V14*9.25%,0)</f>
        <v>0</v>
      </c>
      <c r="Y142" s="402">
        <f>IF($D142="Sim",'12 - IPVA + Licenciamento'!W14*9.25%,0)</f>
        <v>0</v>
      </c>
      <c r="Z142" s="402">
        <f>IF($D142="Sim",'12 - IPVA + Licenciamento'!X14*9.25%,0)</f>
        <v>0</v>
      </c>
      <c r="AA142" s="402">
        <f>IF($D142="Sim",'12 - IPVA + Licenciamento'!Y14*9.25%,0)</f>
        <v>0</v>
      </c>
      <c r="AB142" s="402">
        <f>IF($D142="Sim",'12 - IPVA + Licenciamento'!Z14*9.25%,0)</f>
        <v>0</v>
      </c>
      <c r="AC142" s="402">
        <f>IF($D142="Sim",'12 - IPVA + Licenciamento'!AA14*9.25%,0)</f>
        <v>0</v>
      </c>
      <c r="AD142" s="402">
        <f>IF($D142="Sim",'12 - IPVA + Licenciamento'!AB14*9.25%,0)</f>
        <v>0</v>
      </c>
      <c r="AE142" s="402">
        <f>IF($D142="Sim",'12 - IPVA + Licenciamento'!AC14*9.25%,0)</f>
        <v>0</v>
      </c>
      <c r="AF142" s="402">
        <f>IF($D142="Sim",'12 - IPVA + Licenciamento'!AD14*9.25%,0)</f>
        <v>0</v>
      </c>
      <c r="AG142" s="402">
        <f>IF($D142="Sim",'12 - IPVA + Licenciamento'!AE14*9.25%,0)</f>
        <v>0</v>
      </c>
      <c r="AH142" s="402">
        <f>IF($D142="Sim",'12 - IPVA + Licenciamento'!AF14*9.25%,0)</f>
        <v>0</v>
      </c>
      <c r="AI142" s="402">
        <f>IF($D142="Sim",'12 - IPVA + Licenciamento'!AG14*9.25%,0)</f>
        <v>0</v>
      </c>
      <c r="AJ142" s="402">
        <f>IF($D142="Sim",'12 - IPVA + Licenciamento'!AH14*9.25%,0)</f>
        <v>0</v>
      </c>
      <c r="AK142" s="402">
        <f>IF($D142="Sim",'12 - IPVA + Licenciamento'!AI14*9.25%,0)</f>
        <v>0</v>
      </c>
      <c r="AL142" s="402">
        <f>IF($D142="Sim",'12 - IPVA + Licenciamento'!AJ14*9.25%,0)</f>
        <v>0</v>
      </c>
      <c r="AM142" s="402">
        <f>IF($D142="Sim",'12 - IPVA + Licenciamento'!AK14*9.25%,0)</f>
        <v>0</v>
      </c>
      <c r="AN142" s="402">
        <f>IF($D142="Sim",'12 - IPVA + Licenciamento'!AL14*9.25%,0)</f>
        <v>0</v>
      </c>
    </row>
    <row r="143" spans="2:40" ht="13.15" customHeight="1" outlineLevel="1" x14ac:dyDescent="0.2">
      <c r="B143" s="404" t="s">
        <v>1367</v>
      </c>
      <c r="C143" s="413"/>
      <c r="D143" s="299" t="s">
        <v>1346</v>
      </c>
      <c r="E143" s="407">
        <f t="shared" si="14"/>
        <v>0</v>
      </c>
      <c r="F143" s="402">
        <f>IF($D143="Sim",'12 - IPVA + Licenciamento'!#REF!*9.25%,0)</f>
        <v>0</v>
      </c>
      <c r="G143" s="402">
        <f>IF($D143="Sim",'12 - IPVA + Licenciamento'!#REF!*9.25%,0)</f>
        <v>0</v>
      </c>
      <c r="H143" s="402">
        <f>IF($D143="Sim",'12 - IPVA + Licenciamento'!#REF!*9.25%,0)</f>
        <v>0</v>
      </c>
      <c r="I143" s="402">
        <f>IF($D143="Sim",'12 - IPVA + Licenciamento'!#REF!*9.25%,0)</f>
        <v>0</v>
      </c>
      <c r="J143" s="402">
        <f>IF($D143="Sim",'12 - IPVA + Licenciamento'!#REF!*9.25%,0)</f>
        <v>0</v>
      </c>
      <c r="K143" s="402">
        <f>IF($D143="Sim",'12 - IPVA + Licenciamento'!#REF!*9.25%,0)</f>
        <v>0</v>
      </c>
      <c r="L143" s="402">
        <f>IF($D143="Sim",'12 - IPVA + Licenciamento'!#REF!*9.25%,0)</f>
        <v>0</v>
      </c>
      <c r="M143" s="402">
        <f>IF($D143="Sim",'12 - IPVA + Licenciamento'!#REF!*9.25%,0)</f>
        <v>0</v>
      </c>
      <c r="N143" s="402">
        <f>IF($D143="Sim",'12 - IPVA + Licenciamento'!#REF!*9.25%,0)</f>
        <v>0</v>
      </c>
      <c r="O143" s="402">
        <f>IF($D143="Sim",'12 - IPVA + Licenciamento'!#REF!*9.25%,0)</f>
        <v>0</v>
      </c>
      <c r="P143" s="402">
        <f>IF($D143="Sim",'12 - IPVA + Licenciamento'!#REF!*9.25%,0)</f>
        <v>0</v>
      </c>
      <c r="Q143" s="402">
        <f>IF($D143="Sim",'12 - IPVA + Licenciamento'!#REF!*9.25%,0)</f>
        <v>0</v>
      </c>
      <c r="R143" s="402">
        <f>IF($D143="Sim",'12 - IPVA + Licenciamento'!#REF!*9.25%,0)</f>
        <v>0</v>
      </c>
      <c r="S143" s="402">
        <f>IF($D143="Sim",'12 - IPVA + Licenciamento'!#REF!*9.25%,0)</f>
        <v>0</v>
      </c>
      <c r="T143" s="402">
        <f>IF($D143="Sim",'12 - IPVA + Licenciamento'!#REF!*9.25%,0)</f>
        <v>0</v>
      </c>
      <c r="U143" s="402">
        <f>IF($D143="Sim",'12 - IPVA + Licenciamento'!#REF!*9.25%,0)</f>
        <v>0</v>
      </c>
      <c r="V143" s="402">
        <f>IF($D143="Sim",'12 - IPVA + Licenciamento'!#REF!*9.25%,0)</f>
        <v>0</v>
      </c>
      <c r="W143" s="402">
        <f>IF($D143="Sim",'12 - IPVA + Licenciamento'!#REF!*9.25%,0)</f>
        <v>0</v>
      </c>
      <c r="X143" s="402">
        <f>IF($D143="Sim",'12 - IPVA + Licenciamento'!#REF!*9.25%,0)</f>
        <v>0</v>
      </c>
      <c r="Y143" s="402">
        <f>IF($D143="Sim",'12 - IPVA + Licenciamento'!#REF!*9.25%,0)</f>
        <v>0</v>
      </c>
      <c r="Z143" s="402">
        <f>IF($D143="Sim",'12 - IPVA + Licenciamento'!#REF!*9.25%,0)</f>
        <v>0</v>
      </c>
      <c r="AA143" s="402">
        <f>IF($D143="Sim",'12 - IPVA + Licenciamento'!#REF!*9.25%,0)</f>
        <v>0</v>
      </c>
      <c r="AB143" s="402">
        <f>IF($D143="Sim",'12 - IPVA + Licenciamento'!#REF!*9.25%,0)</f>
        <v>0</v>
      </c>
      <c r="AC143" s="402">
        <f>IF($D143="Sim",'12 - IPVA + Licenciamento'!#REF!*9.25%,0)</f>
        <v>0</v>
      </c>
      <c r="AD143" s="402">
        <f>IF($D143="Sim",'12 - IPVA + Licenciamento'!#REF!*9.25%,0)</f>
        <v>0</v>
      </c>
      <c r="AE143" s="402">
        <f>IF($D143="Sim",'12 - IPVA + Licenciamento'!#REF!*9.25%,0)</f>
        <v>0</v>
      </c>
      <c r="AF143" s="402">
        <f>IF($D143="Sim",'12 - IPVA + Licenciamento'!#REF!*9.25%,0)</f>
        <v>0</v>
      </c>
      <c r="AG143" s="402">
        <f>IF($D143="Sim",'12 - IPVA + Licenciamento'!#REF!*9.25%,0)</f>
        <v>0</v>
      </c>
      <c r="AH143" s="402">
        <f>IF($D143="Sim",'12 - IPVA + Licenciamento'!#REF!*9.25%,0)</f>
        <v>0</v>
      </c>
      <c r="AI143" s="402">
        <f>IF($D143="Sim",'12 - IPVA + Licenciamento'!#REF!*9.25%,0)</f>
        <v>0</v>
      </c>
      <c r="AJ143" s="402">
        <f>IF($D143="Sim",'12 - IPVA + Licenciamento'!#REF!*9.25%,0)</f>
        <v>0</v>
      </c>
      <c r="AK143" s="402">
        <f>IF($D143="Sim",'12 - IPVA + Licenciamento'!#REF!*9.25%,0)</f>
        <v>0</v>
      </c>
      <c r="AL143" s="402">
        <f>IF($D143="Sim",'12 - IPVA + Licenciamento'!#REF!*9.25%,0)</f>
        <v>0</v>
      </c>
      <c r="AM143" s="402">
        <f>IF($D143="Sim",'12 - IPVA + Licenciamento'!#REF!*9.25%,0)</f>
        <v>0</v>
      </c>
      <c r="AN143" s="402">
        <f>IF($D143="Sim",'12 - IPVA + Licenciamento'!#REF!*9.25%,0)</f>
        <v>0</v>
      </c>
    </row>
    <row r="144" spans="2:40" ht="13.15" customHeight="1" outlineLevel="1" x14ac:dyDescent="0.2">
      <c r="B144" s="404" t="s">
        <v>1046</v>
      </c>
      <c r="C144" s="413"/>
      <c r="D144" s="299" t="s">
        <v>1346</v>
      </c>
      <c r="E144" s="407">
        <f t="shared" si="14"/>
        <v>0</v>
      </c>
      <c r="F144" s="402">
        <f>IF($D144="Sim",'12 - IPVA + Licenciamento'!D19*9.25%,0)</f>
        <v>0</v>
      </c>
      <c r="G144" s="402">
        <f>IF($D144="Sim",'12 - IPVA + Licenciamento'!E19*9.25%,0)</f>
        <v>0</v>
      </c>
      <c r="H144" s="402">
        <f>IF($D144="Sim",'12 - IPVA + Licenciamento'!F19*9.25%,0)</f>
        <v>0</v>
      </c>
      <c r="I144" s="402">
        <f>IF($D144="Sim",'12 - IPVA + Licenciamento'!G19*9.25%,0)</f>
        <v>0</v>
      </c>
      <c r="J144" s="402">
        <f>IF($D144="Sim",'12 - IPVA + Licenciamento'!H19*9.25%,0)</f>
        <v>0</v>
      </c>
      <c r="K144" s="402">
        <f>IF($D144="Sim",'12 - IPVA + Licenciamento'!I19*9.25%,0)</f>
        <v>0</v>
      </c>
      <c r="L144" s="402">
        <f>IF($D144="Sim",'12 - IPVA + Licenciamento'!J19*9.25%,0)</f>
        <v>0</v>
      </c>
      <c r="M144" s="402">
        <f>IF($D144="Sim",'12 - IPVA + Licenciamento'!K19*9.25%,0)</f>
        <v>0</v>
      </c>
      <c r="N144" s="402">
        <f>IF($D144="Sim",'12 - IPVA + Licenciamento'!L19*9.25%,0)</f>
        <v>0</v>
      </c>
      <c r="O144" s="402">
        <f>IF($D144="Sim",'12 - IPVA + Licenciamento'!M19*9.25%,0)</f>
        <v>0</v>
      </c>
      <c r="P144" s="402">
        <f>IF($D144="Sim",'12 - IPVA + Licenciamento'!N19*9.25%,0)</f>
        <v>0</v>
      </c>
      <c r="Q144" s="402">
        <f>IF($D144="Sim",'12 - IPVA + Licenciamento'!O19*9.25%,0)</f>
        <v>0</v>
      </c>
      <c r="R144" s="402">
        <f>IF($D144="Sim",'12 - IPVA + Licenciamento'!P19*9.25%,0)</f>
        <v>0</v>
      </c>
      <c r="S144" s="402">
        <f>IF($D144="Sim",'12 - IPVA + Licenciamento'!Q19*9.25%,0)</f>
        <v>0</v>
      </c>
      <c r="T144" s="402">
        <f>IF($D144="Sim",'12 - IPVA + Licenciamento'!R19*9.25%,0)</f>
        <v>0</v>
      </c>
      <c r="U144" s="402">
        <f>IF($D144="Sim",'12 - IPVA + Licenciamento'!S19*9.25%,0)</f>
        <v>0</v>
      </c>
      <c r="V144" s="402">
        <f>IF($D144="Sim",'12 - IPVA + Licenciamento'!T19*9.25%,0)</f>
        <v>0</v>
      </c>
      <c r="W144" s="402">
        <f>IF($D144="Sim",'12 - IPVA + Licenciamento'!U19*9.25%,0)</f>
        <v>0</v>
      </c>
      <c r="X144" s="402">
        <f>IF($D144="Sim",'12 - IPVA + Licenciamento'!V19*9.25%,0)</f>
        <v>0</v>
      </c>
      <c r="Y144" s="402">
        <f>IF($D144="Sim",'12 - IPVA + Licenciamento'!W19*9.25%,0)</f>
        <v>0</v>
      </c>
      <c r="Z144" s="402">
        <f>IF($D144="Sim",'12 - IPVA + Licenciamento'!X19*9.25%,0)</f>
        <v>0</v>
      </c>
      <c r="AA144" s="402">
        <f>IF($D144="Sim",'12 - IPVA + Licenciamento'!Y19*9.25%,0)</f>
        <v>0</v>
      </c>
      <c r="AB144" s="402">
        <f>IF($D144="Sim",'12 - IPVA + Licenciamento'!Z19*9.25%,0)</f>
        <v>0</v>
      </c>
      <c r="AC144" s="402">
        <f>IF($D144="Sim",'12 - IPVA + Licenciamento'!AA19*9.25%,0)</f>
        <v>0</v>
      </c>
      <c r="AD144" s="402">
        <f>IF($D144="Sim",'12 - IPVA + Licenciamento'!AB19*9.25%,0)</f>
        <v>0</v>
      </c>
      <c r="AE144" s="402">
        <f>IF($D144="Sim",'12 - IPVA + Licenciamento'!AC19*9.25%,0)</f>
        <v>0</v>
      </c>
      <c r="AF144" s="402">
        <f>IF($D144="Sim",'12 - IPVA + Licenciamento'!AD19*9.25%,0)</f>
        <v>0</v>
      </c>
      <c r="AG144" s="402">
        <f>IF($D144="Sim",'12 - IPVA + Licenciamento'!AE19*9.25%,0)</f>
        <v>0</v>
      </c>
      <c r="AH144" s="402">
        <f>IF($D144="Sim",'12 - IPVA + Licenciamento'!AF19*9.25%,0)</f>
        <v>0</v>
      </c>
      <c r="AI144" s="402">
        <f>IF($D144="Sim",'12 - IPVA + Licenciamento'!AG19*9.25%,0)</f>
        <v>0</v>
      </c>
      <c r="AJ144" s="402">
        <f>IF($D144="Sim",'12 - IPVA + Licenciamento'!AH19*9.25%,0)</f>
        <v>0</v>
      </c>
      <c r="AK144" s="402">
        <f>IF($D144="Sim",'12 - IPVA + Licenciamento'!AI19*9.25%,0)</f>
        <v>0</v>
      </c>
      <c r="AL144" s="402">
        <f>IF($D144="Sim",'12 - IPVA + Licenciamento'!AJ19*9.25%,0)</f>
        <v>0</v>
      </c>
      <c r="AM144" s="402">
        <f>IF($D144="Sim",'12 - IPVA + Licenciamento'!AK19*9.25%,0)</f>
        <v>0</v>
      </c>
      <c r="AN144" s="402">
        <f>IF($D144="Sim",'12 - IPVA + Licenciamento'!AL19*9.25%,0)</f>
        <v>0</v>
      </c>
    </row>
    <row r="145" spans="2:40" ht="13.15" customHeight="1" outlineLevel="1" x14ac:dyDescent="0.2">
      <c r="B145" s="404" t="s">
        <v>1368</v>
      </c>
      <c r="C145" s="413"/>
      <c r="D145" s="299" t="s">
        <v>1346</v>
      </c>
      <c r="E145" s="407">
        <f t="shared" si="14"/>
        <v>0</v>
      </c>
      <c r="F145" s="402">
        <f>IF($D145="Sim",'12 - IPVA + Licenciamento'!#REF!*9.25%,0)</f>
        <v>0</v>
      </c>
      <c r="G145" s="402">
        <f>IF($D145="Sim",'12 - IPVA + Licenciamento'!#REF!*9.25%,0)</f>
        <v>0</v>
      </c>
      <c r="H145" s="402">
        <f>IF($D145="Sim",'12 - IPVA + Licenciamento'!#REF!*9.25%,0)</f>
        <v>0</v>
      </c>
      <c r="I145" s="402">
        <f>IF($D145="Sim",'12 - IPVA + Licenciamento'!#REF!*9.25%,0)</f>
        <v>0</v>
      </c>
      <c r="J145" s="402">
        <f>IF($D145="Sim",'12 - IPVA + Licenciamento'!#REF!*9.25%,0)</f>
        <v>0</v>
      </c>
      <c r="K145" s="402">
        <f>IF($D145="Sim",'12 - IPVA + Licenciamento'!#REF!*9.25%,0)</f>
        <v>0</v>
      </c>
      <c r="L145" s="402">
        <f>IF($D145="Sim",'12 - IPVA + Licenciamento'!#REF!*9.25%,0)</f>
        <v>0</v>
      </c>
      <c r="M145" s="402">
        <f>IF($D145="Sim",'12 - IPVA + Licenciamento'!#REF!*9.25%,0)</f>
        <v>0</v>
      </c>
      <c r="N145" s="402">
        <f>IF($D145="Sim",'12 - IPVA + Licenciamento'!#REF!*9.25%,0)</f>
        <v>0</v>
      </c>
      <c r="O145" s="402">
        <f>IF($D145="Sim",'12 - IPVA + Licenciamento'!#REF!*9.25%,0)</f>
        <v>0</v>
      </c>
      <c r="P145" s="402">
        <f>IF($D145="Sim",'12 - IPVA + Licenciamento'!#REF!*9.25%,0)</f>
        <v>0</v>
      </c>
      <c r="Q145" s="402">
        <f>IF($D145="Sim",'12 - IPVA + Licenciamento'!#REF!*9.25%,0)</f>
        <v>0</v>
      </c>
      <c r="R145" s="402">
        <f>IF($D145="Sim",'12 - IPVA + Licenciamento'!#REF!*9.25%,0)</f>
        <v>0</v>
      </c>
      <c r="S145" s="402">
        <f>IF($D145="Sim",'12 - IPVA + Licenciamento'!#REF!*9.25%,0)</f>
        <v>0</v>
      </c>
      <c r="T145" s="402">
        <f>IF($D145="Sim",'12 - IPVA + Licenciamento'!#REF!*9.25%,0)</f>
        <v>0</v>
      </c>
      <c r="U145" s="402">
        <f>IF($D145="Sim",'12 - IPVA + Licenciamento'!#REF!*9.25%,0)</f>
        <v>0</v>
      </c>
      <c r="V145" s="402">
        <f>IF($D145="Sim",'12 - IPVA + Licenciamento'!#REF!*9.25%,0)</f>
        <v>0</v>
      </c>
      <c r="W145" s="402">
        <f>IF($D145="Sim",'12 - IPVA + Licenciamento'!#REF!*9.25%,0)</f>
        <v>0</v>
      </c>
      <c r="X145" s="402">
        <f>IF($D145="Sim",'12 - IPVA + Licenciamento'!#REF!*9.25%,0)</f>
        <v>0</v>
      </c>
      <c r="Y145" s="402">
        <f>IF($D145="Sim",'12 - IPVA + Licenciamento'!#REF!*9.25%,0)</f>
        <v>0</v>
      </c>
      <c r="Z145" s="402">
        <f>IF($D145="Sim",'12 - IPVA + Licenciamento'!#REF!*9.25%,0)</f>
        <v>0</v>
      </c>
      <c r="AA145" s="402">
        <f>IF($D145="Sim",'12 - IPVA + Licenciamento'!#REF!*9.25%,0)</f>
        <v>0</v>
      </c>
      <c r="AB145" s="402">
        <f>IF($D145="Sim",'12 - IPVA + Licenciamento'!#REF!*9.25%,0)</f>
        <v>0</v>
      </c>
      <c r="AC145" s="402">
        <f>IF($D145="Sim",'12 - IPVA + Licenciamento'!#REF!*9.25%,0)</f>
        <v>0</v>
      </c>
      <c r="AD145" s="402">
        <f>IF($D145="Sim",'12 - IPVA + Licenciamento'!#REF!*9.25%,0)</f>
        <v>0</v>
      </c>
      <c r="AE145" s="402">
        <f>IF($D145="Sim",'12 - IPVA + Licenciamento'!#REF!*9.25%,0)</f>
        <v>0</v>
      </c>
      <c r="AF145" s="402">
        <f>IF($D145="Sim",'12 - IPVA + Licenciamento'!#REF!*9.25%,0)</f>
        <v>0</v>
      </c>
      <c r="AG145" s="402">
        <f>IF($D145="Sim",'12 - IPVA + Licenciamento'!#REF!*9.25%,0)</f>
        <v>0</v>
      </c>
      <c r="AH145" s="402">
        <f>IF($D145="Sim",'12 - IPVA + Licenciamento'!#REF!*9.25%,0)</f>
        <v>0</v>
      </c>
      <c r="AI145" s="402">
        <f>IF($D145="Sim",'12 - IPVA + Licenciamento'!#REF!*9.25%,0)</f>
        <v>0</v>
      </c>
      <c r="AJ145" s="402">
        <f>IF($D145="Sim",'12 - IPVA + Licenciamento'!#REF!*9.25%,0)</f>
        <v>0</v>
      </c>
      <c r="AK145" s="402">
        <f>IF($D145="Sim",'12 - IPVA + Licenciamento'!#REF!*9.25%,0)</f>
        <v>0</v>
      </c>
      <c r="AL145" s="402">
        <f>IF($D145="Sim",'12 - IPVA + Licenciamento'!#REF!*9.25%,0)</f>
        <v>0</v>
      </c>
      <c r="AM145" s="402">
        <f>IF($D145="Sim",'12 - IPVA + Licenciamento'!#REF!*9.25%,0)</f>
        <v>0</v>
      </c>
      <c r="AN145" s="402">
        <f>IF($D145="Sim",'12 - IPVA + Licenciamento'!#REF!*9.25%,0)</f>
        <v>0</v>
      </c>
    </row>
    <row r="146" spans="2:40" ht="13.15" customHeight="1" outlineLevel="1" x14ac:dyDescent="0.2">
      <c r="B146" s="404" t="s">
        <v>1369</v>
      </c>
      <c r="C146" s="413"/>
      <c r="D146" s="299" t="s">
        <v>1346</v>
      </c>
      <c r="E146" s="407">
        <f t="shared" si="14"/>
        <v>0</v>
      </c>
      <c r="F146" s="402">
        <f>IF($D146="Sim",'12 - IPVA + Licenciamento'!D24*9.25%,0)</f>
        <v>0</v>
      </c>
      <c r="G146" s="402">
        <f>IF($D146="Sim",'12 - IPVA + Licenciamento'!E24*9.25%,0)</f>
        <v>0</v>
      </c>
      <c r="H146" s="402">
        <f>IF($D146="Sim",'12 - IPVA + Licenciamento'!F24*9.25%,0)</f>
        <v>0</v>
      </c>
      <c r="I146" s="402">
        <f>IF($D146="Sim",'12 - IPVA + Licenciamento'!G24*9.25%,0)</f>
        <v>0</v>
      </c>
      <c r="J146" s="402">
        <f>IF($D146="Sim",'12 - IPVA + Licenciamento'!H24*9.25%,0)</f>
        <v>0</v>
      </c>
      <c r="K146" s="402">
        <f>IF($D146="Sim",'12 - IPVA + Licenciamento'!I24*9.25%,0)</f>
        <v>0</v>
      </c>
      <c r="L146" s="402">
        <f>IF($D146="Sim",'12 - IPVA + Licenciamento'!J24*9.25%,0)</f>
        <v>0</v>
      </c>
      <c r="M146" s="402">
        <f>IF($D146="Sim",'12 - IPVA + Licenciamento'!K24*9.25%,0)</f>
        <v>0</v>
      </c>
      <c r="N146" s="402">
        <f>IF($D146="Sim",'12 - IPVA + Licenciamento'!L24*9.25%,0)</f>
        <v>0</v>
      </c>
      <c r="O146" s="402">
        <f>IF($D146="Sim",'12 - IPVA + Licenciamento'!M24*9.25%,0)</f>
        <v>0</v>
      </c>
      <c r="P146" s="402">
        <f>IF($D146="Sim",'12 - IPVA + Licenciamento'!N24*9.25%,0)</f>
        <v>0</v>
      </c>
      <c r="Q146" s="402">
        <f>IF($D146="Sim",'12 - IPVA + Licenciamento'!O24*9.25%,0)</f>
        <v>0</v>
      </c>
      <c r="R146" s="402">
        <f>IF($D146="Sim",'12 - IPVA + Licenciamento'!P24*9.25%,0)</f>
        <v>0</v>
      </c>
      <c r="S146" s="402">
        <f>IF($D146="Sim",'12 - IPVA + Licenciamento'!Q24*9.25%,0)</f>
        <v>0</v>
      </c>
      <c r="T146" s="402">
        <f>IF($D146="Sim",'12 - IPVA + Licenciamento'!R24*9.25%,0)</f>
        <v>0</v>
      </c>
      <c r="U146" s="402">
        <f>IF($D146="Sim",'12 - IPVA + Licenciamento'!S24*9.25%,0)</f>
        <v>0</v>
      </c>
      <c r="V146" s="402">
        <f>IF($D146="Sim",'12 - IPVA + Licenciamento'!T24*9.25%,0)</f>
        <v>0</v>
      </c>
      <c r="W146" s="402">
        <f>IF($D146="Sim",'12 - IPVA + Licenciamento'!U24*9.25%,0)</f>
        <v>0</v>
      </c>
      <c r="X146" s="402">
        <f>IF($D146="Sim",'12 - IPVA + Licenciamento'!V24*9.25%,0)</f>
        <v>0</v>
      </c>
      <c r="Y146" s="402">
        <f>IF($D146="Sim",'12 - IPVA + Licenciamento'!W24*9.25%,0)</f>
        <v>0</v>
      </c>
      <c r="Z146" s="402">
        <f>IF($D146="Sim",'12 - IPVA + Licenciamento'!X24*9.25%,0)</f>
        <v>0</v>
      </c>
      <c r="AA146" s="402">
        <f>IF($D146="Sim",'12 - IPVA + Licenciamento'!Y24*9.25%,0)</f>
        <v>0</v>
      </c>
      <c r="AB146" s="402">
        <f>IF($D146="Sim",'12 - IPVA + Licenciamento'!Z24*9.25%,0)</f>
        <v>0</v>
      </c>
      <c r="AC146" s="402">
        <f>IF($D146="Sim",'12 - IPVA + Licenciamento'!AA24*9.25%,0)</f>
        <v>0</v>
      </c>
      <c r="AD146" s="402">
        <f>IF($D146="Sim",'12 - IPVA + Licenciamento'!AB24*9.25%,0)</f>
        <v>0</v>
      </c>
      <c r="AE146" s="402">
        <f>IF($D146="Sim",'12 - IPVA + Licenciamento'!AC24*9.25%,0)</f>
        <v>0</v>
      </c>
      <c r="AF146" s="402">
        <f>IF($D146="Sim",'12 - IPVA + Licenciamento'!AD24*9.25%,0)</f>
        <v>0</v>
      </c>
      <c r="AG146" s="402">
        <f>IF($D146="Sim",'12 - IPVA + Licenciamento'!AE24*9.25%,0)</f>
        <v>0</v>
      </c>
      <c r="AH146" s="402">
        <f>IF($D146="Sim",'12 - IPVA + Licenciamento'!AF24*9.25%,0)</f>
        <v>0</v>
      </c>
      <c r="AI146" s="402">
        <f>IF($D146="Sim",'12 - IPVA + Licenciamento'!AG24*9.25%,0)</f>
        <v>0</v>
      </c>
      <c r="AJ146" s="402">
        <f>IF($D146="Sim",'12 - IPVA + Licenciamento'!AH24*9.25%,0)</f>
        <v>0</v>
      </c>
      <c r="AK146" s="402">
        <f>IF($D146="Sim",'12 - IPVA + Licenciamento'!AI24*9.25%,0)</f>
        <v>0</v>
      </c>
      <c r="AL146" s="402">
        <f>IF($D146="Sim",'12 - IPVA + Licenciamento'!AJ24*9.25%,0)</f>
        <v>0</v>
      </c>
      <c r="AM146" s="402">
        <f>IF($D146="Sim",'12 - IPVA + Licenciamento'!AK24*9.25%,0)</f>
        <v>0</v>
      </c>
      <c r="AN146" s="402">
        <f>IF($D146="Sim",'12 - IPVA + Licenciamento'!AL24*9.25%,0)</f>
        <v>0</v>
      </c>
    </row>
    <row r="147" spans="2:40" ht="13.15" customHeight="1" outlineLevel="1" x14ac:dyDescent="0.2">
      <c r="B147" s="404" t="s">
        <v>815</v>
      </c>
      <c r="C147" s="413"/>
      <c r="D147" s="299" t="s">
        <v>1346</v>
      </c>
      <c r="E147" s="407">
        <f t="shared" si="14"/>
        <v>0</v>
      </c>
      <c r="F147" s="402">
        <f>IF($D147="Sim",'12 - IPVA + Licenciamento'!D26*9.25%,0)</f>
        <v>0</v>
      </c>
      <c r="G147" s="402">
        <f>IF($D147="Sim",'12 - IPVA + Licenciamento'!E26*9.25%,0)</f>
        <v>0</v>
      </c>
      <c r="H147" s="402">
        <f>IF($D147="Sim",'12 - IPVA + Licenciamento'!F26*9.25%,0)</f>
        <v>0</v>
      </c>
      <c r="I147" s="402">
        <f>IF($D147="Sim",'12 - IPVA + Licenciamento'!G26*9.25%,0)</f>
        <v>0</v>
      </c>
      <c r="J147" s="402">
        <f>IF($D147="Sim",'12 - IPVA + Licenciamento'!H26*9.25%,0)</f>
        <v>0</v>
      </c>
      <c r="K147" s="402">
        <f>IF($D147="Sim",'12 - IPVA + Licenciamento'!I26*9.25%,0)</f>
        <v>0</v>
      </c>
      <c r="L147" s="402">
        <f>IF($D147="Sim",'12 - IPVA + Licenciamento'!J26*9.25%,0)</f>
        <v>0</v>
      </c>
      <c r="M147" s="402">
        <f>IF($D147="Sim",'12 - IPVA + Licenciamento'!K26*9.25%,0)</f>
        <v>0</v>
      </c>
      <c r="N147" s="402">
        <f>IF($D147="Sim",'12 - IPVA + Licenciamento'!L26*9.25%,0)</f>
        <v>0</v>
      </c>
      <c r="O147" s="402">
        <f>IF($D147="Sim",'12 - IPVA + Licenciamento'!M26*9.25%,0)</f>
        <v>0</v>
      </c>
      <c r="P147" s="402">
        <f>IF($D147="Sim",'12 - IPVA + Licenciamento'!N26*9.25%,0)</f>
        <v>0</v>
      </c>
      <c r="Q147" s="402">
        <f>IF($D147="Sim",'12 - IPVA + Licenciamento'!O26*9.25%,0)</f>
        <v>0</v>
      </c>
      <c r="R147" s="402">
        <f>IF($D147="Sim",'12 - IPVA + Licenciamento'!P26*9.25%,0)</f>
        <v>0</v>
      </c>
      <c r="S147" s="402">
        <f>IF($D147="Sim",'12 - IPVA + Licenciamento'!Q26*9.25%,0)</f>
        <v>0</v>
      </c>
      <c r="T147" s="402">
        <f>IF($D147="Sim",'12 - IPVA + Licenciamento'!R26*9.25%,0)</f>
        <v>0</v>
      </c>
      <c r="U147" s="402">
        <f>IF($D147="Sim",'12 - IPVA + Licenciamento'!S26*9.25%,0)</f>
        <v>0</v>
      </c>
      <c r="V147" s="402">
        <f>IF($D147="Sim",'12 - IPVA + Licenciamento'!T26*9.25%,0)</f>
        <v>0</v>
      </c>
      <c r="W147" s="402">
        <f>IF($D147="Sim",'12 - IPVA + Licenciamento'!U26*9.25%,0)</f>
        <v>0</v>
      </c>
      <c r="X147" s="402">
        <f>IF($D147="Sim",'12 - IPVA + Licenciamento'!V26*9.25%,0)</f>
        <v>0</v>
      </c>
      <c r="Y147" s="402">
        <f>IF($D147="Sim",'12 - IPVA + Licenciamento'!W26*9.25%,0)</f>
        <v>0</v>
      </c>
      <c r="Z147" s="402">
        <f>IF($D147="Sim",'12 - IPVA + Licenciamento'!X26*9.25%,0)</f>
        <v>0</v>
      </c>
      <c r="AA147" s="402">
        <f>IF($D147="Sim",'12 - IPVA + Licenciamento'!Y26*9.25%,0)</f>
        <v>0</v>
      </c>
      <c r="AB147" s="402">
        <f>IF($D147="Sim",'12 - IPVA + Licenciamento'!Z26*9.25%,0)</f>
        <v>0</v>
      </c>
      <c r="AC147" s="402">
        <f>IF($D147="Sim",'12 - IPVA + Licenciamento'!AA26*9.25%,0)</f>
        <v>0</v>
      </c>
      <c r="AD147" s="402">
        <f>IF($D147="Sim",'12 - IPVA + Licenciamento'!AB26*9.25%,0)</f>
        <v>0</v>
      </c>
      <c r="AE147" s="402">
        <f>IF($D147="Sim",'12 - IPVA + Licenciamento'!AC26*9.25%,0)</f>
        <v>0</v>
      </c>
      <c r="AF147" s="402">
        <f>IF($D147="Sim",'12 - IPVA + Licenciamento'!AD26*9.25%,0)</f>
        <v>0</v>
      </c>
      <c r="AG147" s="402">
        <f>IF($D147="Sim",'12 - IPVA + Licenciamento'!AE26*9.25%,0)</f>
        <v>0</v>
      </c>
      <c r="AH147" s="402">
        <f>IF($D147="Sim",'12 - IPVA + Licenciamento'!AF26*9.25%,0)</f>
        <v>0</v>
      </c>
      <c r="AI147" s="402">
        <f>IF($D147="Sim",'12 - IPVA + Licenciamento'!AG26*9.25%,0)</f>
        <v>0</v>
      </c>
      <c r="AJ147" s="402">
        <f>IF($D147="Sim",'12 - IPVA + Licenciamento'!AH26*9.25%,0)</f>
        <v>0</v>
      </c>
      <c r="AK147" s="402">
        <f>IF($D147="Sim",'12 - IPVA + Licenciamento'!AI26*9.25%,0)</f>
        <v>0</v>
      </c>
      <c r="AL147" s="402">
        <f>IF($D147="Sim",'12 - IPVA + Licenciamento'!AJ26*9.25%,0)</f>
        <v>0</v>
      </c>
      <c r="AM147" s="402">
        <f>IF($D147="Sim",'12 - IPVA + Licenciamento'!AK26*9.25%,0)</f>
        <v>0</v>
      </c>
      <c r="AN147" s="402">
        <f>IF($D147="Sim",'12 - IPVA + Licenciamento'!AL26*9.25%,0)</f>
        <v>0</v>
      </c>
    </row>
    <row r="148" spans="2:40" ht="13.15" customHeight="1" outlineLevel="1" x14ac:dyDescent="0.2">
      <c r="B148" s="404" t="s">
        <v>815</v>
      </c>
      <c r="C148" s="413"/>
      <c r="D148" s="299" t="s">
        <v>1346</v>
      </c>
      <c r="E148" s="407">
        <f t="shared" si="14"/>
        <v>0</v>
      </c>
      <c r="F148" s="402">
        <f>IF($D148="Sim",'12 - IPVA + Licenciamento'!D31*9.25%,0)</f>
        <v>0</v>
      </c>
      <c r="G148" s="402">
        <f>IF($D148="Sim",'12 - IPVA + Licenciamento'!E31*9.25%,0)</f>
        <v>0</v>
      </c>
      <c r="H148" s="402">
        <f>IF($D148="Sim",'12 - IPVA + Licenciamento'!F31*9.25%,0)</f>
        <v>0</v>
      </c>
      <c r="I148" s="402">
        <f>IF($D148="Sim",'12 - IPVA + Licenciamento'!G31*9.25%,0)</f>
        <v>0</v>
      </c>
      <c r="J148" s="402">
        <f>IF($D148="Sim",'12 - IPVA + Licenciamento'!H31*9.25%,0)</f>
        <v>0</v>
      </c>
      <c r="K148" s="402">
        <f>IF($D148="Sim",'12 - IPVA + Licenciamento'!I31*9.25%,0)</f>
        <v>0</v>
      </c>
      <c r="L148" s="402">
        <f>IF($D148="Sim",'12 - IPVA + Licenciamento'!J31*9.25%,0)</f>
        <v>0</v>
      </c>
      <c r="M148" s="402">
        <f>IF($D148="Sim",'12 - IPVA + Licenciamento'!K31*9.25%,0)</f>
        <v>0</v>
      </c>
      <c r="N148" s="402">
        <f>IF($D148="Sim",'12 - IPVA + Licenciamento'!L31*9.25%,0)</f>
        <v>0</v>
      </c>
      <c r="O148" s="402">
        <f>IF($D148="Sim",'12 - IPVA + Licenciamento'!M31*9.25%,0)</f>
        <v>0</v>
      </c>
      <c r="P148" s="402">
        <f>IF($D148="Sim",'12 - IPVA + Licenciamento'!N31*9.25%,0)</f>
        <v>0</v>
      </c>
      <c r="Q148" s="402">
        <f>IF($D148="Sim",'12 - IPVA + Licenciamento'!O31*9.25%,0)</f>
        <v>0</v>
      </c>
      <c r="R148" s="402">
        <f>IF($D148="Sim",'12 - IPVA + Licenciamento'!P31*9.25%,0)</f>
        <v>0</v>
      </c>
      <c r="S148" s="402">
        <f>IF($D148="Sim",'12 - IPVA + Licenciamento'!Q31*9.25%,0)</f>
        <v>0</v>
      </c>
      <c r="T148" s="402">
        <f>IF($D148="Sim",'12 - IPVA + Licenciamento'!R31*9.25%,0)</f>
        <v>0</v>
      </c>
      <c r="U148" s="402">
        <f>IF($D148="Sim",'12 - IPVA + Licenciamento'!S31*9.25%,0)</f>
        <v>0</v>
      </c>
      <c r="V148" s="402">
        <f>IF($D148="Sim",'12 - IPVA + Licenciamento'!T31*9.25%,0)</f>
        <v>0</v>
      </c>
      <c r="W148" s="402">
        <f>IF($D148="Sim",'12 - IPVA + Licenciamento'!U31*9.25%,0)</f>
        <v>0</v>
      </c>
      <c r="X148" s="402">
        <f>IF($D148="Sim",'12 - IPVA + Licenciamento'!V31*9.25%,0)</f>
        <v>0</v>
      </c>
      <c r="Y148" s="402">
        <f>IF($D148="Sim",'12 - IPVA + Licenciamento'!W31*9.25%,0)</f>
        <v>0</v>
      </c>
      <c r="Z148" s="402">
        <f>IF($D148="Sim",'12 - IPVA + Licenciamento'!X31*9.25%,0)</f>
        <v>0</v>
      </c>
      <c r="AA148" s="402">
        <f>IF($D148="Sim",'12 - IPVA + Licenciamento'!Y31*9.25%,0)</f>
        <v>0</v>
      </c>
      <c r="AB148" s="402">
        <f>IF($D148="Sim",'12 - IPVA + Licenciamento'!Z31*9.25%,0)</f>
        <v>0</v>
      </c>
      <c r="AC148" s="402">
        <f>IF($D148="Sim",'12 - IPVA + Licenciamento'!AA31*9.25%,0)</f>
        <v>0</v>
      </c>
      <c r="AD148" s="402">
        <f>IF($D148="Sim",'12 - IPVA + Licenciamento'!AB31*9.25%,0)</f>
        <v>0</v>
      </c>
      <c r="AE148" s="402">
        <f>IF($D148="Sim",'12 - IPVA + Licenciamento'!AC31*9.25%,0)</f>
        <v>0</v>
      </c>
      <c r="AF148" s="402">
        <f>IF($D148="Sim",'12 - IPVA + Licenciamento'!AD31*9.25%,0)</f>
        <v>0</v>
      </c>
      <c r="AG148" s="402">
        <f>IF($D148="Sim",'12 - IPVA + Licenciamento'!AE31*9.25%,0)</f>
        <v>0</v>
      </c>
      <c r="AH148" s="402">
        <f>IF($D148="Sim",'12 - IPVA + Licenciamento'!AF31*9.25%,0)</f>
        <v>0</v>
      </c>
      <c r="AI148" s="402">
        <f>IF($D148="Sim",'12 - IPVA + Licenciamento'!AG31*9.25%,0)</f>
        <v>0</v>
      </c>
      <c r="AJ148" s="402">
        <f>IF($D148="Sim",'12 - IPVA + Licenciamento'!AH31*9.25%,0)</f>
        <v>0</v>
      </c>
      <c r="AK148" s="402">
        <f>IF($D148="Sim",'12 - IPVA + Licenciamento'!AI31*9.25%,0)</f>
        <v>0</v>
      </c>
      <c r="AL148" s="402">
        <f>IF($D148="Sim",'12 - IPVA + Licenciamento'!AJ31*9.25%,0)</f>
        <v>0</v>
      </c>
      <c r="AM148" s="402">
        <f>IF($D148="Sim",'12 - IPVA + Licenciamento'!AK31*9.25%,0)</f>
        <v>0</v>
      </c>
      <c r="AN148" s="402">
        <f>IF($D148="Sim",'12 - IPVA + Licenciamento'!AL31*9.25%,0)</f>
        <v>0</v>
      </c>
    </row>
    <row r="149" spans="2:40" ht="13.15" customHeight="1" outlineLevel="1" x14ac:dyDescent="0.2">
      <c r="B149" s="404" t="s">
        <v>884</v>
      </c>
      <c r="C149" s="413"/>
      <c r="D149" s="299" t="s">
        <v>1346</v>
      </c>
      <c r="E149" s="407">
        <f t="shared" si="14"/>
        <v>0</v>
      </c>
      <c r="F149" s="402">
        <f>IF($D149="Sim",'12 - IPVA + Licenciamento'!D35*9.25%,0)</f>
        <v>0</v>
      </c>
      <c r="G149" s="402">
        <f>IF($D149="Sim",'12 - IPVA + Licenciamento'!E35*9.25%,0)</f>
        <v>0</v>
      </c>
      <c r="H149" s="402">
        <f>IF($D149="Sim",'12 - IPVA + Licenciamento'!F35*9.25%,0)</f>
        <v>0</v>
      </c>
      <c r="I149" s="402">
        <f>IF($D149="Sim",'12 - IPVA + Licenciamento'!G35*9.25%,0)</f>
        <v>0</v>
      </c>
      <c r="J149" s="402">
        <f>IF($D149="Sim",'12 - IPVA + Licenciamento'!H35*9.25%,0)</f>
        <v>0</v>
      </c>
      <c r="K149" s="402">
        <f>IF($D149="Sim",'12 - IPVA + Licenciamento'!I35*9.25%,0)</f>
        <v>0</v>
      </c>
      <c r="L149" s="402">
        <f>IF($D149="Sim",'12 - IPVA + Licenciamento'!J35*9.25%,0)</f>
        <v>0</v>
      </c>
      <c r="M149" s="402">
        <f>IF($D149="Sim",'12 - IPVA + Licenciamento'!K35*9.25%,0)</f>
        <v>0</v>
      </c>
      <c r="N149" s="402">
        <f>IF($D149="Sim",'12 - IPVA + Licenciamento'!L35*9.25%,0)</f>
        <v>0</v>
      </c>
      <c r="O149" s="402">
        <f>IF($D149="Sim",'12 - IPVA + Licenciamento'!M35*9.25%,0)</f>
        <v>0</v>
      </c>
      <c r="P149" s="402">
        <f>IF($D149="Sim",'12 - IPVA + Licenciamento'!N35*9.25%,0)</f>
        <v>0</v>
      </c>
      <c r="Q149" s="402">
        <f>IF($D149="Sim",'12 - IPVA + Licenciamento'!O35*9.25%,0)</f>
        <v>0</v>
      </c>
      <c r="R149" s="402">
        <f>IF($D149="Sim",'12 - IPVA + Licenciamento'!P35*9.25%,0)</f>
        <v>0</v>
      </c>
      <c r="S149" s="402">
        <f>IF($D149="Sim",'12 - IPVA + Licenciamento'!Q35*9.25%,0)</f>
        <v>0</v>
      </c>
      <c r="T149" s="402">
        <f>IF($D149="Sim",'12 - IPVA + Licenciamento'!R35*9.25%,0)</f>
        <v>0</v>
      </c>
      <c r="U149" s="402">
        <f>IF($D149="Sim",'12 - IPVA + Licenciamento'!S35*9.25%,0)</f>
        <v>0</v>
      </c>
      <c r="V149" s="402">
        <f>IF($D149="Sim",'12 - IPVA + Licenciamento'!T35*9.25%,0)</f>
        <v>0</v>
      </c>
      <c r="W149" s="402">
        <f>IF($D149="Sim",'12 - IPVA + Licenciamento'!U35*9.25%,0)</f>
        <v>0</v>
      </c>
      <c r="X149" s="402">
        <f>IF($D149="Sim",'12 - IPVA + Licenciamento'!V35*9.25%,0)</f>
        <v>0</v>
      </c>
      <c r="Y149" s="402">
        <f>IF($D149="Sim",'12 - IPVA + Licenciamento'!W35*9.25%,0)</f>
        <v>0</v>
      </c>
      <c r="Z149" s="402">
        <f>IF($D149="Sim",'12 - IPVA + Licenciamento'!X35*9.25%,0)</f>
        <v>0</v>
      </c>
      <c r="AA149" s="402">
        <f>IF($D149="Sim",'12 - IPVA + Licenciamento'!Y35*9.25%,0)</f>
        <v>0</v>
      </c>
      <c r="AB149" s="402">
        <f>IF($D149="Sim",'12 - IPVA + Licenciamento'!Z35*9.25%,0)</f>
        <v>0</v>
      </c>
      <c r="AC149" s="402">
        <f>IF($D149="Sim",'12 - IPVA + Licenciamento'!AA35*9.25%,0)</f>
        <v>0</v>
      </c>
      <c r="AD149" s="402">
        <f>IF($D149="Sim",'12 - IPVA + Licenciamento'!AB35*9.25%,0)</f>
        <v>0</v>
      </c>
      <c r="AE149" s="402">
        <f>IF($D149="Sim",'12 - IPVA + Licenciamento'!AC35*9.25%,0)</f>
        <v>0</v>
      </c>
      <c r="AF149" s="402">
        <f>IF($D149="Sim",'12 - IPVA + Licenciamento'!AD35*9.25%,0)</f>
        <v>0</v>
      </c>
      <c r="AG149" s="402">
        <f>IF($D149="Sim",'12 - IPVA + Licenciamento'!AE35*9.25%,0)</f>
        <v>0</v>
      </c>
      <c r="AH149" s="402">
        <f>IF($D149="Sim",'12 - IPVA + Licenciamento'!AF35*9.25%,0)</f>
        <v>0</v>
      </c>
      <c r="AI149" s="402">
        <f>IF($D149="Sim",'12 - IPVA + Licenciamento'!AG35*9.25%,0)</f>
        <v>0</v>
      </c>
      <c r="AJ149" s="402">
        <f>IF($D149="Sim",'12 - IPVA + Licenciamento'!AH35*9.25%,0)</f>
        <v>0</v>
      </c>
      <c r="AK149" s="402">
        <f>IF($D149="Sim",'12 - IPVA + Licenciamento'!AI35*9.25%,0)</f>
        <v>0</v>
      </c>
      <c r="AL149" s="402">
        <f>IF($D149="Sim",'12 - IPVA + Licenciamento'!AJ35*9.25%,0)</f>
        <v>0</v>
      </c>
      <c r="AM149" s="402">
        <f>IF($D149="Sim",'12 - IPVA + Licenciamento'!AK35*9.25%,0)</f>
        <v>0</v>
      </c>
      <c r="AN149" s="402">
        <f>IF($D149="Sim",'12 - IPVA + Licenciamento'!AL35*9.25%,0)</f>
        <v>0</v>
      </c>
    </row>
    <row r="150" spans="2:40" ht="13.15" customHeight="1" outlineLevel="1" x14ac:dyDescent="0.2">
      <c r="B150" s="404" t="s">
        <v>829</v>
      </c>
      <c r="C150" s="413"/>
      <c r="D150" s="299" t="s">
        <v>1346</v>
      </c>
      <c r="E150" s="407">
        <f t="shared" si="14"/>
        <v>0</v>
      </c>
      <c r="F150" s="402">
        <f>IF($D150="Sim",'12 - IPVA + Licenciamento'!D38*9.25%,0)</f>
        <v>0</v>
      </c>
      <c r="G150" s="402">
        <f>IF($D150="Sim",'12 - IPVA + Licenciamento'!E38*9.25%,0)</f>
        <v>0</v>
      </c>
      <c r="H150" s="402">
        <f>IF($D150="Sim",'12 - IPVA + Licenciamento'!F38*9.25%,0)</f>
        <v>0</v>
      </c>
      <c r="I150" s="402">
        <f>IF($D150="Sim",'12 - IPVA + Licenciamento'!G38*9.25%,0)</f>
        <v>0</v>
      </c>
      <c r="J150" s="402">
        <f>IF($D150="Sim",'12 - IPVA + Licenciamento'!H38*9.25%,0)</f>
        <v>0</v>
      </c>
      <c r="K150" s="402">
        <f>IF($D150="Sim",'12 - IPVA + Licenciamento'!I38*9.25%,0)</f>
        <v>0</v>
      </c>
      <c r="L150" s="402">
        <f>IF($D150="Sim",'12 - IPVA + Licenciamento'!J38*9.25%,0)</f>
        <v>0</v>
      </c>
      <c r="M150" s="402">
        <f>IF($D150="Sim",'12 - IPVA + Licenciamento'!K38*9.25%,0)</f>
        <v>0</v>
      </c>
      <c r="N150" s="402">
        <f>IF($D150="Sim",'12 - IPVA + Licenciamento'!L38*9.25%,0)</f>
        <v>0</v>
      </c>
      <c r="O150" s="402">
        <f>IF($D150="Sim",'12 - IPVA + Licenciamento'!M38*9.25%,0)</f>
        <v>0</v>
      </c>
      <c r="P150" s="402">
        <f>IF($D150="Sim",'12 - IPVA + Licenciamento'!N38*9.25%,0)</f>
        <v>0</v>
      </c>
      <c r="Q150" s="402">
        <f>IF($D150="Sim",'12 - IPVA + Licenciamento'!O38*9.25%,0)</f>
        <v>0</v>
      </c>
      <c r="R150" s="402">
        <f>IF($D150="Sim",'12 - IPVA + Licenciamento'!P38*9.25%,0)</f>
        <v>0</v>
      </c>
      <c r="S150" s="402">
        <f>IF($D150="Sim",'12 - IPVA + Licenciamento'!Q38*9.25%,0)</f>
        <v>0</v>
      </c>
      <c r="T150" s="402">
        <f>IF($D150="Sim",'12 - IPVA + Licenciamento'!R38*9.25%,0)</f>
        <v>0</v>
      </c>
      <c r="U150" s="402">
        <f>IF($D150="Sim",'12 - IPVA + Licenciamento'!S38*9.25%,0)</f>
        <v>0</v>
      </c>
      <c r="V150" s="402">
        <f>IF($D150="Sim",'12 - IPVA + Licenciamento'!T38*9.25%,0)</f>
        <v>0</v>
      </c>
      <c r="W150" s="402">
        <f>IF($D150="Sim",'12 - IPVA + Licenciamento'!U38*9.25%,0)</f>
        <v>0</v>
      </c>
      <c r="X150" s="402">
        <f>IF($D150="Sim",'12 - IPVA + Licenciamento'!V38*9.25%,0)</f>
        <v>0</v>
      </c>
      <c r="Y150" s="402">
        <f>IF($D150="Sim",'12 - IPVA + Licenciamento'!W38*9.25%,0)</f>
        <v>0</v>
      </c>
      <c r="Z150" s="402">
        <f>IF($D150="Sim",'12 - IPVA + Licenciamento'!X38*9.25%,0)</f>
        <v>0</v>
      </c>
      <c r="AA150" s="402">
        <f>IF($D150="Sim",'12 - IPVA + Licenciamento'!Y38*9.25%,0)</f>
        <v>0</v>
      </c>
      <c r="AB150" s="402">
        <f>IF($D150="Sim",'12 - IPVA + Licenciamento'!Z38*9.25%,0)</f>
        <v>0</v>
      </c>
      <c r="AC150" s="402">
        <f>IF($D150="Sim",'12 - IPVA + Licenciamento'!AA38*9.25%,0)</f>
        <v>0</v>
      </c>
      <c r="AD150" s="402">
        <f>IF($D150="Sim",'12 - IPVA + Licenciamento'!AB38*9.25%,0)</f>
        <v>0</v>
      </c>
      <c r="AE150" s="402">
        <f>IF($D150="Sim",'12 - IPVA + Licenciamento'!AC38*9.25%,0)</f>
        <v>0</v>
      </c>
      <c r="AF150" s="402">
        <f>IF($D150="Sim",'12 - IPVA + Licenciamento'!AD38*9.25%,0)</f>
        <v>0</v>
      </c>
      <c r="AG150" s="402">
        <f>IF($D150="Sim",'12 - IPVA + Licenciamento'!AE38*9.25%,0)</f>
        <v>0</v>
      </c>
      <c r="AH150" s="402">
        <f>IF($D150="Sim",'12 - IPVA + Licenciamento'!AF38*9.25%,0)</f>
        <v>0</v>
      </c>
      <c r="AI150" s="402">
        <f>IF($D150="Sim",'12 - IPVA + Licenciamento'!AG38*9.25%,0)</f>
        <v>0</v>
      </c>
      <c r="AJ150" s="402">
        <f>IF($D150="Sim",'12 - IPVA + Licenciamento'!AH38*9.25%,0)</f>
        <v>0</v>
      </c>
      <c r="AK150" s="402">
        <f>IF($D150="Sim",'12 - IPVA + Licenciamento'!AI38*9.25%,0)</f>
        <v>0</v>
      </c>
      <c r="AL150" s="402">
        <f>IF($D150="Sim",'12 - IPVA + Licenciamento'!AJ38*9.25%,0)</f>
        <v>0</v>
      </c>
      <c r="AM150" s="402">
        <f>IF($D150="Sim",'12 - IPVA + Licenciamento'!AK38*9.25%,0)</f>
        <v>0</v>
      </c>
      <c r="AN150" s="402">
        <f>IF($D150="Sim",'12 - IPVA + Licenciamento'!AL38*9.25%,0)</f>
        <v>0</v>
      </c>
    </row>
    <row r="151" spans="2:40" s="8" customFormat="1" ht="13.15" customHeight="1" x14ac:dyDescent="0.2">
      <c r="B151" s="323" t="s">
        <v>1370</v>
      </c>
      <c r="C151" s="418"/>
      <c r="D151" s="391"/>
      <c r="E151" s="392">
        <f>E152+E164+E171</f>
        <v>7381.4999999999955</v>
      </c>
      <c r="F151" s="392">
        <f t="shared" ref="F151:AN151" si="19">F152+F164+F171</f>
        <v>210.9</v>
      </c>
      <c r="G151" s="392">
        <f t="shared" si="19"/>
        <v>210.9</v>
      </c>
      <c r="H151" s="392">
        <f t="shared" si="19"/>
        <v>210.9</v>
      </c>
      <c r="I151" s="392">
        <f t="shared" si="19"/>
        <v>210.9</v>
      </c>
      <c r="J151" s="392">
        <f t="shared" si="19"/>
        <v>210.9</v>
      </c>
      <c r="K151" s="392">
        <f t="shared" si="19"/>
        <v>210.9</v>
      </c>
      <c r="L151" s="392">
        <f t="shared" si="19"/>
        <v>210.9</v>
      </c>
      <c r="M151" s="392">
        <f t="shared" si="19"/>
        <v>210.9</v>
      </c>
      <c r="N151" s="392">
        <f t="shared" si="19"/>
        <v>210.9</v>
      </c>
      <c r="O151" s="392">
        <f t="shared" si="19"/>
        <v>210.9</v>
      </c>
      <c r="P151" s="392">
        <f t="shared" si="19"/>
        <v>210.9</v>
      </c>
      <c r="Q151" s="392">
        <f t="shared" si="19"/>
        <v>210.9</v>
      </c>
      <c r="R151" s="392">
        <f t="shared" si="19"/>
        <v>210.9</v>
      </c>
      <c r="S151" s="392">
        <f t="shared" si="19"/>
        <v>210.9</v>
      </c>
      <c r="T151" s="392">
        <f t="shared" si="19"/>
        <v>210.9</v>
      </c>
      <c r="U151" s="392">
        <f t="shared" si="19"/>
        <v>210.9</v>
      </c>
      <c r="V151" s="392">
        <f t="shared" si="19"/>
        <v>210.9</v>
      </c>
      <c r="W151" s="392">
        <f t="shared" si="19"/>
        <v>210.9</v>
      </c>
      <c r="X151" s="392">
        <f t="shared" si="19"/>
        <v>210.9</v>
      </c>
      <c r="Y151" s="392">
        <f t="shared" si="19"/>
        <v>210.9</v>
      </c>
      <c r="Z151" s="392">
        <f t="shared" si="19"/>
        <v>210.9</v>
      </c>
      <c r="AA151" s="392">
        <f t="shared" si="19"/>
        <v>210.9</v>
      </c>
      <c r="AB151" s="392">
        <f t="shared" si="19"/>
        <v>210.9</v>
      </c>
      <c r="AC151" s="392">
        <f t="shared" si="19"/>
        <v>210.9</v>
      </c>
      <c r="AD151" s="392">
        <f t="shared" si="19"/>
        <v>210.9</v>
      </c>
      <c r="AE151" s="392">
        <f t="shared" si="19"/>
        <v>210.9</v>
      </c>
      <c r="AF151" s="392">
        <f t="shared" si="19"/>
        <v>210.9</v>
      </c>
      <c r="AG151" s="392">
        <f t="shared" si="19"/>
        <v>210.9</v>
      </c>
      <c r="AH151" s="392">
        <f t="shared" si="19"/>
        <v>210.9</v>
      </c>
      <c r="AI151" s="392">
        <f t="shared" si="19"/>
        <v>210.9</v>
      </c>
      <c r="AJ151" s="392">
        <f t="shared" si="19"/>
        <v>210.9</v>
      </c>
      <c r="AK151" s="392">
        <f t="shared" si="19"/>
        <v>210.9</v>
      </c>
      <c r="AL151" s="392">
        <f t="shared" si="19"/>
        <v>210.9</v>
      </c>
      <c r="AM151" s="392">
        <f t="shared" si="19"/>
        <v>210.9</v>
      </c>
      <c r="AN151" s="392">
        <f t="shared" si="19"/>
        <v>210.9</v>
      </c>
    </row>
    <row r="152" spans="2:40" s="8" customFormat="1" ht="13.15" customHeight="1" x14ac:dyDescent="0.2">
      <c r="B152" s="323" t="s">
        <v>1371</v>
      </c>
      <c r="C152" s="418"/>
      <c r="D152" s="391"/>
      <c r="E152" s="392">
        <f t="shared" ref="E152:AN152" si="20">SUM(E153:E163)</f>
        <v>7381.4999999999955</v>
      </c>
      <c r="F152" s="392">
        <f t="shared" si="20"/>
        <v>210.9</v>
      </c>
      <c r="G152" s="392">
        <f t="shared" si="20"/>
        <v>210.9</v>
      </c>
      <c r="H152" s="392">
        <f t="shared" si="20"/>
        <v>210.9</v>
      </c>
      <c r="I152" s="392">
        <f t="shared" si="20"/>
        <v>210.9</v>
      </c>
      <c r="J152" s="392">
        <f t="shared" si="20"/>
        <v>210.9</v>
      </c>
      <c r="K152" s="392">
        <f t="shared" si="20"/>
        <v>210.9</v>
      </c>
      <c r="L152" s="392">
        <f t="shared" si="20"/>
        <v>210.9</v>
      </c>
      <c r="M152" s="392">
        <f t="shared" si="20"/>
        <v>210.9</v>
      </c>
      <c r="N152" s="392">
        <f t="shared" si="20"/>
        <v>210.9</v>
      </c>
      <c r="O152" s="392">
        <f t="shared" si="20"/>
        <v>210.9</v>
      </c>
      <c r="P152" s="392">
        <f t="shared" si="20"/>
        <v>210.9</v>
      </c>
      <c r="Q152" s="392">
        <f t="shared" si="20"/>
        <v>210.9</v>
      </c>
      <c r="R152" s="392">
        <f t="shared" si="20"/>
        <v>210.9</v>
      </c>
      <c r="S152" s="392">
        <f t="shared" si="20"/>
        <v>210.9</v>
      </c>
      <c r="T152" s="392">
        <f t="shared" si="20"/>
        <v>210.9</v>
      </c>
      <c r="U152" s="392">
        <f t="shared" si="20"/>
        <v>210.9</v>
      </c>
      <c r="V152" s="392">
        <f t="shared" si="20"/>
        <v>210.9</v>
      </c>
      <c r="W152" s="392">
        <f t="shared" si="20"/>
        <v>210.9</v>
      </c>
      <c r="X152" s="392">
        <f t="shared" si="20"/>
        <v>210.9</v>
      </c>
      <c r="Y152" s="392">
        <f t="shared" si="20"/>
        <v>210.9</v>
      </c>
      <c r="Z152" s="392">
        <f t="shared" si="20"/>
        <v>210.9</v>
      </c>
      <c r="AA152" s="392">
        <f t="shared" si="20"/>
        <v>210.9</v>
      </c>
      <c r="AB152" s="392">
        <f t="shared" si="20"/>
        <v>210.9</v>
      </c>
      <c r="AC152" s="392">
        <f t="shared" si="20"/>
        <v>210.9</v>
      </c>
      <c r="AD152" s="392">
        <f t="shared" si="20"/>
        <v>210.9</v>
      </c>
      <c r="AE152" s="392">
        <f t="shared" si="20"/>
        <v>210.9</v>
      </c>
      <c r="AF152" s="392">
        <f t="shared" si="20"/>
        <v>210.9</v>
      </c>
      <c r="AG152" s="392">
        <f t="shared" si="20"/>
        <v>210.9</v>
      </c>
      <c r="AH152" s="392">
        <f t="shared" si="20"/>
        <v>210.9</v>
      </c>
      <c r="AI152" s="392">
        <f t="shared" si="20"/>
        <v>210.9</v>
      </c>
      <c r="AJ152" s="392">
        <f t="shared" si="20"/>
        <v>210.9</v>
      </c>
      <c r="AK152" s="392">
        <f t="shared" si="20"/>
        <v>210.9</v>
      </c>
      <c r="AL152" s="392">
        <f t="shared" si="20"/>
        <v>210.9</v>
      </c>
      <c r="AM152" s="392">
        <f t="shared" si="20"/>
        <v>210.9</v>
      </c>
      <c r="AN152" s="392">
        <f t="shared" si="20"/>
        <v>210.9</v>
      </c>
    </row>
    <row r="153" spans="2:40" ht="13.15" customHeight="1" outlineLevel="1" x14ac:dyDescent="0.2">
      <c r="B153" s="404" t="s">
        <v>1372</v>
      </c>
      <c r="C153" s="413"/>
      <c r="D153" s="299" t="s">
        <v>1346</v>
      </c>
      <c r="E153" s="407">
        <f t="shared" si="14"/>
        <v>0</v>
      </c>
      <c r="F153" s="407">
        <f>IF($D153="Sim",('13 - Despesas diversas (ADM)'!C8-('13 - Despesas diversas (ADM)'!C8*5%))*9.25%,0)</f>
        <v>0</v>
      </c>
      <c r="G153" s="407">
        <f t="shared" ref="G153:G163" si="21">F153</f>
        <v>0</v>
      </c>
      <c r="H153" s="407">
        <f t="shared" ref="H153:AN161" si="22">G153</f>
        <v>0</v>
      </c>
      <c r="I153" s="407">
        <f t="shared" si="22"/>
        <v>0</v>
      </c>
      <c r="J153" s="407">
        <f t="shared" si="22"/>
        <v>0</v>
      </c>
      <c r="K153" s="407">
        <f t="shared" si="22"/>
        <v>0</v>
      </c>
      <c r="L153" s="407">
        <f t="shared" si="22"/>
        <v>0</v>
      </c>
      <c r="M153" s="407">
        <f t="shared" si="22"/>
        <v>0</v>
      </c>
      <c r="N153" s="407">
        <f t="shared" si="22"/>
        <v>0</v>
      </c>
      <c r="O153" s="407">
        <f t="shared" si="22"/>
        <v>0</v>
      </c>
      <c r="P153" s="407">
        <f t="shared" si="22"/>
        <v>0</v>
      </c>
      <c r="Q153" s="407">
        <f t="shared" si="22"/>
        <v>0</v>
      </c>
      <c r="R153" s="407">
        <f t="shared" si="22"/>
        <v>0</v>
      </c>
      <c r="S153" s="407">
        <f t="shared" si="22"/>
        <v>0</v>
      </c>
      <c r="T153" s="407">
        <f t="shared" si="22"/>
        <v>0</v>
      </c>
      <c r="U153" s="407">
        <f t="shared" si="22"/>
        <v>0</v>
      </c>
      <c r="V153" s="407">
        <f t="shared" si="22"/>
        <v>0</v>
      </c>
      <c r="W153" s="407">
        <f t="shared" si="22"/>
        <v>0</v>
      </c>
      <c r="X153" s="407">
        <f t="shared" si="22"/>
        <v>0</v>
      </c>
      <c r="Y153" s="407">
        <f t="shared" si="22"/>
        <v>0</v>
      </c>
      <c r="Z153" s="407">
        <f t="shared" si="22"/>
        <v>0</v>
      </c>
      <c r="AA153" s="407">
        <f t="shared" si="22"/>
        <v>0</v>
      </c>
      <c r="AB153" s="407">
        <f t="shared" si="22"/>
        <v>0</v>
      </c>
      <c r="AC153" s="407">
        <f t="shared" si="22"/>
        <v>0</v>
      </c>
      <c r="AD153" s="407">
        <f t="shared" si="22"/>
        <v>0</v>
      </c>
      <c r="AE153" s="407">
        <f t="shared" si="22"/>
        <v>0</v>
      </c>
      <c r="AF153" s="407">
        <f t="shared" si="22"/>
        <v>0</v>
      </c>
      <c r="AG153" s="407">
        <f t="shared" si="22"/>
        <v>0</v>
      </c>
      <c r="AH153" s="407">
        <f t="shared" si="22"/>
        <v>0</v>
      </c>
      <c r="AI153" s="407">
        <f t="shared" si="22"/>
        <v>0</v>
      </c>
      <c r="AJ153" s="407">
        <f t="shared" si="22"/>
        <v>0</v>
      </c>
      <c r="AK153" s="407">
        <f t="shared" si="22"/>
        <v>0</v>
      </c>
      <c r="AL153" s="407">
        <f t="shared" si="22"/>
        <v>0</v>
      </c>
      <c r="AM153" s="407">
        <f t="shared" si="22"/>
        <v>0</v>
      </c>
      <c r="AN153" s="407">
        <f t="shared" si="22"/>
        <v>0</v>
      </c>
    </row>
    <row r="154" spans="2:40" ht="13.15" customHeight="1" outlineLevel="1" x14ac:dyDescent="0.2">
      <c r="B154" s="404" t="s">
        <v>1373</v>
      </c>
      <c r="C154" s="413"/>
      <c r="D154" s="299" t="s">
        <v>1346</v>
      </c>
      <c r="E154" s="407">
        <f t="shared" si="14"/>
        <v>0</v>
      </c>
      <c r="F154" s="407">
        <f>IF($D154="Sim",('13 - Despesas diversas (ADM)'!C9-('13 - Despesas diversas (ADM)'!C9*5%))*9.25%,0)</f>
        <v>0</v>
      </c>
      <c r="G154" s="407">
        <f t="shared" si="21"/>
        <v>0</v>
      </c>
      <c r="H154" s="407">
        <f t="shared" ref="H154:V154" si="23">G154</f>
        <v>0</v>
      </c>
      <c r="I154" s="407">
        <f t="shared" si="23"/>
        <v>0</v>
      </c>
      <c r="J154" s="407">
        <f t="shared" si="23"/>
        <v>0</v>
      </c>
      <c r="K154" s="407">
        <f t="shared" si="23"/>
        <v>0</v>
      </c>
      <c r="L154" s="407">
        <f t="shared" si="23"/>
        <v>0</v>
      </c>
      <c r="M154" s="407">
        <f t="shared" si="23"/>
        <v>0</v>
      </c>
      <c r="N154" s="407">
        <f t="shared" si="23"/>
        <v>0</v>
      </c>
      <c r="O154" s="407">
        <f t="shared" si="23"/>
        <v>0</v>
      </c>
      <c r="P154" s="407">
        <f t="shared" si="23"/>
        <v>0</v>
      </c>
      <c r="Q154" s="407">
        <f t="shared" si="23"/>
        <v>0</v>
      </c>
      <c r="R154" s="407">
        <f t="shared" si="23"/>
        <v>0</v>
      </c>
      <c r="S154" s="407">
        <f t="shared" si="23"/>
        <v>0</v>
      </c>
      <c r="T154" s="407">
        <f t="shared" si="23"/>
        <v>0</v>
      </c>
      <c r="U154" s="407">
        <f t="shared" si="23"/>
        <v>0</v>
      </c>
      <c r="V154" s="407">
        <f t="shared" si="23"/>
        <v>0</v>
      </c>
      <c r="W154" s="407">
        <f t="shared" si="22"/>
        <v>0</v>
      </c>
      <c r="X154" s="407">
        <f t="shared" si="22"/>
        <v>0</v>
      </c>
      <c r="Y154" s="407">
        <f t="shared" si="22"/>
        <v>0</v>
      </c>
      <c r="Z154" s="407">
        <f t="shared" si="22"/>
        <v>0</v>
      </c>
      <c r="AA154" s="407">
        <f t="shared" si="22"/>
        <v>0</v>
      </c>
      <c r="AB154" s="407">
        <f t="shared" si="22"/>
        <v>0</v>
      </c>
      <c r="AC154" s="407">
        <f t="shared" si="22"/>
        <v>0</v>
      </c>
      <c r="AD154" s="407">
        <f t="shared" si="22"/>
        <v>0</v>
      </c>
      <c r="AE154" s="407">
        <f t="shared" si="22"/>
        <v>0</v>
      </c>
      <c r="AF154" s="407">
        <f t="shared" si="22"/>
        <v>0</v>
      </c>
      <c r="AG154" s="407">
        <f t="shared" si="22"/>
        <v>0</v>
      </c>
      <c r="AH154" s="407">
        <f t="shared" si="22"/>
        <v>0</v>
      </c>
      <c r="AI154" s="407">
        <f t="shared" si="22"/>
        <v>0</v>
      </c>
      <c r="AJ154" s="407">
        <f t="shared" si="22"/>
        <v>0</v>
      </c>
      <c r="AK154" s="407">
        <f t="shared" si="22"/>
        <v>0</v>
      </c>
      <c r="AL154" s="407">
        <f t="shared" si="22"/>
        <v>0</v>
      </c>
      <c r="AM154" s="407">
        <f t="shared" si="22"/>
        <v>0</v>
      </c>
      <c r="AN154" s="407">
        <f t="shared" si="22"/>
        <v>0</v>
      </c>
    </row>
    <row r="155" spans="2:40" ht="13.15" customHeight="1" outlineLevel="1" x14ac:dyDescent="0.2">
      <c r="B155" s="404" t="s">
        <v>1374</v>
      </c>
      <c r="C155" s="413"/>
      <c r="D155" s="299" t="s">
        <v>1333</v>
      </c>
      <c r="E155" s="407">
        <f t="shared" ref="E155:E163" si="24">SUM(F155:AN155)</f>
        <v>7381.4999999999955</v>
      </c>
      <c r="F155" s="407">
        <f>IF($D155="Sim",('13 - Despesas diversas (ADM)'!C10-('13 - Despesas diversas (ADM)'!C10*5%))*9.25%,0)</f>
        <v>210.9</v>
      </c>
      <c r="G155" s="407">
        <f t="shared" si="21"/>
        <v>210.9</v>
      </c>
      <c r="H155" s="407">
        <f t="shared" si="22"/>
        <v>210.9</v>
      </c>
      <c r="I155" s="407">
        <f t="shared" si="22"/>
        <v>210.9</v>
      </c>
      <c r="J155" s="407">
        <f t="shared" si="22"/>
        <v>210.9</v>
      </c>
      <c r="K155" s="407">
        <f t="shared" si="22"/>
        <v>210.9</v>
      </c>
      <c r="L155" s="407">
        <f t="shared" si="22"/>
        <v>210.9</v>
      </c>
      <c r="M155" s="407">
        <f t="shared" si="22"/>
        <v>210.9</v>
      </c>
      <c r="N155" s="407">
        <f t="shared" si="22"/>
        <v>210.9</v>
      </c>
      <c r="O155" s="407">
        <f t="shared" si="22"/>
        <v>210.9</v>
      </c>
      <c r="P155" s="407">
        <f t="shared" si="22"/>
        <v>210.9</v>
      </c>
      <c r="Q155" s="407">
        <f t="shared" si="22"/>
        <v>210.9</v>
      </c>
      <c r="R155" s="407">
        <f t="shared" si="22"/>
        <v>210.9</v>
      </c>
      <c r="S155" s="407">
        <f t="shared" si="22"/>
        <v>210.9</v>
      </c>
      <c r="T155" s="407">
        <f t="shared" si="22"/>
        <v>210.9</v>
      </c>
      <c r="U155" s="407">
        <f t="shared" si="22"/>
        <v>210.9</v>
      </c>
      <c r="V155" s="407">
        <f t="shared" si="22"/>
        <v>210.9</v>
      </c>
      <c r="W155" s="407">
        <f t="shared" si="22"/>
        <v>210.9</v>
      </c>
      <c r="X155" s="407">
        <f t="shared" si="22"/>
        <v>210.9</v>
      </c>
      <c r="Y155" s="407">
        <f t="shared" si="22"/>
        <v>210.9</v>
      </c>
      <c r="Z155" s="407">
        <f t="shared" si="22"/>
        <v>210.9</v>
      </c>
      <c r="AA155" s="407">
        <f t="shared" si="22"/>
        <v>210.9</v>
      </c>
      <c r="AB155" s="407">
        <f t="shared" si="22"/>
        <v>210.9</v>
      </c>
      <c r="AC155" s="407">
        <f t="shared" si="22"/>
        <v>210.9</v>
      </c>
      <c r="AD155" s="407">
        <f t="shared" si="22"/>
        <v>210.9</v>
      </c>
      <c r="AE155" s="407">
        <f t="shared" si="22"/>
        <v>210.9</v>
      </c>
      <c r="AF155" s="407">
        <f t="shared" si="22"/>
        <v>210.9</v>
      </c>
      <c r="AG155" s="407">
        <f t="shared" si="22"/>
        <v>210.9</v>
      </c>
      <c r="AH155" s="407">
        <f t="shared" si="22"/>
        <v>210.9</v>
      </c>
      <c r="AI155" s="407">
        <f t="shared" si="22"/>
        <v>210.9</v>
      </c>
      <c r="AJ155" s="407">
        <f t="shared" si="22"/>
        <v>210.9</v>
      </c>
      <c r="AK155" s="407">
        <f t="shared" si="22"/>
        <v>210.9</v>
      </c>
      <c r="AL155" s="407">
        <f t="shared" si="22"/>
        <v>210.9</v>
      </c>
      <c r="AM155" s="407">
        <f t="shared" si="22"/>
        <v>210.9</v>
      </c>
      <c r="AN155" s="407">
        <f t="shared" si="22"/>
        <v>210.9</v>
      </c>
    </row>
    <row r="156" spans="2:40" ht="13.15" customHeight="1" outlineLevel="1" x14ac:dyDescent="0.2">
      <c r="B156" s="404" t="s">
        <v>1375</v>
      </c>
      <c r="C156" s="413"/>
      <c r="D156" s="299" t="s">
        <v>1346</v>
      </c>
      <c r="E156" s="407">
        <f t="shared" si="24"/>
        <v>0</v>
      </c>
      <c r="F156" s="407">
        <f>IF($D156="Sim",('13 - Despesas diversas (ADM)'!C11-('13 - Despesas diversas (ADM)'!C11*5%))*9.25%,0)</f>
        <v>0</v>
      </c>
      <c r="G156" s="407">
        <f t="shared" si="21"/>
        <v>0</v>
      </c>
      <c r="H156" s="407">
        <f t="shared" si="22"/>
        <v>0</v>
      </c>
      <c r="I156" s="407">
        <f t="shared" si="22"/>
        <v>0</v>
      </c>
      <c r="J156" s="407">
        <f t="shared" si="22"/>
        <v>0</v>
      </c>
      <c r="K156" s="407">
        <f t="shared" si="22"/>
        <v>0</v>
      </c>
      <c r="L156" s="407">
        <f t="shared" si="22"/>
        <v>0</v>
      </c>
      <c r="M156" s="407">
        <f t="shared" si="22"/>
        <v>0</v>
      </c>
      <c r="N156" s="407">
        <f t="shared" si="22"/>
        <v>0</v>
      </c>
      <c r="O156" s="407">
        <f t="shared" si="22"/>
        <v>0</v>
      </c>
      <c r="P156" s="407">
        <f t="shared" si="22"/>
        <v>0</v>
      </c>
      <c r="Q156" s="407">
        <f t="shared" si="22"/>
        <v>0</v>
      </c>
      <c r="R156" s="407">
        <f t="shared" si="22"/>
        <v>0</v>
      </c>
      <c r="S156" s="407">
        <f t="shared" si="22"/>
        <v>0</v>
      </c>
      <c r="T156" s="407">
        <f t="shared" si="22"/>
        <v>0</v>
      </c>
      <c r="U156" s="407">
        <f t="shared" si="22"/>
        <v>0</v>
      </c>
      <c r="V156" s="407">
        <f t="shared" si="22"/>
        <v>0</v>
      </c>
      <c r="W156" s="407">
        <f t="shared" si="22"/>
        <v>0</v>
      </c>
      <c r="X156" s="407">
        <f t="shared" si="22"/>
        <v>0</v>
      </c>
      <c r="Y156" s="407">
        <f t="shared" si="22"/>
        <v>0</v>
      </c>
      <c r="Z156" s="407">
        <f t="shared" si="22"/>
        <v>0</v>
      </c>
      <c r="AA156" s="407">
        <f t="shared" si="22"/>
        <v>0</v>
      </c>
      <c r="AB156" s="407">
        <f t="shared" si="22"/>
        <v>0</v>
      </c>
      <c r="AC156" s="407">
        <f t="shared" si="22"/>
        <v>0</v>
      </c>
      <c r="AD156" s="407">
        <f t="shared" si="22"/>
        <v>0</v>
      </c>
      <c r="AE156" s="407">
        <f t="shared" si="22"/>
        <v>0</v>
      </c>
      <c r="AF156" s="407">
        <f t="shared" si="22"/>
        <v>0</v>
      </c>
      <c r="AG156" s="407">
        <f t="shared" si="22"/>
        <v>0</v>
      </c>
      <c r="AH156" s="407">
        <f t="shared" si="22"/>
        <v>0</v>
      </c>
      <c r="AI156" s="407">
        <f t="shared" si="22"/>
        <v>0</v>
      </c>
      <c r="AJ156" s="407">
        <f t="shared" si="22"/>
        <v>0</v>
      </c>
      <c r="AK156" s="407">
        <f t="shared" si="22"/>
        <v>0</v>
      </c>
      <c r="AL156" s="407">
        <f t="shared" si="22"/>
        <v>0</v>
      </c>
      <c r="AM156" s="407">
        <f t="shared" si="22"/>
        <v>0</v>
      </c>
      <c r="AN156" s="407">
        <f t="shared" si="22"/>
        <v>0</v>
      </c>
    </row>
    <row r="157" spans="2:40" ht="13.15" customHeight="1" outlineLevel="1" x14ac:dyDescent="0.2">
      <c r="B157" s="404" t="s">
        <v>1376</v>
      </c>
      <c r="C157" s="413"/>
      <c r="D157" s="299" t="s">
        <v>1346</v>
      </c>
      <c r="E157" s="407">
        <f t="shared" si="24"/>
        <v>0</v>
      </c>
      <c r="F157" s="407">
        <f>IF($D157="Sim",('13 - Despesas diversas (ADM)'!C12-('13 - Despesas diversas (ADM)'!C12*5%))*9.25%,0)</f>
        <v>0</v>
      </c>
      <c r="G157" s="407">
        <f t="shared" si="21"/>
        <v>0</v>
      </c>
      <c r="H157" s="407">
        <f t="shared" si="22"/>
        <v>0</v>
      </c>
      <c r="I157" s="407">
        <f t="shared" si="22"/>
        <v>0</v>
      </c>
      <c r="J157" s="407">
        <f t="shared" si="22"/>
        <v>0</v>
      </c>
      <c r="K157" s="407">
        <f t="shared" si="22"/>
        <v>0</v>
      </c>
      <c r="L157" s="407">
        <f t="shared" si="22"/>
        <v>0</v>
      </c>
      <c r="M157" s="407">
        <f t="shared" si="22"/>
        <v>0</v>
      </c>
      <c r="N157" s="407">
        <f t="shared" si="22"/>
        <v>0</v>
      </c>
      <c r="O157" s="407">
        <f t="shared" si="22"/>
        <v>0</v>
      </c>
      <c r="P157" s="407">
        <f t="shared" si="22"/>
        <v>0</v>
      </c>
      <c r="Q157" s="407">
        <f t="shared" si="22"/>
        <v>0</v>
      </c>
      <c r="R157" s="407">
        <f t="shared" si="22"/>
        <v>0</v>
      </c>
      <c r="S157" s="407">
        <f t="shared" si="22"/>
        <v>0</v>
      </c>
      <c r="T157" s="407">
        <f t="shared" si="22"/>
        <v>0</v>
      </c>
      <c r="U157" s="407">
        <f t="shared" si="22"/>
        <v>0</v>
      </c>
      <c r="V157" s="407">
        <f t="shared" si="22"/>
        <v>0</v>
      </c>
      <c r="W157" s="407">
        <f t="shared" si="22"/>
        <v>0</v>
      </c>
      <c r="X157" s="407">
        <f t="shared" si="22"/>
        <v>0</v>
      </c>
      <c r="Y157" s="407">
        <f t="shared" si="22"/>
        <v>0</v>
      </c>
      <c r="Z157" s="407">
        <f t="shared" si="22"/>
        <v>0</v>
      </c>
      <c r="AA157" s="407">
        <f t="shared" si="22"/>
        <v>0</v>
      </c>
      <c r="AB157" s="407">
        <f t="shared" si="22"/>
        <v>0</v>
      </c>
      <c r="AC157" s="407">
        <f t="shared" si="22"/>
        <v>0</v>
      </c>
      <c r="AD157" s="407">
        <f t="shared" si="22"/>
        <v>0</v>
      </c>
      <c r="AE157" s="407">
        <f t="shared" si="22"/>
        <v>0</v>
      </c>
      <c r="AF157" s="407">
        <f t="shared" si="22"/>
        <v>0</v>
      </c>
      <c r="AG157" s="407">
        <f t="shared" si="22"/>
        <v>0</v>
      </c>
      <c r="AH157" s="407">
        <f t="shared" si="22"/>
        <v>0</v>
      </c>
      <c r="AI157" s="407">
        <f t="shared" si="22"/>
        <v>0</v>
      </c>
      <c r="AJ157" s="407">
        <f t="shared" si="22"/>
        <v>0</v>
      </c>
      <c r="AK157" s="407">
        <f t="shared" si="22"/>
        <v>0</v>
      </c>
      <c r="AL157" s="407">
        <f t="shared" si="22"/>
        <v>0</v>
      </c>
      <c r="AM157" s="407">
        <f t="shared" si="22"/>
        <v>0</v>
      </c>
      <c r="AN157" s="407">
        <f t="shared" si="22"/>
        <v>0</v>
      </c>
    </row>
    <row r="158" spans="2:40" ht="13.15" customHeight="1" outlineLevel="1" x14ac:dyDescent="0.2">
      <c r="B158" s="404" t="s">
        <v>1377</v>
      </c>
      <c r="C158" s="413"/>
      <c r="D158" s="299" t="s">
        <v>1346</v>
      </c>
      <c r="E158" s="407">
        <f t="shared" si="24"/>
        <v>0</v>
      </c>
      <c r="F158" s="407">
        <f>IF($D158="Sim",('13 - Despesas diversas (ADM)'!C13-('13 - Despesas diversas (ADM)'!C13*5%))*9.25%,0)</f>
        <v>0</v>
      </c>
      <c r="G158" s="407">
        <f t="shared" si="21"/>
        <v>0</v>
      </c>
      <c r="H158" s="407">
        <f t="shared" si="22"/>
        <v>0</v>
      </c>
      <c r="I158" s="407">
        <f t="shared" si="22"/>
        <v>0</v>
      </c>
      <c r="J158" s="407">
        <f t="shared" si="22"/>
        <v>0</v>
      </c>
      <c r="K158" s="407">
        <f t="shared" si="22"/>
        <v>0</v>
      </c>
      <c r="L158" s="407">
        <f t="shared" si="22"/>
        <v>0</v>
      </c>
      <c r="M158" s="407">
        <f t="shared" si="22"/>
        <v>0</v>
      </c>
      <c r="N158" s="407">
        <f t="shared" si="22"/>
        <v>0</v>
      </c>
      <c r="O158" s="407">
        <f t="shared" si="22"/>
        <v>0</v>
      </c>
      <c r="P158" s="407">
        <f t="shared" si="22"/>
        <v>0</v>
      </c>
      <c r="Q158" s="407">
        <f t="shared" si="22"/>
        <v>0</v>
      </c>
      <c r="R158" s="407">
        <f t="shared" si="22"/>
        <v>0</v>
      </c>
      <c r="S158" s="407">
        <f t="shared" si="22"/>
        <v>0</v>
      </c>
      <c r="T158" s="407">
        <f t="shared" si="22"/>
        <v>0</v>
      </c>
      <c r="U158" s="407">
        <f t="shared" si="22"/>
        <v>0</v>
      </c>
      <c r="V158" s="407">
        <f t="shared" si="22"/>
        <v>0</v>
      </c>
      <c r="W158" s="407">
        <f t="shared" si="22"/>
        <v>0</v>
      </c>
      <c r="X158" s="407">
        <f t="shared" si="22"/>
        <v>0</v>
      </c>
      <c r="Y158" s="407">
        <f t="shared" si="22"/>
        <v>0</v>
      </c>
      <c r="Z158" s="407">
        <f t="shared" si="22"/>
        <v>0</v>
      </c>
      <c r="AA158" s="407">
        <f t="shared" si="22"/>
        <v>0</v>
      </c>
      <c r="AB158" s="407">
        <f t="shared" si="22"/>
        <v>0</v>
      </c>
      <c r="AC158" s="407">
        <f t="shared" si="22"/>
        <v>0</v>
      </c>
      <c r="AD158" s="407">
        <f t="shared" si="22"/>
        <v>0</v>
      </c>
      <c r="AE158" s="407">
        <f t="shared" si="22"/>
        <v>0</v>
      </c>
      <c r="AF158" s="407">
        <f t="shared" si="22"/>
        <v>0</v>
      </c>
      <c r="AG158" s="407">
        <f t="shared" si="22"/>
        <v>0</v>
      </c>
      <c r="AH158" s="407">
        <f t="shared" si="22"/>
        <v>0</v>
      </c>
      <c r="AI158" s="407">
        <f t="shared" si="22"/>
        <v>0</v>
      </c>
      <c r="AJ158" s="407">
        <f t="shared" si="22"/>
        <v>0</v>
      </c>
      <c r="AK158" s="407">
        <f t="shared" si="22"/>
        <v>0</v>
      </c>
      <c r="AL158" s="407">
        <f t="shared" si="22"/>
        <v>0</v>
      </c>
      <c r="AM158" s="407">
        <f t="shared" si="22"/>
        <v>0</v>
      </c>
      <c r="AN158" s="407">
        <f t="shared" si="22"/>
        <v>0</v>
      </c>
    </row>
    <row r="159" spans="2:40" ht="13.15" customHeight="1" outlineLevel="1" x14ac:dyDescent="0.2">
      <c r="B159" s="404" t="s">
        <v>1378</v>
      </c>
      <c r="C159" s="413"/>
      <c r="D159" s="299" t="s">
        <v>1346</v>
      </c>
      <c r="E159" s="407">
        <f t="shared" si="24"/>
        <v>0</v>
      </c>
      <c r="F159" s="407">
        <f>IF($D159="Sim",('13 - Despesas diversas (ADM)'!C14-('13 - Despesas diversas (ADM)'!C14*5%))*9.25%,0)</f>
        <v>0</v>
      </c>
      <c r="G159" s="407">
        <f t="shared" si="21"/>
        <v>0</v>
      </c>
      <c r="H159" s="407">
        <f t="shared" si="22"/>
        <v>0</v>
      </c>
      <c r="I159" s="407">
        <f t="shared" si="22"/>
        <v>0</v>
      </c>
      <c r="J159" s="407">
        <f t="shared" si="22"/>
        <v>0</v>
      </c>
      <c r="K159" s="407">
        <f t="shared" si="22"/>
        <v>0</v>
      </c>
      <c r="L159" s="407">
        <f t="shared" si="22"/>
        <v>0</v>
      </c>
      <c r="M159" s="407">
        <f t="shared" si="22"/>
        <v>0</v>
      </c>
      <c r="N159" s="407">
        <f t="shared" si="22"/>
        <v>0</v>
      </c>
      <c r="O159" s="407">
        <f t="shared" si="22"/>
        <v>0</v>
      </c>
      <c r="P159" s="407">
        <f t="shared" si="22"/>
        <v>0</v>
      </c>
      <c r="Q159" s="407">
        <f t="shared" si="22"/>
        <v>0</v>
      </c>
      <c r="R159" s="407">
        <f t="shared" si="22"/>
        <v>0</v>
      </c>
      <c r="S159" s="407">
        <f t="shared" si="22"/>
        <v>0</v>
      </c>
      <c r="T159" s="407">
        <f t="shared" si="22"/>
        <v>0</v>
      </c>
      <c r="U159" s="407">
        <f t="shared" si="22"/>
        <v>0</v>
      </c>
      <c r="V159" s="407">
        <f t="shared" si="22"/>
        <v>0</v>
      </c>
      <c r="W159" s="407">
        <f t="shared" si="22"/>
        <v>0</v>
      </c>
      <c r="X159" s="407">
        <f t="shared" si="22"/>
        <v>0</v>
      </c>
      <c r="Y159" s="407">
        <f t="shared" si="22"/>
        <v>0</v>
      </c>
      <c r="Z159" s="407">
        <f t="shared" si="22"/>
        <v>0</v>
      </c>
      <c r="AA159" s="407">
        <f t="shared" si="22"/>
        <v>0</v>
      </c>
      <c r="AB159" s="407">
        <f t="shared" si="22"/>
        <v>0</v>
      </c>
      <c r="AC159" s="407">
        <f t="shared" si="22"/>
        <v>0</v>
      </c>
      <c r="AD159" s="407">
        <f t="shared" si="22"/>
        <v>0</v>
      </c>
      <c r="AE159" s="407">
        <f t="shared" si="22"/>
        <v>0</v>
      </c>
      <c r="AF159" s="407">
        <f t="shared" si="22"/>
        <v>0</v>
      </c>
      <c r="AG159" s="407">
        <f t="shared" si="22"/>
        <v>0</v>
      </c>
      <c r="AH159" s="407">
        <f t="shared" si="22"/>
        <v>0</v>
      </c>
      <c r="AI159" s="407">
        <f t="shared" si="22"/>
        <v>0</v>
      </c>
      <c r="AJ159" s="407">
        <f t="shared" si="22"/>
        <v>0</v>
      </c>
      <c r="AK159" s="407">
        <f t="shared" si="22"/>
        <v>0</v>
      </c>
      <c r="AL159" s="407">
        <f t="shared" si="22"/>
        <v>0</v>
      </c>
      <c r="AM159" s="407">
        <f t="shared" si="22"/>
        <v>0</v>
      </c>
      <c r="AN159" s="407">
        <f t="shared" si="22"/>
        <v>0</v>
      </c>
    </row>
    <row r="160" spans="2:40" ht="13.15" customHeight="1" outlineLevel="1" x14ac:dyDescent="0.2">
      <c r="B160" s="404" t="s">
        <v>1379</v>
      </c>
      <c r="C160" s="413"/>
      <c r="D160" s="299" t="s">
        <v>1346</v>
      </c>
      <c r="E160" s="407">
        <f t="shared" si="24"/>
        <v>0</v>
      </c>
      <c r="F160" s="407">
        <f>IF($D160="Sim",('13 - Despesas diversas (ADM)'!C15-('13 - Despesas diversas (ADM)'!C15*5%))*9.25%,0)</f>
        <v>0</v>
      </c>
      <c r="G160" s="407">
        <f t="shared" si="21"/>
        <v>0</v>
      </c>
      <c r="H160" s="407">
        <f t="shared" si="22"/>
        <v>0</v>
      </c>
      <c r="I160" s="407">
        <f t="shared" si="22"/>
        <v>0</v>
      </c>
      <c r="J160" s="407">
        <f t="shared" si="22"/>
        <v>0</v>
      </c>
      <c r="K160" s="407">
        <f t="shared" si="22"/>
        <v>0</v>
      </c>
      <c r="L160" s="407">
        <f t="shared" si="22"/>
        <v>0</v>
      </c>
      <c r="M160" s="407">
        <f t="shared" si="22"/>
        <v>0</v>
      </c>
      <c r="N160" s="407">
        <f t="shared" si="22"/>
        <v>0</v>
      </c>
      <c r="O160" s="407">
        <f t="shared" si="22"/>
        <v>0</v>
      </c>
      <c r="P160" s="407">
        <f t="shared" si="22"/>
        <v>0</v>
      </c>
      <c r="Q160" s="407">
        <f t="shared" si="22"/>
        <v>0</v>
      </c>
      <c r="R160" s="407">
        <f t="shared" si="22"/>
        <v>0</v>
      </c>
      <c r="S160" s="407">
        <f t="shared" si="22"/>
        <v>0</v>
      </c>
      <c r="T160" s="407">
        <f t="shared" si="22"/>
        <v>0</v>
      </c>
      <c r="U160" s="407">
        <f t="shared" si="22"/>
        <v>0</v>
      </c>
      <c r="V160" s="407">
        <f t="shared" si="22"/>
        <v>0</v>
      </c>
      <c r="W160" s="407">
        <f t="shared" si="22"/>
        <v>0</v>
      </c>
      <c r="X160" s="407">
        <f t="shared" si="22"/>
        <v>0</v>
      </c>
      <c r="Y160" s="407">
        <f t="shared" si="22"/>
        <v>0</v>
      </c>
      <c r="Z160" s="407">
        <f t="shared" si="22"/>
        <v>0</v>
      </c>
      <c r="AA160" s="407">
        <f t="shared" si="22"/>
        <v>0</v>
      </c>
      <c r="AB160" s="407">
        <f t="shared" si="22"/>
        <v>0</v>
      </c>
      <c r="AC160" s="407">
        <f t="shared" si="22"/>
        <v>0</v>
      </c>
      <c r="AD160" s="407">
        <f t="shared" si="22"/>
        <v>0</v>
      </c>
      <c r="AE160" s="407">
        <f t="shared" si="22"/>
        <v>0</v>
      </c>
      <c r="AF160" s="407">
        <f t="shared" si="22"/>
        <v>0</v>
      </c>
      <c r="AG160" s="407">
        <f t="shared" si="22"/>
        <v>0</v>
      </c>
      <c r="AH160" s="407">
        <f t="shared" si="22"/>
        <v>0</v>
      </c>
      <c r="AI160" s="407">
        <f t="shared" si="22"/>
        <v>0</v>
      </c>
      <c r="AJ160" s="407">
        <f t="shared" si="22"/>
        <v>0</v>
      </c>
      <c r="AK160" s="407">
        <f t="shared" si="22"/>
        <v>0</v>
      </c>
      <c r="AL160" s="407">
        <f t="shared" si="22"/>
        <v>0</v>
      </c>
      <c r="AM160" s="407">
        <f t="shared" si="22"/>
        <v>0</v>
      </c>
      <c r="AN160" s="407">
        <f t="shared" si="22"/>
        <v>0</v>
      </c>
    </row>
    <row r="161" spans="2:40" ht="13.15" customHeight="1" outlineLevel="1" x14ac:dyDescent="0.2">
      <c r="B161" s="404" t="s">
        <v>1380</v>
      </c>
      <c r="C161" s="413"/>
      <c r="D161" s="299" t="s">
        <v>1346</v>
      </c>
      <c r="E161" s="407">
        <f t="shared" si="24"/>
        <v>0</v>
      </c>
      <c r="F161" s="407">
        <f>IF($D161="Sim",('13 - Despesas diversas (ADM)'!C16-('13 - Despesas diversas (ADM)'!C16*5%))*9.25%,0)</f>
        <v>0</v>
      </c>
      <c r="G161" s="407">
        <f t="shared" si="21"/>
        <v>0</v>
      </c>
      <c r="H161" s="407">
        <f t="shared" si="22"/>
        <v>0</v>
      </c>
      <c r="I161" s="407">
        <f t="shared" si="22"/>
        <v>0</v>
      </c>
      <c r="J161" s="407">
        <f t="shared" si="22"/>
        <v>0</v>
      </c>
      <c r="K161" s="407">
        <f t="shared" si="22"/>
        <v>0</v>
      </c>
      <c r="L161" s="407">
        <f t="shared" si="22"/>
        <v>0</v>
      </c>
      <c r="M161" s="407">
        <f t="shared" si="22"/>
        <v>0</v>
      </c>
      <c r="N161" s="407">
        <f t="shared" ref="H161:AN169" si="25">M161</f>
        <v>0</v>
      </c>
      <c r="O161" s="407">
        <f t="shared" si="25"/>
        <v>0</v>
      </c>
      <c r="P161" s="407">
        <f t="shared" si="25"/>
        <v>0</v>
      </c>
      <c r="Q161" s="407">
        <f t="shared" si="25"/>
        <v>0</v>
      </c>
      <c r="R161" s="407">
        <f t="shared" si="25"/>
        <v>0</v>
      </c>
      <c r="S161" s="407">
        <f t="shared" si="25"/>
        <v>0</v>
      </c>
      <c r="T161" s="407">
        <f t="shared" si="25"/>
        <v>0</v>
      </c>
      <c r="U161" s="407">
        <f t="shared" si="25"/>
        <v>0</v>
      </c>
      <c r="V161" s="407">
        <f t="shared" si="25"/>
        <v>0</v>
      </c>
      <c r="W161" s="407">
        <f t="shared" si="25"/>
        <v>0</v>
      </c>
      <c r="X161" s="407">
        <f t="shared" si="25"/>
        <v>0</v>
      </c>
      <c r="Y161" s="407">
        <f t="shared" si="25"/>
        <v>0</v>
      </c>
      <c r="Z161" s="407">
        <f t="shared" si="25"/>
        <v>0</v>
      </c>
      <c r="AA161" s="407">
        <f t="shared" si="25"/>
        <v>0</v>
      </c>
      <c r="AB161" s="407">
        <f t="shared" si="25"/>
        <v>0</v>
      </c>
      <c r="AC161" s="407">
        <f t="shared" si="25"/>
        <v>0</v>
      </c>
      <c r="AD161" s="407">
        <f t="shared" si="25"/>
        <v>0</v>
      </c>
      <c r="AE161" s="407">
        <f t="shared" si="25"/>
        <v>0</v>
      </c>
      <c r="AF161" s="407">
        <f t="shared" si="25"/>
        <v>0</v>
      </c>
      <c r="AG161" s="407">
        <f t="shared" si="25"/>
        <v>0</v>
      </c>
      <c r="AH161" s="407">
        <f t="shared" si="25"/>
        <v>0</v>
      </c>
      <c r="AI161" s="407">
        <f t="shared" si="25"/>
        <v>0</v>
      </c>
      <c r="AJ161" s="407">
        <f t="shared" si="25"/>
        <v>0</v>
      </c>
      <c r="AK161" s="407">
        <f t="shared" si="25"/>
        <v>0</v>
      </c>
      <c r="AL161" s="407">
        <f t="shared" si="25"/>
        <v>0</v>
      </c>
      <c r="AM161" s="407">
        <f t="shared" si="25"/>
        <v>0</v>
      </c>
      <c r="AN161" s="407">
        <f t="shared" si="25"/>
        <v>0</v>
      </c>
    </row>
    <row r="162" spans="2:40" ht="13.15" customHeight="1" outlineLevel="1" x14ac:dyDescent="0.2">
      <c r="B162" s="404" t="s">
        <v>1381</v>
      </c>
      <c r="C162" s="413"/>
      <c r="D162" s="299" t="s">
        <v>1346</v>
      </c>
      <c r="E162" s="407">
        <f t="shared" si="24"/>
        <v>0</v>
      </c>
      <c r="F162" s="407">
        <f>IF($D162="Sim",('13 - Despesas diversas (ADM)'!C17-('13 - Despesas diversas (ADM)'!C17*5%))*9.25%,0)</f>
        <v>0</v>
      </c>
      <c r="G162" s="407">
        <f t="shared" si="21"/>
        <v>0</v>
      </c>
      <c r="H162" s="407">
        <f t="shared" si="25"/>
        <v>0</v>
      </c>
      <c r="I162" s="407">
        <f t="shared" si="25"/>
        <v>0</v>
      </c>
      <c r="J162" s="407">
        <f t="shared" si="25"/>
        <v>0</v>
      </c>
      <c r="K162" s="407">
        <f t="shared" si="25"/>
        <v>0</v>
      </c>
      <c r="L162" s="407">
        <f t="shared" si="25"/>
        <v>0</v>
      </c>
      <c r="M162" s="407">
        <f t="shared" si="25"/>
        <v>0</v>
      </c>
      <c r="N162" s="407">
        <f t="shared" si="25"/>
        <v>0</v>
      </c>
      <c r="O162" s="407">
        <f t="shared" si="25"/>
        <v>0</v>
      </c>
      <c r="P162" s="407">
        <f t="shared" si="25"/>
        <v>0</v>
      </c>
      <c r="Q162" s="407">
        <f t="shared" si="25"/>
        <v>0</v>
      </c>
      <c r="R162" s="407">
        <f t="shared" si="25"/>
        <v>0</v>
      </c>
      <c r="S162" s="407">
        <f t="shared" si="25"/>
        <v>0</v>
      </c>
      <c r="T162" s="407">
        <f t="shared" si="25"/>
        <v>0</v>
      </c>
      <c r="U162" s="407">
        <f t="shared" si="25"/>
        <v>0</v>
      </c>
      <c r="V162" s="407">
        <f t="shared" si="25"/>
        <v>0</v>
      </c>
      <c r="W162" s="407">
        <f t="shared" si="25"/>
        <v>0</v>
      </c>
      <c r="X162" s="407">
        <f t="shared" si="25"/>
        <v>0</v>
      </c>
      <c r="Y162" s="407">
        <f t="shared" si="25"/>
        <v>0</v>
      </c>
      <c r="Z162" s="407">
        <f t="shared" si="25"/>
        <v>0</v>
      </c>
      <c r="AA162" s="407">
        <f t="shared" si="25"/>
        <v>0</v>
      </c>
      <c r="AB162" s="407">
        <f t="shared" si="25"/>
        <v>0</v>
      </c>
      <c r="AC162" s="407">
        <f t="shared" si="25"/>
        <v>0</v>
      </c>
      <c r="AD162" s="407">
        <f t="shared" si="25"/>
        <v>0</v>
      </c>
      <c r="AE162" s="407">
        <f t="shared" si="25"/>
        <v>0</v>
      </c>
      <c r="AF162" s="407">
        <f t="shared" si="25"/>
        <v>0</v>
      </c>
      <c r="AG162" s="407">
        <f t="shared" si="25"/>
        <v>0</v>
      </c>
      <c r="AH162" s="407">
        <f t="shared" si="25"/>
        <v>0</v>
      </c>
      <c r="AI162" s="407">
        <f t="shared" si="25"/>
        <v>0</v>
      </c>
      <c r="AJ162" s="407">
        <f t="shared" si="25"/>
        <v>0</v>
      </c>
      <c r="AK162" s="407">
        <f t="shared" si="25"/>
        <v>0</v>
      </c>
      <c r="AL162" s="407">
        <f t="shared" si="25"/>
        <v>0</v>
      </c>
      <c r="AM162" s="407">
        <f t="shared" si="25"/>
        <v>0</v>
      </c>
      <c r="AN162" s="407">
        <f t="shared" si="25"/>
        <v>0</v>
      </c>
    </row>
    <row r="163" spans="2:40" ht="13.15" customHeight="1" outlineLevel="1" x14ac:dyDescent="0.2">
      <c r="B163" s="404" t="s">
        <v>1382</v>
      </c>
      <c r="C163" s="413"/>
      <c r="D163" s="299" t="s">
        <v>1346</v>
      </c>
      <c r="E163" s="407">
        <f t="shared" si="24"/>
        <v>0</v>
      </c>
      <c r="F163" s="407">
        <f>IF($D163="Sim",('13 - Despesas diversas (ADM)'!C18-('13 - Despesas diversas (ADM)'!C18*5%))*9.25%,0)</f>
        <v>0</v>
      </c>
      <c r="G163" s="407">
        <f t="shared" si="21"/>
        <v>0</v>
      </c>
      <c r="H163" s="407">
        <f t="shared" si="25"/>
        <v>0</v>
      </c>
      <c r="I163" s="407">
        <f t="shared" si="25"/>
        <v>0</v>
      </c>
      <c r="J163" s="407">
        <f t="shared" si="25"/>
        <v>0</v>
      </c>
      <c r="K163" s="407">
        <f t="shared" si="25"/>
        <v>0</v>
      </c>
      <c r="L163" s="407">
        <f t="shared" si="25"/>
        <v>0</v>
      </c>
      <c r="M163" s="407">
        <f t="shared" si="25"/>
        <v>0</v>
      </c>
      <c r="N163" s="407">
        <f t="shared" si="25"/>
        <v>0</v>
      </c>
      <c r="O163" s="407">
        <f t="shared" si="25"/>
        <v>0</v>
      </c>
      <c r="P163" s="407">
        <f t="shared" si="25"/>
        <v>0</v>
      </c>
      <c r="Q163" s="407">
        <f t="shared" si="25"/>
        <v>0</v>
      </c>
      <c r="R163" s="407">
        <f t="shared" si="25"/>
        <v>0</v>
      </c>
      <c r="S163" s="407">
        <f t="shared" si="25"/>
        <v>0</v>
      </c>
      <c r="T163" s="407">
        <f t="shared" si="25"/>
        <v>0</v>
      </c>
      <c r="U163" s="407">
        <f t="shared" si="25"/>
        <v>0</v>
      </c>
      <c r="V163" s="407">
        <f t="shared" si="25"/>
        <v>0</v>
      </c>
      <c r="W163" s="407">
        <f t="shared" si="25"/>
        <v>0</v>
      </c>
      <c r="X163" s="407">
        <f t="shared" si="25"/>
        <v>0</v>
      </c>
      <c r="Y163" s="407">
        <f t="shared" si="25"/>
        <v>0</v>
      </c>
      <c r="Z163" s="407">
        <f t="shared" si="25"/>
        <v>0</v>
      </c>
      <c r="AA163" s="407">
        <f t="shared" si="25"/>
        <v>0</v>
      </c>
      <c r="AB163" s="407">
        <f t="shared" si="25"/>
        <v>0</v>
      </c>
      <c r="AC163" s="407">
        <f t="shared" si="25"/>
        <v>0</v>
      </c>
      <c r="AD163" s="407">
        <f t="shared" si="25"/>
        <v>0</v>
      </c>
      <c r="AE163" s="407">
        <f t="shared" si="25"/>
        <v>0</v>
      </c>
      <c r="AF163" s="407">
        <f t="shared" si="25"/>
        <v>0</v>
      </c>
      <c r="AG163" s="407">
        <f t="shared" si="25"/>
        <v>0</v>
      </c>
      <c r="AH163" s="407">
        <f t="shared" si="25"/>
        <v>0</v>
      </c>
      <c r="AI163" s="407">
        <f t="shared" si="25"/>
        <v>0</v>
      </c>
      <c r="AJ163" s="407">
        <f t="shared" si="25"/>
        <v>0</v>
      </c>
      <c r="AK163" s="407">
        <f t="shared" si="25"/>
        <v>0</v>
      </c>
      <c r="AL163" s="407">
        <f t="shared" si="25"/>
        <v>0</v>
      </c>
      <c r="AM163" s="407">
        <f t="shared" si="25"/>
        <v>0</v>
      </c>
      <c r="AN163" s="407">
        <f t="shared" si="25"/>
        <v>0</v>
      </c>
    </row>
    <row r="164" spans="2:40" s="8" customFormat="1" ht="13.15" customHeight="1" x14ac:dyDescent="0.2">
      <c r="B164" s="323" t="s">
        <v>1383</v>
      </c>
      <c r="C164" s="418"/>
      <c r="D164" s="391"/>
      <c r="E164" s="392">
        <f t="shared" ref="E164:AN164" si="26">SUM(E165:E170)</f>
        <v>0</v>
      </c>
      <c r="F164" s="392">
        <f t="shared" si="26"/>
        <v>0</v>
      </c>
      <c r="G164" s="392">
        <f t="shared" si="26"/>
        <v>0</v>
      </c>
      <c r="H164" s="392">
        <f t="shared" si="26"/>
        <v>0</v>
      </c>
      <c r="I164" s="392">
        <f t="shared" si="26"/>
        <v>0</v>
      </c>
      <c r="J164" s="392">
        <f t="shared" si="26"/>
        <v>0</v>
      </c>
      <c r="K164" s="392">
        <f t="shared" si="26"/>
        <v>0</v>
      </c>
      <c r="L164" s="392">
        <f t="shared" si="26"/>
        <v>0</v>
      </c>
      <c r="M164" s="392">
        <f t="shared" si="26"/>
        <v>0</v>
      </c>
      <c r="N164" s="392">
        <f t="shared" si="26"/>
        <v>0</v>
      </c>
      <c r="O164" s="392">
        <f t="shared" si="26"/>
        <v>0</v>
      </c>
      <c r="P164" s="392">
        <f t="shared" si="26"/>
        <v>0</v>
      </c>
      <c r="Q164" s="392">
        <f t="shared" si="26"/>
        <v>0</v>
      </c>
      <c r="R164" s="392">
        <f t="shared" si="26"/>
        <v>0</v>
      </c>
      <c r="S164" s="392">
        <f t="shared" si="26"/>
        <v>0</v>
      </c>
      <c r="T164" s="392">
        <f t="shared" si="26"/>
        <v>0</v>
      </c>
      <c r="U164" s="392">
        <f t="shared" si="26"/>
        <v>0</v>
      </c>
      <c r="V164" s="392">
        <f t="shared" si="26"/>
        <v>0</v>
      </c>
      <c r="W164" s="392">
        <f t="shared" si="26"/>
        <v>0</v>
      </c>
      <c r="X164" s="392">
        <f t="shared" si="26"/>
        <v>0</v>
      </c>
      <c r="Y164" s="392">
        <f t="shared" si="26"/>
        <v>0</v>
      </c>
      <c r="Z164" s="392">
        <f t="shared" si="26"/>
        <v>0</v>
      </c>
      <c r="AA164" s="392">
        <f t="shared" si="26"/>
        <v>0</v>
      </c>
      <c r="AB164" s="392">
        <f t="shared" si="26"/>
        <v>0</v>
      </c>
      <c r="AC164" s="392">
        <f t="shared" si="26"/>
        <v>0</v>
      </c>
      <c r="AD164" s="392">
        <f t="shared" si="26"/>
        <v>0</v>
      </c>
      <c r="AE164" s="392">
        <f t="shared" si="26"/>
        <v>0</v>
      </c>
      <c r="AF164" s="392">
        <f t="shared" si="26"/>
        <v>0</v>
      </c>
      <c r="AG164" s="392">
        <f t="shared" si="26"/>
        <v>0</v>
      </c>
      <c r="AH164" s="392">
        <f t="shared" si="26"/>
        <v>0</v>
      </c>
      <c r="AI164" s="392">
        <f t="shared" si="26"/>
        <v>0</v>
      </c>
      <c r="AJ164" s="392">
        <f t="shared" si="26"/>
        <v>0</v>
      </c>
      <c r="AK164" s="392">
        <f t="shared" si="26"/>
        <v>0</v>
      </c>
      <c r="AL164" s="392">
        <f t="shared" si="26"/>
        <v>0</v>
      </c>
      <c r="AM164" s="392">
        <f t="shared" si="26"/>
        <v>0</v>
      </c>
      <c r="AN164" s="392">
        <f t="shared" si="26"/>
        <v>0</v>
      </c>
    </row>
    <row r="165" spans="2:40" ht="13.15" customHeight="1" outlineLevel="1" x14ac:dyDescent="0.2">
      <c r="B165" s="404" t="s">
        <v>1372</v>
      </c>
      <c r="C165" s="413"/>
      <c r="D165" s="299" t="s">
        <v>1346</v>
      </c>
      <c r="E165" s="407">
        <f t="shared" ref="E165:E170" si="27">SUM(F165:AN165)</f>
        <v>0</v>
      </c>
      <c r="F165" s="407">
        <f>IF($D165="Sim",'13 - Despesas diversas (ADM)'!C20*9.25%,0)</f>
        <v>0</v>
      </c>
      <c r="G165" s="407">
        <f t="shared" ref="G165:G170" si="28">F165</f>
        <v>0</v>
      </c>
      <c r="H165" s="407">
        <f t="shared" si="25"/>
        <v>0</v>
      </c>
      <c r="I165" s="407">
        <f t="shared" si="25"/>
        <v>0</v>
      </c>
      <c r="J165" s="407">
        <f t="shared" si="25"/>
        <v>0</v>
      </c>
      <c r="K165" s="407">
        <f t="shared" si="25"/>
        <v>0</v>
      </c>
      <c r="L165" s="407">
        <f t="shared" si="25"/>
        <v>0</v>
      </c>
      <c r="M165" s="407">
        <f t="shared" si="25"/>
        <v>0</v>
      </c>
      <c r="N165" s="407">
        <f t="shared" si="25"/>
        <v>0</v>
      </c>
      <c r="O165" s="407">
        <f t="shared" si="25"/>
        <v>0</v>
      </c>
      <c r="P165" s="407">
        <f t="shared" si="25"/>
        <v>0</v>
      </c>
      <c r="Q165" s="407">
        <f t="shared" si="25"/>
        <v>0</v>
      </c>
      <c r="R165" s="407">
        <f t="shared" si="25"/>
        <v>0</v>
      </c>
      <c r="S165" s="407">
        <f t="shared" si="25"/>
        <v>0</v>
      </c>
      <c r="T165" s="407">
        <f t="shared" si="25"/>
        <v>0</v>
      </c>
      <c r="U165" s="407">
        <f t="shared" si="25"/>
        <v>0</v>
      </c>
      <c r="V165" s="407">
        <f t="shared" si="25"/>
        <v>0</v>
      </c>
      <c r="W165" s="407">
        <f t="shared" si="25"/>
        <v>0</v>
      </c>
      <c r="X165" s="407">
        <f t="shared" si="25"/>
        <v>0</v>
      </c>
      <c r="Y165" s="407">
        <f t="shared" si="25"/>
        <v>0</v>
      </c>
      <c r="Z165" s="407">
        <f t="shared" si="25"/>
        <v>0</v>
      </c>
      <c r="AA165" s="407">
        <f t="shared" si="25"/>
        <v>0</v>
      </c>
      <c r="AB165" s="407">
        <f t="shared" si="25"/>
        <v>0</v>
      </c>
      <c r="AC165" s="407">
        <f t="shared" si="25"/>
        <v>0</v>
      </c>
      <c r="AD165" s="407">
        <f t="shared" si="25"/>
        <v>0</v>
      </c>
      <c r="AE165" s="407">
        <f t="shared" si="25"/>
        <v>0</v>
      </c>
      <c r="AF165" s="407">
        <f t="shared" si="25"/>
        <v>0</v>
      </c>
      <c r="AG165" s="407">
        <f t="shared" si="25"/>
        <v>0</v>
      </c>
      <c r="AH165" s="407">
        <f t="shared" si="25"/>
        <v>0</v>
      </c>
      <c r="AI165" s="407">
        <f t="shared" si="25"/>
        <v>0</v>
      </c>
      <c r="AJ165" s="407">
        <f t="shared" si="25"/>
        <v>0</v>
      </c>
      <c r="AK165" s="407">
        <f t="shared" si="25"/>
        <v>0</v>
      </c>
      <c r="AL165" s="407">
        <f t="shared" si="25"/>
        <v>0</v>
      </c>
      <c r="AM165" s="407">
        <f t="shared" si="25"/>
        <v>0</v>
      </c>
      <c r="AN165" s="407">
        <f t="shared" si="25"/>
        <v>0</v>
      </c>
    </row>
    <row r="166" spans="2:40" ht="13.15" customHeight="1" outlineLevel="1" x14ac:dyDescent="0.2">
      <c r="B166" s="404" t="s">
        <v>1373</v>
      </c>
      <c r="C166" s="413"/>
      <c r="D166" s="299" t="s">
        <v>1346</v>
      </c>
      <c r="E166" s="407">
        <f t="shared" si="27"/>
        <v>0</v>
      </c>
      <c r="F166" s="407">
        <f>IF($D166="Sim",'13 - Despesas diversas (ADM)'!C21*9.25%,0)</f>
        <v>0</v>
      </c>
      <c r="G166" s="407">
        <f t="shared" si="28"/>
        <v>0</v>
      </c>
      <c r="H166" s="407">
        <f t="shared" si="25"/>
        <v>0</v>
      </c>
      <c r="I166" s="407">
        <f t="shared" si="25"/>
        <v>0</v>
      </c>
      <c r="J166" s="407">
        <f t="shared" si="25"/>
        <v>0</v>
      </c>
      <c r="K166" s="407">
        <f t="shared" si="25"/>
        <v>0</v>
      </c>
      <c r="L166" s="407">
        <f t="shared" si="25"/>
        <v>0</v>
      </c>
      <c r="M166" s="407">
        <f t="shared" si="25"/>
        <v>0</v>
      </c>
      <c r="N166" s="407">
        <f t="shared" si="25"/>
        <v>0</v>
      </c>
      <c r="O166" s="407">
        <f t="shared" si="25"/>
        <v>0</v>
      </c>
      <c r="P166" s="407">
        <f t="shared" si="25"/>
        <v>0</v>
      </c>
      <c r="Q166" s="407">
        <f t="shared" si="25"/>
        <v>0</v>
      </c>
      <c r="R166" s="407">
        <f t="shared" si="25"/>
        <v>0</v>
      </c>
      <c r="S166" s="407">
        <f t="shared" si="25"/>
        <v>0</v>
      </c>
      <c r="T166" s="407">
        <f t="shared" si="25"/>
        <v>0</v>
      </c>
      <c r="U166" s="407">
        <f t="shared" si="25"/>
        <v>0</v>
      </c>
      <c r="V166" s="407">
        <f t="shared" si="25"/>
        <v>0</v>
      </c>
      <c r="W166" s="407">
        <f t="shared" si="25"/>
        <v>0</v>
      </c>
      <c r="X166" s="407">
        <f t="shared" si="25"/>
        <v>0</v>
      </c>
      <c r="Y166" s="407">
        <f t="shared" si="25"/>
        <v>0</v>
      </c>
      <c r="Z166" s="407">
        <f t="shared" si="25"/>
        <v>0</v>
      </c>
      <c r="AA166" s="407">
        <f t="shared" si="25"/>
        <v>0</v>
      </c>
      <c r="AB166" s="407">
        <f t="shared" si="25"/>
        <v>0</v>
      </c>
      <c r="AC166" s="407">
        <f t="shared" si="25"/>
        <v>0</v>
      </c>
      <c r="AD166" s="407">
        <f t="shared" si="25"/>
        <v>0</v>
      </c>
      <c r="AE166" s="407">
        <f t="shared" si="25"/>
        <v>0</v>
      </c>
      <c r="AF166" s="407">
        <f t="shared" si="25"/>
        <v>0</v>
      </c>
      <c r="AG166" s="407">
        <f t="shared" si="25"/>
        <v>0</v>
      </c>
      <c r="AH166" s="407">
        <f t="shared" si="25"/>
        <v>0</v>
      </c>
      <c r="AI166" s="407">
        <f t="shared" si="25"/>
        <v>0</v>
      </c>
      <c r="AJ166" s="407">
        <f t="shared" si="25"/>
        <v>0</v>
      </c>
      <c r="AK166" s="407">
        <f t="shared" si="25"/>
        <v>0</v>
      </c>
      <c r="AL166" s="407">
        <f t="shared" si="25"/>
        <v>0</v>
      </c>
      <c r="AM166" s="407">
        <f t="shared" si="25"/>
        <v>0</v>
      </c>
      <c r="AN166" s="407">
        <f t="shared" si="25"/>
        <v>0</v>
      </c>
    </row>
    <row r="167" spans="2:40" ht="13.15" customHeight="1" outlineLevel="1" x14ac:dyDescent="0.2">
      <c r="B167" s="404" t="s">
        <v>1377</v>
      </c>
      <c r="C167" s="413"/>
      <c r="D167" s="299" t="s">
        <v>1346</v>
      </c>
      <c r="E167" s="407">
        <f t="shared" si="27"/>
        <v>0</v>
      </c>
      <c r="F167" s="407">
        <f>IF($D167="Sim",'13 - Despesas diversas (ADM)'!C22*9.25%,0)</f>
        <v>0</v>
      </c>
      <c r="G167" s="407">
        <f t="shared" si="28"/>
        <v>0</v>
      </c>
      <c r="H167" s="407">
        <f t="shared" si="25"/>
        <v>0</v>
      </c>
      <c r="I167" s="407">
        <f t="shared" si="25"/>
        <v>0</v>
      </c>
      <c r="J167" s="407">
        <f t="shared" si="25"/>
        <v>0</v>
      </c>
      <c r="K167" s="407">
        <f t="shared" si="25"/>
        <v>0</v>
      </c>
      <c r="L167" s="407">
        <f t="shared" si="25"/>
        <v>0</v>
      </c>
      <c r="M167" s="407">
        <f t="shared" si="25"/>
        <v>0</v>
      </c>
      <c r="N167" s="407">
        <f t="shared" si="25"/>
        <v>0</v>
      </c>
      <c r="O167" s="407">
        <f t="shared" si="25"/>
        <v>0</v>
      </c>
      <c r="P167" s="407">
        <f t="shared" si="25"/>
        <v>0</v>
      </c>
      <c r="Q167" s="407">
        <f t="shared" si="25"/>
        <v>0</v>
      </c>
      <c r="R167" s="407">
        <f t="shared" si="25"/>
        <v>0</v>
      </c>
      <c r="S167" s="407">
        <f t="shared" si="25"/>
        <v>0</v>
      </c>
      <c r="T167" s="407">
        <f t="shared" si="25"/>
        <v>0</v>
      </c>
      <c r="U167" s="407">
        <f t="shared" si="25"/>
        <v>0</v>
      </c>
      <c r="V167" s="407">
        <f t="shared" si="25"/>
        <v>0</v>
      </c>
      <c r="W167" s="407">
        <f t="shared" si="25"/>
        <v>0</v>
      </c>
      <c r="X167" s="407">
        <f t="shared" si="25"/>
        <v>0</v>
      </c>
      <c r="Y167" s="407">
        <f t="shared" si="25"/>
        <v>0</v>
      </c>
      <c r="Z167" s="407">
        <f t="shared" si="25"/>
        <v>0</v>
      </c>
      <c r="AA167" s="407">
        <f t="shared" si="25"/>
        <v>0</v>
      </c>
      <c r="AB167" s="407">
        <f t="shared" si="25"/>
        <v>0</v>
      </c>
      <c r="AC167" s="407">
        <f t="shared" si="25"/>
        <v>0</v>
      </c>
      <c r="AD167" s="407">
        <f t="shared" si="25"/>
        <v>0</v>
      </c>
      <c r="AE167" s="407">
        <f t="shared" si="25"/>
        <v>0</v>
      </c>
      <c r="AF167" s="407">
        <f t="shared" si="25"/>
        <v>0</v>
      </c>
      <c r="AG167" s="407">
        <f t="shared" si="25"/>
        <v>0</v>
      </c>
      <c r="AH167" s="407">
        <f t="shared" si="25"/>
        <v>0</v>
      </c>
      <c r="AI167" s="407">
        <f t="shared" si="25"/>
        <v>0</v>
      </c>
      <c r="AJ167" s="407">
        <f t="shared" si="25"/>
        <v>0</v>
      </c>
      <c r="AK167" s="407">
        <f t="shared" si="25"/>
        <v>0</v>
      </c>
      <c r="AL167" s="407">
        <f t="shared" si="25"/>
        <v>0</v>
      </c>
      <c r="AM167" s="407">
        <f t="shared" si="25"/>
        <v>0</v>
      </c>
      <c r="AN167" s="407">
        <f t="shared" si="25"/>
        <v>0</v>
      </c>
    </row>
    <row r="168" spans="2:40" ht="13.15" customHeight="1" outlineLevel="1" x14ac:dyDescent="0.2">
      <c r="B168" s="404" t="s">
        <v>1384</v>
      </c>
      <c r="C168" s="413"/>
      <c r="D168" s="299" t="s">
        <v>1346</v>
      </c>
      <c r="E168" s="407">
        <f t="shared" si="27"/>
        <v>0</v>
      </c>
      <c r="F168" s="407">
        <f>IF($D168="Sim",'13 - Despesas diversas (ADM)'!C23*9.25%,0)</f>
        <v>0</v>
      </c>
      <c r="G168" s="407">
        <f t="shared" si="28"/>
        <v>0</v>
      </c>
      <c r="H168" s="407">
        <f t="shared" si="25"/>
        <v>0</v>
      </c>
      <c r="I168" s="407">
        <f t="shared" si="25"/>
        <v>0</v>
      </c>
      <c r="J168" s="407">
        <f t="shared" si="25"/>
        <v>0</v>
      </c>
      <c r="K168" s="407">
        <f t="shared" si="25"/>
        <v>0</v>
      </c>
      <c r="L168" s="407">
        <f t="shared" si="25"/>
        <v>0</v>
      </c>
      <c r="M168" s="407">
        <f t="shared" si="25"/>
        <v>0</v>
      </c>
      <c r="N168" s="407">
        <f t="shared" si="25"/>
        <v>0</v>
      </c>
      <c r="O168" s="407">
        <f t="shared" si="25"/>
        <v>0</v>
      </c>
      <c r="P168" s="407">
        <f t="shared" si="25"/>
        <v>0</v>
      </c>
      <c r="Q168" s="407">
        <f t="shared" si="25"/>
        <v>0</v>
      </c>
      <c r="R168" s="407">
        <f t="shared" si="25"/>
        <v>0</v>
      </c>
      <c r="S168" s="407">
        <f t="shared" si="25"/>
        <v>0</v>
      </c>
      <c r="T168" s="407">
        <f t="shared" si="25"/>
        <v>0</v>
      </c>
      <c r="U168" s="407">
        <f t="shared" si="25"/>
        <v>0</v>
      </c>
      <c r="V168" s="407">
        <f t="shared" si="25"/>
        <v>0</v>
      </c>
      <c r="W168" s="407">
        <f t="shared" si="25"/>
        <v>0</v>
      </c>
      <c r="X168" s="407">
        <f t="shared" si="25"/>
        <v>0</v>
      </c>
      <c r="Y168" s="407">
        <f t="shared" si="25"/>
        <v>0</v>
      </c>
      <c r="Z168" s="407">
        <f t="shared" si="25"/>
        <v>0</v>
      </c>
      <c r="AA168" s="407">
        <f t="shared" si="25"/>
        <v>0</v>
      </c>
      <c r="AB168" s="407">
        <f t="shared" si="25"/>
        <v>0</v>
      </c>
      <c r="AC168" s="407">
        <f t="shared" si="25"/>
        <v>0</v>
      </c>
      <c r="AD168" s="407">
        <f t="shared" si="25"/>
        <v>0</v>
      </c>
      <c r="AE168" s="407">
        <f t="shared" si="25"/>
        <v>0</v>
      </c>
      <c r="AF168" s="407">
        <f t="shared" si="25"/>
        <v>0</v>
      </c>
      <c r="AG168" s="407">
        <f t="shared" si="25"/>
        <v>0</v>
      </c>
      <c r="AH168" s="407">
        <f t="shared" si="25"/>
        <v>0</v>
      </c>
      <c r="AI168" s="407">
        <f t="shared" si="25"/>
        <v>0</v>
      </c>
      <c r="AJ168" s="407">
        <f t="shared" si="25"/>
        <v>0</v>
      </c>
      <c r="AK168" s="407">
        <f t="shared" si="25"/>
        <v>0</v>
      </c>
      <c r="AL168" s="407">
        <f t="shared" si="25"/>
        <v>0</v>
      </c>
      <c r="AM168" s="407">
        <f t="shared" si="25"/>
        <v>0</v>
      </c>
      <c r="AN168" s="407">
        <f t="shared" si="25"/>
        <v>0</v>
      </c>
    </row>
    <row r="169" spans="2:40" ht="13.15" customHeight="1" outlineLevel="1" x14ac:dyDescent="0.2">
      <c r="B169" s="404" t="s">
        <v>1385</v>
      </c>
      <c r="C169" s="413"/>
      <c r="D169" s="299" t="s">
        <v>1346</v>
      </c>
      <c r="E169" s="407">
        <f t="shared" si="27"/>
        <v>0</v>
      </c>
      <c r="F169" s="407">
        <f>IF($D169="Sim",'13 - Despesas diversas (ADM)'!C24*9.25%,0)</f>
        <v>0</v>
      </c>
      <c r="G169" s="407">
        <f t="shared" si="28"/>
        <v>0</v>
      </c>
      <c r="H169" s="407">
        <f t="shared" si="25"/>
        <v>0</v>
      </c>
      <c r="I169" s="407">
        <f t="shared" si="25"/>
        <v>0</v>
      </c>
      <c r="J169" s="407">
        <f t="shared" si="25"/>
        <v>0</v>
      </c>
      <c r="K169" s="407">
        <f t="shared" si="25"/>
        <v>0</v>
      </c>
      <c r="L169" s="407">
        <f t="shared" si="25"/>
        <v>0</v>
      </c>
      <c r="M169" s="407">
        <f t="shared" si="25"/>
        <v>0</v>
      </c>
      <c r="N169" s="407">
        <f t="shared" si="25"/>
        <v>0</v>
      </c>
      <c r="O169" s="407">
        <f t="shared" si="25"/>
        <v>0</v>
      </c>
      <c r="P169" s="407">
        <f t="shared" si="25"/>
        <v>0</v>
      </c>
      <c r="Q169" s="407">
        <f t="shared" si="25"/>
        <v>0</v>
      </c>
      <c r="R169" s="407">
        <f t="shared" si="25"/>
        <v>0</v>
      </c>
      <c r="S169" s="407">
        <f t="shared" si="25"/>
        <v>0</v>
      </c>
      <c r="T169" s="407">
        <f t="shared" si="25"/>
        <v>0</v>
      </c>
      <c r="U169" s="407">
        <f t="shared" si="25"/>
        <v>0</v>
      </c>
      <c r="V169" s="407">
        <f t="shared" si="25"/>
        <v>0</v>
      </c>
      <c r="W169" s="407">
        <f t="shared" si="25"/>
        <v>0</v>
      </c>
      <c r="X169" s="407">
        <f t="shared" si="25"/>
        <v>0</v>
      </c>
      <c r="Y169" s="407">
        <f t="shared" si="25"/>
        <v>0</v>
      </c>
      <c r="Z169" s="407">
        <f t="shared" si="25"/>
        <v>0</v>
      </c>
      <c r="AA169" s="407">
        <f t="shared" si="25"/>
        <v>0</v>
      </c>
      <c r="AB169" s="407">
        <f t="shared" si="25"/>
        <v>0</v>
      </c>
      <c r="AC169" s="407">
        <f t="shared" si="25"/>
        <v>0</v>
      </c>
      <c r="AD169" s="407">
        <f t="shared" si="25"/>
        <v>0</v>
      </c>
      <c r="AE169" s="407">
        <f t="shared" si="25"/>
        <v>0</v>
      </c>
      <c r="AF169" s="407">
        <f t="shared" si="25"/>
        <v>0</v>
      </c>
      <c r="AG169" s="407">
        <f t="shared" si="25"/>
        <v>0</v>
      </c>
      <c r="AH169" s="407">
        <f t="shared" si="25"/>
        <v>0</v>
      </c>
      <c r="AI169" s="407">
        <f t="shared" si="25"/>
        <v>0</v>
      </c>
      <c r="AJ169" s="407">
        <f t="shared" si="25"/>
        <v>0</v>
      </c>
      <c r="AK169" s="407">
        <f t="shared" si="25"/>
        <v>0</v>
      </c>
      <c r="AL169" s="407">
        <f t="shared" ref="H169:AN178" si="29">AK169</f>
        <v>0</v>
      </c>
      <c r="AM169" s="407">
        <f t="shared" si="29"/>
        <v>0</v>
      </c>
      <c r="AN169" s="407">
        <f t="shared" si="29"/>
        <v>0</v>
      </c>
    </row>
    <row r="170" spans="2:40" ht="13.15" customHeight="1" outlineLevel="1" x14ac:dyDescent="0.2">
      <c r="B170" s="404" t="s">
        <v>1380</v>
      </c>
      <c r="C170" s="413"/>
      <c r="D170" s="299" t="s">
        <v>1346</v>
      </c>
      <c r="E170" s="407">
        <f t="shared" si="27"/>
        <v>0</v>
      </c>
      <c r="F170" s="407">
        <f>IF($D170="Sim",'13 - Despesas diversas (ADM)'!C25*9.25%,0)</f>
        <v>0</v>
      </c>
      <c r="G170" s="407">
        <f t="shared" si="28"/>
        <v>0</v>
      </c>
      <c r="H170" s="407">
        <f t="shared" si="29"/>
        <v>0</v>
      </c>
      <c r="I170" s="407">
        <f t="shared" si="29"/>
        <v>0</v>
      </c>
      <c r="J170" s="407">
        <f t="shared" si="29"/>
        <v>0</v>
      </c>
      <c r="K170" s="407">
        <f t="shared" si="29"/>
        <v>0</v>
      </c>
      <c r="L170" s="407">
        <f t="shared" si="29"/>
        <v>0</v>
      </c>
      <c r="M170" s="407">
        <f t="shared" si="29"/>
        <v>0</v>
      </c>
      <c r="N170" s="407">
        <f t="shared" si="29"/>
        <v>0</v>
      </c>
      <c r="O170" s="407">
        <f t="shared" si="29"/>
        <v>0</v>
      </c>
      <c r="P170" s="407">
        <f t="shared" si="29"/>
        <v>0</v>
      </c>
      <c r="Q170" s="407">
        <f t="shared" si="29"/>
        <v>0</v>
      </c>
      <c r="R170" s="407">
        <f t="shared" si="29"/>
        <v>0</v>
      </c>
      <c r="S170" s="407">
        <f t="shared" si="29"/>
        <v>0</v>
      </c>
      <c r="T170" s="407">
        <f t="shared" si="29"/>
        <v>0</v>
      </c>
      <c r="U170" s="407">
        <f t="shared" si="29"/>
        <v>0</v>
      </c>
      <c r="V170" s="407">
        <f t="shared" si="29"/>
        <v>0</v>
      </c>
      <c r="W170" s="407">
        <f t="shared" si="29"/>
        <v>0</v>
      </c>
      <c r="X170" s="407">
        <f t="shared" si="29"/>
        <v>0</v>
      </c>
      <c r="Y170" s="407">
        <f t="shared" si="29"/>
        <v>0</v>
      </c>
      <c r="Z170" s="407">
        <f t="shared" si="29"/>
        <v>0</v>
      </c>
      <c r="AA170" s="407">
        <f t="shared" si="29"/>
        <v>0</v>
      </c>
      <c r="AB170" s="407">
        <f t="shared" si="29"/>
        <v>0</v>
      </c>
      <c r="AC170" s="407">
        <f t="shared" si="29"/>
        <v>0</v>
      </c>
      <c r="AD170" s="407">
        <f t="shared" si="29"/>
        <v>0</v>
      </c>
      <c r="AE170" s="407">
        <f t="shared" si="29"/>
        <v>0</v>
      </c>
      <c r="AF170" s="407">
        <f t="shared" si="29"/>
        <v>0</v>
      </c>
      <c r="AG170" s="407">
        <f t="shared" si="29"/>
        <v>0</v>
      </c>
      <c r="AH170" s="407">
        <f t="shared" si="29"/>
        <v>0</v>
      </c>
      <c r="AI170" s="407">
        <f t="shared" si="29"/>
        <v>0</v>
      </c>
      <c r="AJ170" s="407">
        <f t="shared" si="29"/>
        <v>0</v>
      </c>
      <c r="AK170" s="407">
        <f t="shared" si="29"/>
        <v>0</v>
      </c>
      <c r="AL170" s="407">
        <f t="shared" si="29"/>
        <v>0</v>
      </c>
      <c r="AM170" s="407">
        <f t="shared" si="29"/>
        <v>0</v>
      </c>
      <c r="AN170" s="407">
        <f t="shared" si="29"/>
        <v>0</v>
      </c>
    </row>
    <row r="171" spans="2:40" s="8" customFormat="1" ht="13.15" customHeight="1" x14ac:dyDescent="0.2">
      <c r="B171" s="323" t="s">
        <v>1386</v>
      </c>
      <c r="C171" s="418"/>
      <c r="D171" s="391"/>
      <c r="E171" s="392">
        <f>SUM(E172:E177)</f>
        <v>0</v>
      </c>
      <c r="F171" s="392">
        <f t="shared" ref="F171:AN171" si="30">SUM(F172:F179)</f>
        <v>0</v>
      </c>
      <c r="G171" s="392">
        <f t="shared" si="30"/>
        <v>0</v>
      </c>
      <c r="H171" s="392">
        <f t="shared" si="30"/>
        <v>0</v>
      </c>
      <c r="I171" s="392">
        <f t="shared" si="30"/>
        <v>0</v>
      </c>
      <c r="J171" s="392">
        <f t="shared" si="30"/>
        <v>0</v>
      </c>
      <c r="K171" s="392">
        <f t="shared" si="30"/>
        <v>0</v>
      </c>
      <c r="L171" s="392">
        <f t="shared" si="30"/>
        <v>0</v>
      </c>
      <c r="M171" s="392">
        <f t="shared" si="30"/>
        <v>0</v>
      </c>
      <c r="N171" s="392">
        <f t="shared" si="30"/>
        <v>0</v>
      </c>
      <c r="O171" s="392">
        <f t="shared" si="30"/>
        <v>0</v>
      </c>
      <c r="P171" s="392">
        <f t="shared" si="30"/>
        <v>0</v>
      </c>
      <c r="Q171" s="392">
        <f t="shared" si="30"/>
        <v>0</v>
      </c>
      <c r="R171" s="392">
        <f t="shared" si="30"/>
        <v>0</v>
      </c>
      <c r="S171" s="392">
        <f t="shared" si="30"/>
        <v>0</v>
      </c>
      <c r="T171" s="392">
        <f t="shared" si="30"/>
        <v>0</v>
      </c>
      <c r="U171" s="392">
        <f t="shared" si="30"/>
        <v>0</v>
      </c>
      <c r="V171" s="392">
        <f t="shared" si="30"/>
        <v>0</v>
      </c>
      <c r="W171" s="392">
        <f t="shared" si="30"/>
        <v>0</v>
      </c>
      <c r="X171" s="392">
        <f t="shared" si="30"/>
        <v>0</v>
      </c>
      <c r="Y171" s="392">
        <f t="shared" si="30"/>
        <v>0</v>
      </c>
      <c r="Z171" s="392">
        <f t="shared" si="30"/>
        <v>0</v>
      </c>
      <c r="AA171" s="392">
        <f t="shared" si="30"/>
        <v>0</v>
      </c>
      <c r="AB171" s="392">
        <f t="shared" si="30"/>
        <v>0</v>
      </c>
      <c r="AC171" s="392">
        <f t="shared" si="30"/>
        <v>0</v>
      </c>
      <c r="AD171" s="392">
        <f t="shared" si="30"/>
        <v>0</v>
      </c>
      <c r="AE171" s="392">
        <f t="shared" si="30"/>
        <v>0</v>
      </c>
      <c r="AF171" s="392">
        <f t="shared" si="30"/>
        <v>0</v>
      </c>
      <c r="AG171" s="392">
        <f t="shared" si="30"/>
        <v>0</v>
      </c>
      <c r="AH171" s="392">
        <f t="shared" si="30"/>
        <v>0</v>
      </c>
      <c r="AI171" s="392">
        <f t="shared" si="30"/>
        <v>0</v>
      </c>
      <c r="AJ171" s="392">
        <f t="shared" si="30"/>
        <v>0</v>
      </c>
      <c r="AK171" s="392">
        <f t="shared" si="30"/>
        <v>0</v>
      </c>
      <c r="AL171" s="392">
        <f t="shared" si="30"/>
        <v>0</v>
      </c>
      <c r="AM171" s="392">
        <f t="shared" si="30"/>
        <v>0</v>
      </c>
      <c r="AN171" s="392">
        <f t="shared" si="30"/>
        <v>0</v>
      </c>
    </row>
    <row r="172" spans="2:40" ht="13.15" customHeight="1" outlineLevel="1" x14ac:dyDescent="0.2">
      <c r="B172" s="404" t="s">
        <v>1372</v>
      </c>
      <c r="C172" s="413"/>
      <c r="D172" s="299" t="s">
        <v>1346</v>
      </c>
      <c r="E172" s="407">
        <f t="shared" ref="E172:E179" si="31">SUM(F172:AN172)</f>
        <v>0</v>
      </c>
      <c r="F172" s="407">
        <f>IF($D172="Sim",('13 - Despesas diversas (ADM)'!C27-('13 - Despesas diversas (ADM)'!C27*5%))*9.25%,0)</f>
        <v>0</v>
      </c>
      <c r="G172" s="407">
        <f t="shared" ref="G172:G179" si="32">F172</f>
        <v>0</v>
      </c>
      <c r="H172" s="407">
        <f t="shared" si="29"/>
        <v>0</v>
      </c>
      <c r="I172" s="407">
        <f t="shared" si="29"/>
        <v>0</v>
      </c>
      <c r="J172" s="407">
        <f t="shared" si="29"/>
        <v>0</v>
      </c>
      <c r="K172" s="407">
        <f t="shared" si="29"/>
        <v>0</v>
      </c>
      <c r="L172" s="407">
        <f t="shared" si="29"/>
        <v>0</v>
      </c>
      <c r="M172" s="407">
        <f t="shared" si="29"/>
        <v>0</v>
      </c>
      <c r="N172" s="407">
        <f t="shared" si="29"/>
        <v>0</v>
      </c>
      <c r="O172" s="407">
        <f t="shared" si="29"/>
        <v>0</v>
      </c>
      <c r="P172" s="407">
        <f t="shared" si="29"/>
        <v>0</v>
      </c>
      <c r="Q172" s="407">
        <f t="shared" si="29"/>
        <v>0</v>
      </c>
      <c r="R172" s="407">
        <f t="shared" si="29"/>
        <v>0</v>
      </c>
      <c r="S172" s="407">
        <f t="shared" si="29"/>
        <v>0</v>
      </c>
      <c r="T172" s="407">
        <f t="shared" si="29"/>
        <v>0</v>
      </c>
      <c r="U172" s="407">
        <f t="shared" si="29"/>
        <v>0</v>
      </c>
      <c r="V172" s="407">
        <f t="shared" si="29"/>
        <v>0</v>
      </c>
      <c r="W172" s="407">
        <f t="shared" si="29"/>
        <v>0</v>
      </c>
      <c r="X172" s="407">
        <f t="shared" si="29"/>
        <v>0</v>
      </c>
      <c r="Y172" s="407">
        <f t="shared" si="29"/>
        <v>0</v>
      </c>
      <c r="Z172" s="407">
        <f t="shared" si="29"/>
        <v>0</v>
      </c>
      <c r="AA172" s="407">
        <f t="shared" si="29"/>
        <v>0</v>
      </c>
      <c r="AB172" s="407">
        <f t="shared" si="29"/>
        <v>0</v>
      </c>
      <c r="AC172" s="407">
        <f t="shared" si="29"/>
        <v>0</v>
      </c>
      <c r="AD172" s="407">
        <f t="shared" si="29"/>
        <v>0</v>
      </c>
      <c r="AE172" s="407">
        <f t="shared" si="29"/>
        <v>0</v>
      </c>
      <c r="AF172" s="407">
        <f t="shared" si="29"/>
        <v>0</v>
      </c>
      <c r="AG172" s="407">
        <f t="shared" si="29"/>
        <v>0</v>
      </c>
      <c r="AH172" s="407">
        <f t="shared" si="29"/>
        <v>0</v>
      </c>
      <c r="AI172" s="407">
        <f t="shared" si="29"/>
        <v>0</v>
      </c>
      <c r="AJ172" s="407">
        <f t="shared" si="29"/>
        <v>0</v>
      </c>
      <c r="AK172" s="407">
        <f t="shared" si="29"/>
        <v>0</v>
      </c>
      <c r="AL172" s="407">
        <f t="shared" si="29"/>
        <v>0</v>
      </c>
      <c r="AM172" s="407">
        <f t="shared" si="29"/>
        <v>0</v>
      </c>
      <c r="AN172" s="407">
        <f t="shared" si="29"/>
        <v>0</v>
      </c>
    </row>
    <row r="173" spans="2:40" ht="13.15" customHeight="1" outlineLevel="1" x14ac:dyDescent="0.2">
      <c r="B173" s="404" t="s">
        <v>1373</v>
      </c>
      <c r="C173" s="413"/>
      <c r="D173" s="299" t="s">
        <v>1346</v>
      </c>
      <c r="E173" s="407">
        <f t="shared" si="31"/>
        <v>0</v>
      </c>
      <c r="F173" s="407">
        <f>IF($D173="Sim",('13 - Despesas diversas (ADM)'!C28-('13 - Despesas diversas (ADM)'!C28*5%))*9.25%,0)</f>
        <v>0</v>
      </c>
      <c r="G173" s="407">
        <f t="shared" si="32"/>
        <v>0</v>
      </c>
      <c r="H173" s="407">
        <f t="shared" si="29"/>
        <v>0</v>
      </c>
      <c r="I173" s="407">
        <f t="shared" si="29"/>
        <v>0</v>
      </c>
      <c r="J173" s="407">
        <f t="shared" si="29"/>
        <v>0</v>
      </c>
      <c r="K173" s="407">
        <f t="shared" si="29"/>
        <v>0</v>
      </c>
      <c r="L173" s="407">
        <f t="shared" si="29"/>
        <v>0</v>
      </c>
      <c r="M173" s="407">
        <f t="shared" si="29"/>
        <v>0</v>
      </c>
      <c r="N173" s="407">
        <f t="shared" si="29"/>
        <v>0</v>
      </c>
      <c r="O173" s="407">
        <f t="shared" si="29"/>
        <v>0</v>
      </c>
      <c r="P173" s="407">
        <f t="shared" si="29"/>
        <v>0</v>
      </c>
      <c r="Q173" s="407">
        <f t="shared" si="29"/>
        <v>0</v>
      </c>
      <c r="R173" s="407">
        <f t="shared" si="29"/>
        <v>0</v>
      </c>
      <c r="S173" s="407">
        <f t="shared" si="29"/>
        <v>0</v>
      </c>
      <c r="T173" s="407">
        <f t="shared" si="29"/>
        <v>0</v>
      </c>
      <c r="U173" s="407">
        <f t="shared" si="29"/>
        <v>0</v>
      </c>
      <c r="V173" s="407">
        <f t="shared" si="29"/>
        <v>0</v>
      </c>
      <c r="W173" s="407">
        <f t="shared" si="29"/>
        <v>0</v>
      </c>
      <c r="X173" s="407">
        <f t="shared" si="29"/>
        <v>0</v>
      </c>
      <c r="Y173" s="407">
        <f t="shared" si="29"/>
        <v>0</v>
      </c>
      <c r="Z173" s="407">
        <f t="shared" si="29"/>
        <v>0</v>
      </c>
      <c r="AA173" s="407">
        <f t="shared" si="29"/>
        <v>0</v>
      </c>
      <c r="AB173" s="407">
        <f t="shared" si="29"/>
        <v>0</v>
      </c>
      <c r="AC173" s="407">
        <f t="shared" si="29"/>
        <v>0</v>
      </c>
      <c r="AD173" s="407">
        <f t="shared" si="29"/>
        <v>0</v>
      </c>
      <c r="AE173" s="407">
        <f t="shared" si="29"/>
        <v>0</v>
      </c>
      <c r="AF173" s="407">
        <f t="shared" si="29"/>
        <v>0</v>
      </c>
      <c r="AG173" s="407">
        <f t="shared" si="29"/>
        <v>0</v>
      </c>
      <c r="AH173" s="407">
        <f t="shared" si="29"/>
        <v>0</v>
      </c>
      <c r="AI173" s="407">
        <f t="shared" si="29"/>
        <v>0</v>
      </c>
      <c r="AJ173" s="407">
        <f t="shared" si="29"/>
        <v>0</v>
      </c>
      <c r="AK173" s="407">
        <f t="shared" si="29"/>
        <v>0</v>
      </c>
      <c r="AL173" s="407">
        <f t="shared" si="29"/>
        <v>0</v>
      </c>
      <c r="AM173" s="407">
        <f t="shared" si="29"/>
        <v>0</v>
      </c>
      <c r="AN173" s="407">
        <f t="shared" si="29"/>
        <v>0</v>
      </c>
    </row>
    <row r="174" spans="2:40" ht="13.15" customHeight="1" outlineLevel="1" x14ac:dyDescent="0.2">
      <c r="B174" s="404" t="s">
        <v>1377</v>
      </c>
      <c r="C174" s="413"/>
      <c r="D174" s="299" t="s">
        <v>1346</v>
      </c>
      <c r="E174" s="407">
        <f t="shared" si="31"/>
        <v>0</v>
      </c>
      <c r="F174" s="407">
        <f>IF($D174="Sim",('13 - Despesas diversas (ADM)'!C29-('13 - Despesas diversas (ADM)'!C29*5%))*9.25%,0)</f>
        <v>0</v>
      </c>
      <c r="G174" s="407">
        <f t="shared" si="32"/>
        <v>0</v>
      </c>
      <c r="H174" s="407">
        <f t="shared" si="29"/>
        <v>0</v>
      </c>
      <c r="I174" s="407">
        <f t="shared" si="29"/>
        <v>0</v>
      </c>
      <c r="J174" s="407">
        <f t="shared" si="29"/>
        <v>0</v>
      </c>
      <c r="K174" s="407">
        <f t="shared" si="29"/>
        <v>0</v>
      </c>
      <c r="L174" s="407">
        <f t="shared" si="29"/>
        <v>0</v>
      </c>
      <c r="M174" s="407">
        <f t="shared" si="29"/>
        <v>0</v>
      </c>
      <c r="N174" s="407">
        <f t="shared" si="29"/>
        <v>0</v>
      </c>
      <c r="O174" s="407">
        <f t="shared" si="29"/>
        <v>0</v>
      </c>
      <c r="P174" s="407">
        <f t="shared" si="29"/>
        <v>0</v>
      </c>
      <c r="Q174" s="407">
        <f t="shared" si="29"/>
        <v>0</v>
      </c>
      <c r="R174" s="407">
        <f t="shared" si="29"/>
        <v>0</v>
      </c>
      <c r="S174" s="407">
        <f t="shared" si="29"/>
        <v>0</v>
      </c>
      <c r="T174" s="407">
        <f t="shared" si="29"/>
        <v>0</v>
      </c>
      <c r="U174" s="407">
        <f t="shared" si="29"/>
        <v>0</v>
      </c>
      <c r="V174" s="407">
        <f t="shared" si="29"/>
        <v>0</v>
      </c>
      <c r="W174" s="407">
        <f t="shared" si="29"/>
        <v>0</v>
      </c>
      <c r="X174" s="407">
        <f t="shared" si="29"/>
        <v>0</v>
      </c>
      <c r="Y174" s="407">
        <f t="shared" si="29"/>
        <v>0</v>
      </c>
      <c r="Z174" s="407">
        <f t="shared" si="29"/>
        <v>0</v>
      </c>
      <c r="AA174" s="407">
        <f t="shared" si="29"/>
        <v>0</v>
      </c>
      <c r="AB174" s="407">
        <f t="shared" si="29"/>
        <v>0</v>
      </c>
      <c r="AC174" s="407">
        <f t="shared" si="29"/>
        <v>0</v>
      </c>
      <c r="AD174" s="407">
        <f t="shared" si="29"/>
        <v>0</v>
      </c>
      <c r="AE174" s="407">
        <f t="shared" si="29"/>
        <v>0</v>
      </c>
      <c r="AF174" s="407">
        <f t="shared" si="29"/>
        <v>0</v>
      </c>
      <c r="AG174" s="407">
        <f t="shared" si="29"/>
        <v>0</v>
      </c>
      <c r="AH174" s="407">
        <f t="shared" si="29"/>
        <v>0</v>
      </c>
      <c r="AI174" s="407">
        <f t="shared" si="29"/>
        <v>0</v>
      </c>
      <c r="AJ174" s="407">
        <f t="shared" si="29"/>
        <v>0</v>
      </c>
      <c r="AK174" s="407">
        <f t="shared" si="29"/>
        <v>0</v>
      </c>
      <c r="AL174" s="407">
        <f t="shared" si="29"/>
        <v>0</v>
      </c>
      <c r="AM174" s="407">
        <f t="shared" si="29"/>
        <v>0</v>
      </c>
      <c r="AN174" s="407">
        <f t="shared" si="29"/>
        <v>0</v>
      </c>
    </row>
    <row r="175" spans="2:40" ht="13.15" customHeight="1" outlineLevel="1" x14ac:dyDescent="0.2">
      <c r="B175" s="404" t="s">
        <v>1387</v>
      </c>
      <c r="C175" s="413"/>
      <c r="D175" s="299" t="s">
        <v>1346</v>
      </c>
      <c r="E175" s="407">
        <f t="shared" si="31"/>
        <v>0</v>
      </c>
      <c r="F175" s="407">
        <f>IF($D175="Sim",('13 - Despesas diversas (ADM)'!C30-('13 - Despesas diversas (ADM)'!C30*5%))*9.25%,0)</f>
        <v>0</v>
      </c>
      <c r="G175" s="407">
        <f t="shared" si="32"/>
        <v>0</v>
      </c>
      <c r="H175" s="407">
        <f t="shared" si="29"/>
        <v>0</v>
      </c>
      <c r="I175" s="407">
        <f t="shared" si="29"/>
        <v>0</v>
      </c>
      <c r="J175" s="407">
        <f t="shared" si="29"/>
        <v>0</v>
      </c>
      <c r="K175" s="407">
        <f t="shared" si="29"/>
        <v>0</v>
      </c>
      <c r="L175" s="407">
        <f t="shared" si="29"/>
        <v>0</v>
      </c>
      <c r="M175" s="407">
        <f t="shared" si="29"/>
        <v>0</v>
      </c>
      <c r="N175" s="407">
        <f t="shared" si="29"/>
        <v>0</v>
      </c>
      <c r="O175" s="407">
        <f t="shared" si="29"/>
        <v>0</v>
      </c>
      <c r="P175" s="407">
        <f t="shared" si="29"/>
        <v>0</v>
      </c>
      <c r="Q175" s="407">
        <f t="shared" si="29"/>
        <v>0</v>
      </c>
      <c r="R175" s="407">
        <f t="shared" si="29"/>
        <v>0</v>
      </c>
      <c r="S175" s="407">
        <f t="shared" si="29"/>
        <v>0</v>
      </c>
      <c r="T175" s="407">
        <f t="shared" si="29"/>
        <v>0</v>
      </c>
      <c r="U175" s="407">
        <f t="shared" si="29"/>
        <v>0</v>
      </c>
      <c r="V175" s="407">
        <f t="shared" si="29"/>
        <v>0</v>
      </c>
      <c r="W175" s="407">
        <f t="shared" si="29"/>
        <v>0</v>
      </c>
      <c r="X175" s="407">
        <f t="shared" si="29"/>
        <v>0</v>
      </c>
      <c r="Y175" s="407">
        <f t="shared" si="29"/>
        <v>0</v>
      </c>
      <c r="Z175" s="407">
        <f t="shared" si="29"/>
        <v>0</v>
      </c>
      <c r="AA175" s="407">
        <f t="shared" si="29"/>
        <v>0</v>
      </c>
      <c r="AB175" s="407">
        <f t="shared" si="29"/>
        <v>0</v>
      </c>
      <c r="AC175" s="407">
        <f t="shared" si="29"/>
        <v>0</v>
      </c>
      <c r="AD175" s="407">
        <f t="shared" si="29"/>
        <v>0</v>
      </c>
      <c r="AE175" s="407">
        <f t="shared" si="29"/>
        <v>0</v>
      </c>
      <c r="AF175" s="407">
        <f t="shared" si="29"/>
        <v>0</v>
      </c>
      <c r="AG175" s="407">
        <f t="shared" si="29"/>
        <v>0</v>
      </c>
      <c r="AH175" s="407">
        <f t="shared" si="29"/>
        <v>0</v>
      </c>
      <c r="AI175" s="407">
        <f t="shared" si="29"/>
        <v>0</v>
      </c>
      <c r="AJ175" s="407">
        <f t="shared" si="29"/>
        <v>0</v>
      </c>
      <c r="AK175" s="407">
        <f t="shared" si="29"/>
        <v>0</v>
      </c>
      <c r="AL175" s="407">
        <f t="shared" si="29"/>
        <v>0</v>
      </c>
      <c r="AM175" s="407">
        <f t="shared" si="29"/>
        <v>0</v>
      </c>
      <c r="AN175" s="407">
        <f t="shared" si="29"/>
        <v>0</v>
      </c>
    </row>
    <row r="176" spans="2:40" ht="13.15" customHeight="1" outlineLevel="1" x14ac:dyDescent="0.2">
      <c r="B176" s="404" t="s">
        <v>1388</v>
      </c>
      <c r="C176" s="413"/>
      <c r="D176" s="299" t="s">
        <v>1346</v>
      </c>
      <c r="E176" s="407">
        <f t="shared" si="31"/>
        <v>0</v>
      </c>
      <c r="F176" s="407">
        <f>IF($D176="Sim",('13 - Despesas diversas (ADM)'!C31-('13 - Despesas diversas (ADM)'!C31*5%))*9.25%,0)</f>
        <v>0</v>
      </c>
      <c r="G176" s="407">
        <f t="shared" si="32"/>
        <v>0</v>
      </c>
      <c r="H176" s="407">
        <f t="shared" si="29"/>
        <v>0</v>
      </c>
      <c r="I176" s="407">
        <f t="shared" si="29"/>
        <v>0</v>
      </c>
      <c r="J176" s="407">
        <f t="shared" si="29"/>
        <v>0</v>
      </c>
      <c r="K176" s="407">
        <f t="shared" si="29"/>
        <v>0</v>
      </c>
      <c r="L176" s="407">
        <f t="shared" si="29"/>
        <v>0</v>
      </c>
      <c r="M176" s="407">
        <f t="shared" si="29"/>
        <v>0</v>
      </c>
      <c r="N176" s="407">
        <f t="shared" si="29"/>
        <v>0</v>
      </c>
      <c r="O176" s="407">
        <f t="shared" si="29"/>
        <v>0</v>
      </c>
      <c r="P176" s="407">
        <f t="shared" si="29"/>
        <v>0</v>
      </c>
      <c r="Q176" s="407">
        <f t="shared" si="29"/>
        <v>0</v>
      </c>
      <c r="R176" s="407">
        <f t="shared" si="29"/>
        <v>0</v>
      </c>
      <c r="S176" s="407">
        <f t="shared" si="29"/>
        <v>0</v>
      </c>
      <c r="T176" s="407">
        <f t="shared" si="29"/>
        <v>0</v>
      </c>
      <c r="U176" s="407">
        <f t="shared" si="29"/>
        <v>0</v>
      </c>
      <c r="V176" s="407">
        <f t="shared" si="29"/>
        <v>0</v>
      </c>
      <c r="W176" s="407">
        <f t="shared" si="29"/>
        <v>0</v>
      </c>
      <c r="X176" s="407">
        <f t="shared" si="29"/>
        <v>0</v>
      </c>
      <c r="Y176" s="407">
        <f t="shared" si="29"/>
        <v>0</v>
      </c>
      <c r="Z176" s="407">
        <f t="shared" si="29"/>
        <v>0</v>
      </c>
      <c r="AA176" s="407">
        <f t="shared" si="29"/>
        <v>0</v>
      </c>
      <c r="AB176" s="407">
        <f t="shared" si="29"/>
        <v>0</v>
      </c>
      <c r="AC176" s="407">
        <f t="shared" si="29"/>
        <v>0</v>
      </c>
      <c r="AD176" s="407">
        <f t="shared" si="29"/>
        <v>0</v>
      </c>
      <c r="AE176" s="407">
        <f t="shared" si="29"/>
        <v>0</v>
      </c>
      <c r="AF176" s="407">
        <f t="shared" si="29"/>
        <v>0</v>
      </c>
      <c r="AG176" s="407">
        <f t="shared" si="29"/>
        <v>0</v>
      </c>
      <c r="AH176" s="407">
        <f t="shared" si="29"/>
        <v>0</v>
      </c>
      <c r="AI176" s="407">
        <f t="shared" si="29"/>
        <v>0</v>
      </c>
      <c r="AJ176" s="407">
        <f t="shared" si="29"/>
        <v>0</v>
      </c>
      <c r="AK176" s="407">
        <f t="shared" si="29"/>
        <v>0</v>
      </c>
      <c r="AL176" s="407">
        <f t="shared" si="29"/>
        <v>0</v>
      </c>
      <c r="AM176" s="407">
        <f t="shared" si="29"/>
        <v>0</v>
      </c>
      <c r="AN176" s="407">
        <f t="shared" si="29"/>
        <v>0</v>
      </c>
    </row>
    <row r="177" spans="2:40" ht="13.15" customHeight="1" outlineLevel="1" x14ac:dyDescent="0.2">
      <c r="B177" s="404" t="s">
        <v>1389</v>
      </c>
      <c r="C177" s="413"/>
      <c r="D177" s="299" t="s">
        <v>1346</v>
      </c>
      <c r="E177" s="407">
        <f t="shared" si="31"/>
        <v>0</v>
      </c>
      <c r="F177" s="407">
        <f>IF($D177="Sim",('13 - Despesas diversas (ADM)'!C32-('13 - Despesas diversas (ADM)'!C32*5%))*9.25%,0)</f>
        <v>0</v>
      </c>
      <c r="G177" s="407">
        <f t="shared" si="32"/>
        <v>0</v>
      </c>
      <c r="H177" s="407">
        <f t="shared" si="29"/>
        <v>0</v>
      </c>
      <c r="I177" s="407">
        <f t="shared" si="29"/>
        <v>0</v>
      </c>
      <c r="J177" s="407">
        <f t="shared" si="29"/>
        <v>0</v>
      </c>
      <c r="K177" s="407">
        <f t="shared" si="29"/>
        <v>0</v>
      </c>
      <c r="L177" s="407">
        <f t="shared" si="29"/>
        <v>0</v>
      </c>
      <c r="M177" s="407">
        <f t="shared" si="29"/>
        <v>0</v>
      </c>
      <c r="N177" s="407">
        <f t="shared" si="29"/>
        <v>0</v>
      </c>
      <c r="O177" s="407">
        <f t="shared" si="29"/>
        <v>0</v>
      </c>
      <c r="P177" s="407">
        <f t="shared" si="29"/>
        <v>0</v>
      </c>
      <c r="Q177" s="407">
        <f t="shared" si="29"/>
        <v>0</v>
      </c>
      <c r="R177" s="407">
        <f t="shared" si="29"/>
        <v>0</v>
      </c>
      <c r="S177" s="407">
        <f t="shared" si="29"/>
        <v>0</v>
      </c>
      <c r="T177" s="407">
        <f t="shared" si="29"/>
        <v>0</v>
      </c>
      <c r="U177" s="407">
        <f t="shared" si="29"/>
        <v>0</v>
      </c>
      <c r="V177" s="407">
        <f t="shared" si="29"/>
        <v>0</v>
      </c>
      <c r="W177" s="407">
        <f t="shared" si="29"/>
        <v>0</v>
      </c>
      <c r="X177" s="407">
        <f t="shared" si="29"/>
        <v>0</v>
      </c>
      <c r="Y177" s="407">
        <f t="shared" si="29"/>
        <v>0</v>
      </c>
      <c r="Z177" s="407">
        <f t="shared" si="29"/>
        <v>0</v>
      </c>
      <c r="AA177" s="407">
        <f t="shared" si="29"/>
        <v>0</v>
      </c>
      <c r="AB177" s="407">
        <f t="shared" si="29"/>
        <v>0</v>
      </c>
      <c r="AC177" s="407">
        <f t="shared" si="29"/>
        <v>0</v>
      </c>
      <c r="AD177" s="407">
        <f t="shared" si="29"/>
        <v>0</v>
      </c>
      <c r="AE177" s="407">
        <f t="shared" si="29"/>
        <v>0</v>
      </c>
      <c r="AF177" s="407">
        <f t="shared" si="29"/>
        <v>0</v>
      </c>
      <c r="AG177" s="407">
        <f t="shared" si="29"/>
        <v>0</v>
      </c>
      <c r="AH177" s="407">
        <f t="shared" si="29"/>
        <v>0</v>
      </c>
      <c r="AI177" s="407">
        <f t="shared" si="29"/>
        <v>0</v>
      </c>
      <c r="AJ177" s="407">
        <f t="shared" si="29"/>
        <v>0</v>
      </c>
      <c r="AK177" s="407">
        <f t="shared" si="29"/>
        <v>0</v>
      </c>
      <c r="AL177" s="407">
        <f t="shared" si="29"/>
        <v>0</v>
      </c>
      <c r="AM177" s="407">
        <f t="shared" si="29"/>
        <v>0</v>
      </c>
      <c r="AN177" s="407">
        <f t="shared" si="29"/>
        <v>0</v>
      </c>
    </row>
    <row r="178" spans="2:40" ht="13.15" customHeight="1" outlineLevel="1" x14ac:dyDescent="0.2">
      <c r="B178" s="404" t="s">
        <v>1390</v>
      </c>
      <c r="C178" s="413"/>
      <c r="D178" s="299" t="s">
        <v>1346</v>
      </c>
      <c r="E178" s="407">
        <f t="shared" si="31"/>
        <v>0</v>
      </c>
      <c r="F178" s="407">
        <f>IF($D178="Sim",('13 - Despesas diversas (ADM)'!C33-('13 - Despesas diversas (ADM)'!C33*5%))*9.25%,0)</f>
        <v>0</v>
      </c>
      <c r="G178" s="407">
        <f t="shared" si="32"/>
        <v>0</v>
      </c>
      <c r="H178" s="407">
        <f t="shared" si="29"/>
        <v>0</v>
      </c>
      <c r="I178" s="407">
        <f t="shared" si="29"/>
        <v>0</v>
      </c>
      <c r="J178" s="407">
        <f t="shared" si="29"/>
        <v>0</v>
      </c>
      <c r="K178" s="407">
        <f t="shared" si="29"/>
        <v>0</v>
      </c>
      <c r="L178" s="407">
        <f t="shared" si="29"/>
        <v>0</v>
      </c>
      <c r="M178" s="407">
        <f t="shared" si="29"/>
        <v>0</v>
      </c>
      <c r="N178" s="407">
        <f t="shared" si="29"/>
        <v>0</v>
      </c>
      <c r="O178" s="407">
        <f t="shared" si="29"/>
        <v>0</v>
      </c>
      <c r="P178" s="407">
        <f t="shared" si="29"/>
        <v>0</v>
      </c>
      <c r="Q178" s="407">
        <f t="shared" si="29"/>
        <v>0</v>
      </c>
      <c r="R178" s="407">
        <f t="shared" si="29"/>
        <v>0</v>
      </c>
      <c r="S178" s="407">
        <f t="shared" si="29"/>
        <v>0</v>
      </c>
      <c r="T178" s="407">
        <f t="shared" si="29"/>
        <v>0</v>
      </c>
      <c r="U178" s="407">
        <f t="shared" si="29"/>
        <v>0</v>
      </c>
      <c r="V178" s="407">
        <f t="shared" si="29"/>
        <v>0</v>
      </c>
      <c r="W178" s="407">
        <f t="shared" si="29"/>
        <v>0</v>
      </c>
      <c r="X178" s="407">
        <f t="shared" si="29"/>
        <v>0</v>
      </c>
      <c r="Y178" s="407">
        <f t="shared" si="29"/>
        <v>0</v>
      </c>
      <c r="Z178" s="407">
        <f t="shared" si="29"/>
        <v>0</v>
      </c>
      <c r="AA178" s="407">
        <f t="shared" si="29"/>
        <v>0</v>
      </c>
      <c r="AB178" s="407">
        <f t="shared" si="29"/>
        <v>0</v>
      </c>
      <c r="AC178" s="407">
        <f t="shared" ref="H178:AN179" si="33">AB178</f>
        <v>0</v>
      </c>
      <c r="AD178" s="407">
        <f t="shared" si="33"/>
        <v>0</v>
      </c>
      <c r="AE178" s="407">
        <f t="shared" si="33"/>
        <v>0</v>
      </c>
      <c r="AF178" s="407">
        <f t="shared" si="33"/>
        <v>0</v>
      </c>
      <c r="AG178" s="407">
        <f t="shared" si="33"/>
        <v>0</v>
      </c>
      <c r="AH178" s="407">
        <f t="shared" si="33"/>
        <v>0</v>
      </c>
      <c r="AI178" s="407">
        <f t="shared" si="33"/>
        <v>0</v>
      </c>
      <c r="AJ178" s="407">
        <f t="shared" si="33"/>
        <v>0</v>
      </c>
      <c r="AK178" s="407">
        <f t="shared" si="33"/>
        <v>0</v>
      </c>
      <c r="AL178" s="407">
        <f t="shared" si="33"/>
        <v>0</v>
      </c>
      <c r="AM178" s="407">
        <f t="shared" si="33"/>
        <v>0</v>
      </c>
      <c r="AN178" s="407">
        <f t="shared" si="33"/>
        <v>0</v>
      </c>
    </row>
    <row r="179" spans="2:40" ht="13.15" customHeight="1" outlineLevel="1" x14ac:dyDescent="0.2">
      <c r="B179" s="404" t="s">
        <v>1380</v>
      </c>
      <c r="C179" s="413"/>
      <c r="D179" s="299" t="s">
        <v>1346</v>
      </c>
      <c r="E179" s="407">
        <f t="shared" si="31"/>
        <v>0</v>
      </c>
      <c r="F179" s="407">
        <f>IF($D179="Sim",('13 - Despesas diversas (ADM)'!C34-('13 - Despesas diversas (ADM)'!C34*5%))*9.25%,0)</f>
        <v>0</v>
      </c>
      <c r="G179" s="407">
        <f t="shared" si="32"/>
        <v>0</v>
      </c>
      <c r="H179" s="407">
        <f t="shared" si="33"/>
        <v>0</v>
      </c>
      <c r="I179" s="407">
        <f t="shared" si="33"/>
        <v>0</v>
      </c>
      <c r="J179" s="407">
        <f t="shared" si="33"/>
        <v>0</v>
      </c>
      <c r="K179" s="407">
        <f t="shared" si="33"/>
        <v>0</v>
      </c>
      <c r="L179" s="407">
        <f t="shared" si="33"/>
        <v>0</v>
      </c>
      <c r="M179" s="407">
        <f t="shared" si="33"/>
        <v>0</v>
      </c>
      <c r="N179" s="407">
        <f t="shared" si="33"/>
        <v>0</v>
      </c>
      <c r="O179" s="407">
        <f t="shared" si="33"/>
        <v>0</v>
      </c>
      <c r="P179" s="407">
        <f t="shared" si="33"/>
        <v>0</v>
      </c>
      <c r="Q179" s="407">
        <f t="shared" si="33"/>
        <v>0</v>
      </c>
      <c r="R179" s="407">
        <f t="shared" si="33"/>
        <v>0</v>
      </c>
      <c r="S179" s="407">
        <f t="shared" si="33"/>
        <v>0</v>
      </c>
      <c r="T179" s="407">
        <f t="shared" si="33"/>
        <v>0</v>
      </c>
      <c r="U179" s="407">
        <f t="shared" si="33"/>
        <v>0</v>
      </c>
      <c r="V179" s="407">
        <f t="shared" si="33"/>
        <v>0</v>
      </c>
      <c r="W179" s="407">
        <f t="shared" si="33"/>
        <v>0</v>
      </c>
      <c r="X179" s="407">
        <f t="shared" si="33"/>
        <v>0</v>
      </c>
      <c r="Y179" s="407">
        <f t="shared" si="33"/>
        <v>0</v>
      </c>
      <c r="Z179" s="407">
        <f t="shared" si="33"/>
        <v>0</v>
      </c>
      <c r="AA179" s="407">
        <f t="shared" si="33"/>
        <v>0</v>
      </c>
      <c r="AB179" s="407">
        <f t="shared" si="33"/>
        <v>0</v>
      </c>
      <c r="AC179" s="407">
        <f t="shared" si="33"/>
        <v>0</v>
      </c>
      <c r="AD179" s="407">
        <f t="shared" si="33"/>
        <v>0</v>
      </c>
      <c r="AE179" s="407">
        <f t="shared" si="33"/>
        <v>0</v>
      </c>
      <c r="AF179" s="407">
        <f t="shared" si="33"/>
        <v>0</v>
      </c>
      <c r="AG179" s="407">
        <f t="shared" si="33"/>
        <v>0</v>
      </c>
      <c r="AH179" s="407">
        <f t="shared" si="33"/>
        <v>0</v>
      </c>
      <c r="AI179" s="407">
        <f t="shared" si="33"/>
        <v>0</v>
      </c>
      <c r="AJ179" s="407">
        <f t="shared" si="33"/>
        <v>0</v>
      </c>
      <c r="AK179" s="407">
        <f t="shared" si="33"/>
        <v>0</v>
      </c>
      <c r="AL179" s="407">
        <f t="shared" si="33"/>
        <v>0</v>
      </c>
      <c r="AM179" s="407">
        <f t="shared" si="33"/>
        <v>0</v>
      </c>
      <c r="AN179" s="407">
        <f t="shared" si="33"/>
        <v>0</v>
      </c>
    </row>
    <row r="180" spans="2:40" s="8" customFormat="1" ht="13.15" customHeight="1" x14ac:dyDescent="0.2">
      <c r="B180" s="323" t="s">
        <v>1391</v>
      </c>
      <c r="C180" s="418"/>
      <c r="D180" s="391" t="s">
        <v>1333</v>
      </c>
      <c r="E180" s="392">
        <f>SUM(F180:AN180)</f>
        <v>8206960.4903718242</v>
      </c>
      <c r="F180" s="392">
        <f>IF($D180="Sim",'17 - Custos'!F22*9.25%,0)</f>
        <v>203262.69833141434</v>
      </c>
      <c r="G180" s="392">
        <f>IF($D180="Sim",'17 - Custos'!G22*9.25%,0)</f>
        <v>206412.3342717709</v>
      </c>
      <c r="H180" s="392">
        <f>IF($D180="Sim",'17 - Custos'!H22*9.25%,0)</f>
        <v>209561.97021212752</v>
      </c>
      <c r="I180" s="392">
        <f>IF($D180="Sim",'17 - Custos'!I22*9.25%,0)</f>
        <v>212708.79146442306</v>
      </c>
      <c r="J180" s="392">
        <f>IF($D180="Sim",'17 - Custos'!J22*9.25%,0)</f>
        <v>215858.42740477971</v>
      </c>
      <c r="K180" s="392">
        <f>IF($D180="Sim",'17 - Custos'!K22*9.25%,0)</f>
        <v>219008.06334513627</v>
      </c>
      <c r="L180" s="392">
        <f>IF($D180="Sim",'17 - Custos'!L22*9.25%,0)</f>
        <v>221355.51318808302</v>
      </c>
      <c r="M180" s="392">
        <f>IF($D180="Sim",'17 - Custos'!M22*9.25%,0)</f>
        <v>223702.96303102977</v>
      </c>
      <c r="N180" s="392">
        <f>IF($D180="Sim",'17 - Custos'!N22*9.25%,0)</f>
        <v>226050.41287397649</v>
      </c>
      <c r="O180" s="392">
        <f>IF($D180="Sim",'17 - Custos'!O22*9.25%,0)</f>
        <v>228397.86271692323</v>
      </c>
      <c r="P180" s="392">
        <f>IF($D180="Sim",'17 - Custos'!P22*9.25%,0)</f>
        <v>230745.31255987001</v>
      </c>
      <c r="Q180" s="392">
        <f>IF($D180="Sim",'17 - Custos'!Q22*9.25%,0)</f>
        <v>232428.4960204002</v>
      </c>
      <c r="R180" s="392">
        <f>IF($D180="Sim",'17 - Custos'!R22*9.25%,0)</f>
        <v>234111.67948093038</v>
      </c>
      <c r="S180" s="392">
        <f>IF($D180="Sim",'17 - Custos'!S22*9.25%,0)</f>
        <v>235794.86294146057</v>
      </c>
      <c r="T180" s="392">
        <f>IF($D180="Sim",'17 - Custos'!T22*9.25%,0)</f>
        <v>237478.04640199072</v>
      </c>
      <c r="U180" s="392">
        <f>IF($D180="Sim",'17 - Custos'!U22*9.25%,0)</f>
        <v>239161.22986252097</v>
      </c>
      <c r="V180" s="392">
        <f>IF($D180="Sim",'17 - Custos'!V22*9.25%,0)</f>
        <v>240140.74130777924</v>
      </c>
      <c r="W180" s="392">
        <f>IF($D180="Sim",'17 - Custos'!W22*9.25%,0)</f>
        <v>241120.25275303761</v>
      </c>
      <c r="X180" s="392">
        <f>IF($D180="Sim",'17 - Custos'!X22*9.25%,0)</f>
        <v>242102.57888635708</v>
      </c>
      <c r="Y180" s="392">
        <f>IF($D180="Sim",'17 - Custos'!Y22*9.25%,0)</f>
        <v>243082.09033161544</v>
      </c>
      <c r="Z180" s="392">
        <f>IF($D180="Sim",'17 - Custos'!Z22*9.25%,0)</f>
        <v>244061.60177687381</v>
      </c>
      <c r="AA180" s="392">
        <f>IF($D180="Sim",'17 - Custos'!AA22*9.25%,0)</f>
        <v>244416.25247257078</v>
      </c>
      <c r="AB180" s="392">
        <f>IF($D180="Sim",'17 - Custos'!AB22*9.25%,0)</f>
        <v>244770.90316826777</v>
      </c>
      <c r="AC180" s="392">
        <f>IF($D180="Sim",'17 - Custos'!AC22*9.25%,0)</f>
        <v>245125.5538639648</v>
      </c>
      <c r="AD180" s="392">
        <f>IF($D180="Sim",'17 - Custos'!AD22*9.25%,0)</f>
        <v>245480.20455966183</v>
      </c>
      <c r="AE180" s="392">
        <f>IF($D180="Sim",'17 - Custos'!AE22*9.25%,0)</f>
        <v>245832.04056729772</v>
      </c>
      <c r="AF180" s="392">
        <f>IF($D180="Sim",'17 - Custos'!AF22*9.25%,0)</f>
        <v>245589.97739404422</v>
      </c>
      <c r="AG180" s="392">
        <f>IF($D180="Sim",'17 - Custos'!AG22*9.25%,0)</f>
        <v>245347.9142207907</v>
      </c>
      <c r="AH180" s="392">
        <f>IF($D180="Sim",'17 - Custos'!AH22*9.25%,0)</f>
        <v>245105.85104753723</v>
      </c>
      <c r="AI180" s="392">
        <f>IF($D180="Sim",'17 - Custos'!AI22*9.25%,0)</f>
        <v>244860.97318622257</v>
      </c>
      <c r="AJ180" s="392">
        <f>IF($D180="Sim",'17 - Custos'!AJ22*9.25%,0)</f>
        <v>244618.91001296905</v>
      </c>
      <c r="AK180" s="392">
        <f>IF($D180="Sim",'17 - Custos'!AK22*9.25%,0)</f>
        <v>243698.50701699354</v>
      </c>
      <c r="AL180" s="392">
        <f>IF($D180="Sim",'17 - Custos'!AL22*9.25%,0)</f>
        <v>242778.10402101799</v>
      </c>
      <c r="AM180" s="392">
        <f>IF($D180="Sim",'17 - Custos'!AM22*9.25%,0)</f>
        <v>241854.88633698144</v>
      </c>
      <c r="AN180" s="392">
        <f>IF($D180="Sim",'17 - Custos'!AN22*9.25%,0)</f>
        <v>240934.48334100595</v>
      </c>
    </row>
    <row r="181" spans="2:40" s="8" customFormat="1" ht="13.15" customHeight="1" x14ac:dyDescent="0.2">
      <c r="B181" s="323" t="s">
        <v>1392</v>
      </c>
      <c r="C181" s="418"/>
      <c r="D181" s="391" t="s">
        <v>1333</v>
      </c>
      <c r="E181" s="392">
        <f>SUM(F181:AN181)</f>
        <v>0</v>
      </c>
      <c r="F181" s="392">
        <v>0</v>
      </c>
      <c r="G181" s="392">
        <v>0</v>
      </c>
      <c r="H181" s="392">
        <v>0</v>
      </c>
      <c r="I181" s="392">
        <v>0</v>
      </c>
      <c r="J181" s="392">
        <v>0</v>
      </c>
      <c r="K181" s="392">
        <v>0</v>
      </c>
      <c r="L181" s="392">
        <v>0</v>
      </c>
      <c r="M181" s="392">
        <v>0</v>
      </c>
      <c r="N181" s="392">
        <v>0</v>
      </c>
      <c r="O181" s="392">
        <v>0</v>
      </c>
      <c r="P181" s="392">
        <v>0</v>
      </c>
      <c r="Q181" s="392">
        <v>0</v>
      </c>
      <c r="R181" s="392">
        <v>0</v>
      </c>
      <c r="S181" s="392">
        <v>0</v>
      </c>
      <c r="T181" s="392">
        <v>0</v>
      </c>
      <c r="U181" s="392">
        <v>0</v>
      </c>
      <c r="V181" s="392">
        <v>0</v>
      </c>
      <c r="W181" s="392">
        <v>0</v>
      </c>
      <c r="X181" s="392">
        <v>0</v>
      </c>
      <c r="Y181" s="392">
        <v>0</v>
      </c>
      <c r="Z181" s="392">
        <v>0</v>
      </c>
      <c r="AA181" s="392">
        <v>0</v>
      </c>
      <c r="AB181" s="392">
        <v>0</v>
      </c>
      <c r="AC181" s="392">
        <v>0</v>
      </c>
      <c r="AD181" s="392">
        <v>0</v>
      </c>
      <c r="AE181" s="392">
        <v>0</v>
      </c>
      <c r="AF181" s="392">
        <v>0</v>
      </c>
      <c r="AG181" s="392">
        <v>0</v>
      </c>
      <c r="AH181" s="392">
        <v>0</v>
      </c>
      <c r="AI181" s="392">
        <v>0</v>
      </c>
      <c r="AJ181" s="392">
        <v>0</v>
      </c>
      <c r="AK181" s="392">
        <v>0</v>
      </c>
      <c r="AL181" s="392">
        <v>0</v>
      </c>
      <c r="AM181" s="392">
        <v>0</v>
      </c>
      <c r="AN181" s="392">
        <v>0</v>
      </c>
    </row>
    <row r="182" spans="2:40" s="8" customFormat="1" ht="13.15" customHeight="1" x14ac:dyDescent="0.2">
      <c r="B182" s="323" t="s">
        <v>1393</v>
      </c>
      <c r="C182" s="418"/>
      <c r="D182" s="391" t="s">
        <v>1333</v>
      </c>
      <c r="E182" s="392">
        <f>SUM(F182:AN182)</f>
        <v>30368234.272692014</v>
      </c>
      <c r="F182" s="392">
        <f>IF($D182="Sim",'17 - Custos'!F12*9.25%,0)</f>
        <v>908221.79538486793</v>
      </c>
      <c r="G182" s="392">
        <f>IF($D182="Sim",'17 - Custos'!G12*9.25%,0)</f>
        <v>900279.79666059674</v>
      </c>
      <c r="H182" s="392">
        <f>IF($D182="Sim",'17 - Custos'!H12*9.25%,0)</f>
        <v>892247.79977055534</v>
      </c>
      <c r="I182" s="392">
        <f>IF($D182="Sim",'17 - Custos'!I12*9.25%,0)</f>
        <v>879433.82332580176</v>
      </c>
      <c r="J182" s="392">
        <f>IF($D182="Sim",'17 - Custos'!J12*9.25%,0)</f>
        <v>876772.17361245607</v>
      </c>
      <c r="K182" s="392">
        <f>IF($D182="Sim",'17 - Custos'!K12*9.25%,0)</f>
        <v>880601.78263659391</v>
      </c>
      <c r="L182" s="392">
        <f>IF($D182="Sim",'17 - Custos'!L12*9.25%,0)</f>
        <v>881870.00858705875</v>
      </c>
      <c r="M182" s="392">
        <f>IF($D182="Sim",'17 - Custos'!M12*9.25%,0)</f>
        <v>883114.88560062356</v>
      </c>
      <c r="N182" s="392">
        <f>IF($D182="Sim",'17 - Custos'!N12*9.25%,0)</f>
        <v>884331.99073468323</v>
      </c>
      <c r="O182" s="392">
        <f>IF($D182="Sim",'17 - Custos'!O12*9.25%,0)</f>
        <v>877501.26743055286</v>
      </c>
      <c r="P182" s="392">
        <f>IF($D182="Sim",'17 - Custos'!P12*9.25%,0)</f>
        <v>870577.14837882621</v>
      </c>
      <c r="Q182" s="392">
        <f>IF($D182="Sim",'17 - Custos'!Q12*9.25%,0)</f>
        <v>861833.11113491713</v>
      </c>
      <c r="R182" s="392">
        <f>IF($D182="Sim",'17 - Custos'!R12*9.25%,0)</f>
        <v>863840.99279269471</v>
      </c>
      <c r="S182" s="392">
        <f>IF($D182="Sim",'17 - Custos'!S12*9.25%,0)</f>
        <v>865848.87445047183</v>
      </c>
      <c r="T182" s="392">
        <f>IF($D182="Sim",'17 - Custos'!T12*9.25%,0)</f>
        <v>867856.75610824907</v>
      </c>
      <c r="U182" s="392">
        <f>IF($D182="Sim",'17 - Custos'!U12*9.25%,0)</f>
        <v>869864.63776602643</v>
      </c>
      <c r="V182" s="392">
        <f>IF($D182="Sim",'17 - Custos'!V12*9.25%,0)</f>
        <v>870030.89548291219</v>
      </c>
      <c r="W182" s="392">
        <f>IF($D182="Sim",'17 - Custos'!W12*9.25%,0)</f>
        <v>870201.41621818044</v>
      </c>
      <c r="X182" s="392">
        <f>IF($D182="Sim",'17 - Custos'!X12*9.25%,0)</f>
        <v>870367.67393506633</v>
      </c>
      <c r="Y182" s="392">
        <f>IF($D182="Sim",'17 - Custos'!Y12*9.25%,0)</f>
        <v>870533.93165195209</v>
      </c>
      <c r="Z182" s="392">
        <f>IF($D182="Sim",'17 - Custos'!Z12*9.25%,0)</f>
        <v>870704.45238722011</v>
      </c>
      <c r="AA182" s="392">
        <f>IF($D182="Sim",'17 - Custos'!AA12*9.25%,0)</f>
        <v>869284.86726611655</v>
      </c>
      <c r="AB182" s="392">
        <f>IF($D182="Sim",'17 - Custos'!AB12*9.25%,0)</f>
        <v>867865.28214501264</v>
      </c>
      <c r="AC182" s="392">
        <f>IF($D182="Sim",'17 - Custos'!AC12*9.25%,0)</f>
        <v>866445.69702390896</v>
      </c>
      <c r="AD182" s="392">
        <f>IF($D182="Sim",'17 - Custos'!AD12*9.25%,0)</f>
        <v>865021.84888442326</v>
      </c>
      <c r="AE182" s="392">
        <f>IF($D182="Sim",'17 - Custos'!AE12*9.25%,0)</f>
        <v>863602.2637633197</v>
      </c>
      <c r="AF182" s="392">
        <f>IF($D182="Sim",'17 - Custos'!AF12*9.25%,0)</f>
        <v>860635.20296966156</v>
      </c>
      <c r="AG182" s="392">
        <f>IF($D182="Sim",'17 - Custos'!AG12*9.25%,0)</f>
        <v>857668.14217600354</v>
      </c>
      <c r="AH182" s="392">
        <f>IF($D182="Sim",'17 - Custos'!AH12*9.25%,0)</f>
        <v>854701.08138234529</v>
      </c>
      <c r="AI182" s="392">
        <f>IF($D182="Sim",'17 - Custos'!AI12*9.25%,0)</f>
        <v>851738.28360706882</v>
      </c>
      <c r="AJ182" s="392">
        <f>IF($D182="Sim",'17 - Custos'!AJ12*9.25%,0)</f>
        <v>848771.22281341057</v>
      </c>
      <c r="AK182" s="392">
        <f>IF($D182="Sim",'17 - Custos'!AK12*9.25%,0)</f>
        <v>843907.11883989919</v>
      </c>
      <c r="AL182" s="392">
        <f>IF($D182="Sim",'17 - Custos'!AL12*9.25%,0)</f>
        <v>839047.27788476949</v>
      </c>
      <c r="AM182" s="392">
        <f>IF($D182="Sim",'17 - Custos'!AM12*9.25%,0)</f>
        <v>834183.17391125788</v>
      </c>
      <c r="AN182" s="392">
        <f>IF($D182="Sim",'17 - Custos'!AN12*9.25%,0)</f>
        <v>829327.59597450995</v>
      </c>
    </row>
    <row r="183" spans="2:40" ht="13.15" customHeight="1" x14ac:dyDescent="0.2">
      <c r="B183" s="408"/>
      <c r="D183" s="300"/>
      <c r="E183" s="406"/>
      <c r="F183" s="406"/>
      <c r="G183" s="406"/>
      <c r="H183" s="406"/>
      <c r="I183" s="406"/>
      <c r="J183" s="406"/>
      <c r="K183" s="406"/>
      <c r="L183" s="406"/>
      <c r="M183" s="406"/>
      <c r="N183" s="406"/>
      <c r="O183" s="406"/>
      <c r="P183" s="406"/>
      <c r="Q183" s="406"/>
      <c r="R183" s="406"/>
      <c r="S183" s="406"/>
      <c r="T183" s="406"/>
      <c r="U183" s="406"/>
      <c r="V183" s="406"/>
      <c r="W183" s="406"/>
      <c r="X183" s="406"/>
      <c r="Y183" s="406"/>
      <c r="Z183" s="406"/>
      <c r="AA183" s="406"/>
      <c r="AB183" s="406"/>
      <c r="AC183" s="406"/>
      <c r="AD183" s="406"/>
      <c r="AE183" s="406"/>
      <c r="AF183" s="406"/>
      <c r="AG183" s="406"/>
      <c r="AH183" s="406"/>
      <c r="AI183" s="406"/>
      <c r="AJ183" s="406"/>
      <c r="AK183" s="406"/>
      <c r="AL183" s="406"/>
      <c r="AM183" s="406"/>
      <c r="AN183" s="406"/>
    </row>
    <row r="185" spans="2:40" s="8" customFormat="1" ht="13.15" customHeight="1" x14ac:dyDescent="0.2">
      <c r="B185" s="388" t="s">
        <v>1394</v>
      </c>
      <c r="C185" s="420"/>
      <c r="D185" s="388"/>
      <c r="E185" s="389">
        <f t="shared" ref="E185:AN185" si="34">E69+E70+E71+E105+E127+E140+E151+E180+E181+E182</f>
        <v>63194448.171413735</v>
      </c>
      <c r="F185" s="389">
        <f t="shared" si="34"/>
        <v>1751609.8451723587</v>
      </c>
      <c r="G185" s="389">
        <f t="shared" si="34"/>
        <v>1749137.4985992773</v>
      </c>
      <c r="H185" s="389">
        <f t="shared" si="34"/>
        <v>1752287.103168759</v>
      </c>
      <c r="I185" s="389">
        <f t="shared" si="34"/>
        <v>1742846.451801301</v>
      </c>
      <c r="J185" s="389">
        <f t="shared" si="34"/>
        <v>1749443.7509641454</v>
      </c>
      <c r="K185" s="389">
        <f t="shared" si="34"/>
        <v>1790500.5368798496</v>
      </c>
      <c r="L185" s="389">
        <f t="shared" si="34"/>
        <v>1794342.7164982613</v>
      </c>
      <c r="M185" s="389">
        <f t="shared" si="34"/>
        <v>1820910.5487990323</v>
      </c>
      <c r="N185" s="389">
        <f t="shared" si="34"/>
        <v>1824475.1037760389</v>
      </c>
      <c r="O185" s="389">
        <f t="shared" si="34"/>
        <v>1819991.8303148551</v>
      </c>
      <c r="P185" s="389">
        <f t="shared" si="34"/>
        <v>1815415.1611060754</v>
      </c>
      <c r="Q185" s="389">
        <f t="shared" si="34"/>
        <v>1808580.8111476963</v>
      </c>
      <c r="R185" s="389">
        <f t="shared" si="34"/>
        <v>1812271.8762660041</v>
      </c>
      <c r="S185" s="389">
        <f t="shared" si="34"/>
        <v>1815962.9413843113</v>
      </c>
      <c r="T185" s="389">
        <f t="shared" si="34"/>
        <v>1819654.0065026188</v>
      </c>
      <c r="U185" s="389">
        <f t="shared" si="34"/>
        <v>1823345.0716209263</v>
      </c>
      <c r="V185" s="389">
        <f t="shared" si="34"/>
        <v>1824490.8407830703</v>
      </c>
      <c r="W185" s="389">
        <f t="shared" si="34"/>
        <v>1825640.8729635971</v>
      </c>
      <c r="X185" s="389">
        <f t="shared" si="34"/>
        <v>1826789.4568138025</v>
      </c>
      <c r="Y185" s="389">
        <f t="shared" si="34"/>
        <v>1827935.2259759465</v>
      </c>
      <c r="Z185" s="389">
        <f t="shared" si="34"/>
        <v>1829085.2581564728</v>
      </c>
      <c r="AA185" s="389">
        <f t="shared" si="34"/>
        <v>1828020.3237310662</v>
      </c>
      <c r="AB185" s="389">
        <f t="shared" si="34"/>
        <v>1826955.3893056596</v>
      </c>
      <c r="AC185" s="389">
        <f t="shared" si="34"/>
        <v>1825890.4548802529</v>
      </c>
      <c r="AD185" s="389">
        <f t="shared" si="34"/>
        <v>1824821.2574364641</v>
      </c>
      <c r="AE185" s="389">
        <f t="shared" si="34"/>
        <v>1823753.5083229966</v>
      </c>
      <c r="AF185" s="389">
        <f t="shared" si="34"/>
        <v>1820317.8805310847</v>
      </c>
      <c r="AG185" s="389">
        <f t="shared" si="34"/>
        <v>1817108.7565641734</v>
      </c>
      <c r="AH185" s="389">
        <f t="shared" si="34"/>
        <v>1813899.6325972616</v>
      </c>
      <c r="AI185" s="389">
        <f t="shared" si="34"/>
        <v>1810691.9569606707</v>
      </c>
      <c r="AJ185" s="389">
        <f t="shared" si="34"/>
        <v>1807356.1995687587</v>
      </c>
      <c r="AK185" s="389">
        <f t="shared" si="34"/>
        <v>1801571.6925992719</v>
      </c>
      <c r="AL185" s="389">
        <f t="shared" si="34"/>
        <v>1795564.9448231666</v>
      </c>
      <c r="AM185" s="389">
        <f t="shared" si="34"/>
        <v>1789777.6231656184</v>
      </c>
      <c r="AN185" s="389">
        <f t="shared" si="34"/>
        <v>1784001.6422328949</v>
      </c>
    </row>
    <row r="187" spans="2:40" s="8" customFormat="1" ht="13.15" customHeight="1" x14ac:dyDescent="0.2">
      <c r="B187" s="388" t="s">
        <v>1395</v>
      </c>
      <c r="C187" s="420"/>
      <c r="D187" s="388"/>
      <c r="E187" s="389">
        <f>(E64+E185)/1000</f>
        <v>75820.736922377066</v>
      </c>
      <c r="F187" s="389">
        <f t="shared" ref="F187:AN187" si="35">-(F64+F185)/1000</f>
        <v>-3914.0170397640254</v>
      </c>
      <c r="G187" s="389">
        <f t="shared" si="35"/>
        <v>-1749.1374985992773</v>
      </c>
      <c r="H187" s="389">
        <f t="shared" si="35"/>
        <v>-1787.850134168759</v>
      </c>
      <c r="I187" s="389">
        <f t="shared" si="35"/>
        <v>-1742.8464518013009</v>
      </c>
      <c r="J187" s="389">
        <f t="shared" si="35"/>
        <v>-1846.8358539641456</v>
      </c>
      <c r="K187" s="389">
        <f t="shared" si="35"/>
        <v>-1939.1441996715162</v>
      </c>
      <c r="L187" s="389">
        <f t="shared" si="35"/>
        <v>-1794.3427164982613</v>
      </c>
      <c r="M187" s="389">
        <f t="shared" si="35"/>
        <v>-3869.8053317740323</v>
      </c>
      <c r="N187" s="389">
        <f t="shared" si="35"/>
        <v>-1891.3846087760389</v>
      </c>
      <c r="O187" s="389">
        <f t="shared" si="35"/>
        <v>-1852.0579358148552</v>
      </c>
      <c r="P187" s="389">
        <f t="shared" si="35"/>
        <v>-1956.6526922577418</v>
      </c>
      <c r="Q187" s="389">
        <f t="shared" si="35"/>
        <v>-1808.5808111476963</v>
      </c>
      <c r="R187" s="389">
        <f t="shared" si="35"/>
        <v>-1991.5656622660042</v>
      </c>
      <c r="S187" s="389">
        <f t="shared" si="35"/>
        <v>-1817.5464488843113</v>
      </c>
      <c r="T187" s="389">
        <f t="shared" si="35"/>
        <v>-3829.7637614776186</v>
      </c>
      <c r="U187" s="389">
        <f t="shared" si="35"/>
        <v>-1893.583976912593</v>
      </c>
      <c r="V187" s="389">
        <f t="shared" si="35"/>
        <v>-1891.4003457830702</v>
      </c>
      <c r="W187" s="389">
        <f t="shared" si="35"/>
        <v>-1862.787411463597</v>
      </c>
      <c r="X187" s="389">
        <f t="shared" si="35"/>
        <v>-1826.7894568138024</v>
      </c>
      <c r="Y187" s="389">
        <f t="shared" si="35"/>
        <v>-1935.2390739759464</v>
      </c>
      <c r="Z187" s="389">
        <f t="shared" si="35"/>
        <v>-2037.2322943081394</v>
      </c>
      <c r="AA187" s="389">
        <f t="shared" si="35"/>
        <v>-3809.2309882060663</v>
      </c>
      <c r="AB187" s="389">
        <f t="shared" si="35"/>
        <v>-1862.5184203056594</v>
      </c>
      <c r="AC187" s="389">
        <f t="shared" si="35"/>
        <v>-1825.8904548802529</v>
      </c>
      <c r="AD187" s="389">
        <f t="shared" si="35"/>
        <v>-1922.2133604364642</v>
      </c>
      <c r="AE187" s="389">
        <f t="shared" si="35"/>
        <v>-1895.5759211146631</v>
      </c>
      <c r="AF187" s="389">
        <f t="shared" si="35"/>
        <v>-1897.1391305310847</v>
      </c>
      <c r="AG187" s="389">
        <f t="shared" si="35"/>
        <v>-1852.6717875641734</v>
      </c>
      <c r="AH187" s="389">
        <f t="shared" si="35"/>
        <v>-3860.436294572261</v>
      </c>
      <c r="AI187" s="389">
        <f t="shared" si="35"/>
        <v>-1842.7580624606708</v>
      </c>
      <c r="AJ187" s="389">
        <f t="shared" si="35"/>
        <v>-1948.5937307204256</v>
      </c>
      <c r="AK187" s="389">
        <f t="shared" si="35"/>
        <v>-1801.571692599272</v>
      </c>
      <c r="AL187" s="389">
        <f t="shared" si="35"/>
        <v>-1898.0374808231666</v>
      </c>
      <c r="AM187" s="389">
        <f t="shared" si="35"/>
        <v>-1868.1823806656184</v>
      </c>
      <c r="AN187" s="389">
        <f t="shared" si="35"/>
        <v>-1814.484240232895</v>
      </c>
    </row>
    <row r="189" spans="2:40" s="8" customFormat="1" ht="13.15" customHeight="1" x14ac:dyDescent="0.2">
      <c r="B189" s="388" t="s">
        <v>1396</v>
      </c>
      <c r="C189" s="420"/>
      <c r="D189" s="388"/>
      <c r="E189" s="389">
        <f>SUM(F189:AN189)</f>
        <v>32256.387586572102</v>
      </c>
      <c r="F189" s="389">
        <f>('30 - Dem. Resultados'!C3*'01 - Dados de Entrada'!$C$21)</f>
        <v>833.1706200177872</v>
      </c>
      <c r="G189" s="389">
        <f>('30 - Dem. Resultados'!D3*'01 - Dados de Entrada'!$C$21)</f>
        <v>842.09241360360613</v>
      </c>
      <c r="H189" s="389">
        <f>('30 - Dem. Resultados'!E3*'01 - Dados de Entrada'!$C$21)</f>
        <v>851.01420718942506</v>
      </c>
      <c r="I189" s="389">
        <f>('30 - Dem. Resultados'!F3*'01 - Dados de Entrada'!$C$21)</f>
        <v>859.92802776935832</v>
      </c>
      <c r="J189" s="389">
        <f>('30 - Dem. Resultados'!G3*'01 - Dados de Entrada'!$C$21)</f>
        <v>868.84982135517737</v>
      </c>
      <c r="K189" s="389">
        <f>('30 - Dem. Resultados'!H3*'01 - Dados de Entrada'!$C$21)</f>
        <v>877.77161494099596</v>
      </c>
      <c r="L189" s="389">
        <f>('30 - Dem. Resultados'!I3*'01 - Dados de Entrada'!$C$21)</f>
        <v>884.42110184946137</v>
      </c>
      <c r="M189" s="389">
        <f>('30 - Dem. Resultados'!J3*'01 - Dados de Entrada'!$C$21)</f>
        <v>891.07058875792688</v>
      </c>
      <c r="N189" s="389">
        <f>('30 - Dem. Resultados'!K3*'01 - Dados de Entrada'!$C$21)</f>
        <v>897.72007566639218</v>
      </c>
      <c r="O189" s="389">
        <f>('30 - Dem. Resultados'!L3*'01 - Dados de Entrada'!$C$21)</f>
        <v>904.36956257485781</v>
      </c>
      <c r="P189" s="389">
        <f>('30 - Dem. Resultados'!M3*'01 - Dados de Entrada'!$C$21)</f>
        <v>911.01904948332299</v>
      </c>
      <c r="Q189" s="389">
        <f>('30 - Dem. Resultados'!N3*'01 - Dados de Entrada'!$C$21)</f>
        <v>915.78690700282255</v>
      </c>
      <c r="R189" s="389">
        <f>('30 - Dem. Resultados'!O3*'01 - Dados de Entrada'!$C$21)</f>
        <v>920.55476452232188</v>
      </c>
      <c r="S189" s="389">
        <f>('30 - Dem. Resultados'!P3*'01 - Dados de Entrada'!$C$21)</f>
        <v>925.32262204182109</v>
      </c>
      <c r="T189" s="389">
        <f>('30 - Dem. Resultados'!Q3*'01 - Dados de Entrada'!$C$21)</f>
        <v>930.09047956132054</v>
      </c>
      <c r="U189" s="389">
        <f>('30 - Dem. Resultados'!R3*'01 - Dados de Entrada'!$C$21)</f>
        <v>934.85833708081964</v>
      </c>
      <c r="V189" s="389">
        <f>('30 - Dem. Resultados'!S3*'01 - Dados de Entrada'!$C$21)</f>
        <v>937.63294312895641</v>
      </c>
      <c r="W189" s="389">
        <f>('30 - Dem. Resultados'!T3*'01 - Dados de Entrada'!$C$21)</f>
        <v>940.40754917709296</v>
      </c>
      <c r="X189" s="389">
        <f>('30 - Dem. Resultados'!U3*'01 - Dados de Entrada'!$C$21)</f>
        <v>943.1901282311153</v>
      </c>
      <c r="Y189" s="389">
        <f>('30 - Dem. Resultados'!V3*'01 - Dados de Entrada'!$C$21)</f>
        <v>945.96473427925184</v>
      </c>
      <c r="Z189" s="389">
        <f>('30 - Dem. Resultados'!W3*'01 - Dados de Entrada'!$C$21)</f>
        <v>948.73934032738873</v>
      </c>
      <c r="AA189" s="389">
        <f>('30 - Dem. Resultados'!X3*'01 - Dados de Entrada'!$C$21)</f>
        <v>949.74393906895523</v>
      </c>
      <c r="AB189" s="389">
        <f>('30 - Dem. Resultados'!Y3*'01 - Dados de Entrada'!$C$21)</f>
        <v>950.74853781052195</v>
      </c>
      <c r="AC189" s="389">
        <f>('30 - Dem. Resultados'!Z3*'01 - Dados de Entrada'!$C$21)</f>
        <v>951.75313655208868</v>
      </c>
      <c r="AD189" s="389">
        <f>('30 - Dem. Resultados'!AA3*'01 - Dados de Entrada'!$C$21)</f>
        <v>952.75773529365563</v>
      </c>
      <c r="AE189" s="389">
        <f>('30 - Dem. Resultados'!AB3*'01 - Dados de Entrada'!$C$21)</f>
        <v>953.75436102933679</v>
      </c>
      <c r="AF189" s="389">
        <f>('30 - Dem. Resultados'!AC3*'01 - Dados de Entrada'!$C$21)</f>
        <v>953.06868252318827</v>
      </c>
      <c r="AG189" s="389">
        <f>('30 - Dem. Resultados'!AD3*'01 - Dados de Entrada'!$C$21)</f>
        <v>952.38300401703964</v>
      </c>
      <c r="AH189" s="389">
        <f>('30 - Dem. Resultados'!AE3*'01 - Dados de Entrada'!$C$21)</f>
        <v>951.69732551089078</v>
      </c>
      <c r="AI189" s="389">
        <f>('30 - Dem. Resultados'!AF3*'01 - Dados de Entrada'!$C$21)</f>
        <v>951.00367399885636</v>
      </c>
      <c r="AJ189" s="389">
        <f>('30 - Dem. Resultados'!AG3*'01 - Dados de Entrada'!$C$21)</f>
        <v>950.31799549270761</v>
      </c>
      <c r="AK189" s="389">
        <f>('30 - Dem. Resultados'!AH3*'01 - Dados de Entrada'!$C$21)</f>
        <v>947.71082256816555</v>
      </c>
      <c r="AL189" s="389">
        <f>('30 - Dem. Resultados'!AI3*'01 - Dados de Entrada'!$C$21)</f>
        <v>945.10364964362304</v>
      </c>
      <c r="AM189" s="389">
        <f>('30 - Dem. Resultados'!AJ3*'01 - Dados de Entrada'!$C$21)</f>
        <v>942.48850371319566</v>
      </c>
      <c r="AN189" s="389">
        <f>('30 - Dem. Resultados'!AK3*'01 - Dados de Entrada'!$C$21)</f>
        <v>939.88133078865337</v>
      </c>
    </row>
    <row r="190" spans="2:40" s="8" customFormat="1" ht="13.15" customHeight="1" x14ac:dyDescent="0.2">
      <c r="B190" s="388" t="s">
        <v>1397</v>
      </c>
      <c r="C190" s="420"/>
      <c r="D190" s="388"/>
      <c r="E190" s="389">
        <f>SUM(F190:AN190)</f>
        <v>148574.87615633212</v>
      </c>
      <c r="F190" s="389">
        <f>('30 - Dem. Resultados'!C3*'01 - Dados de Entrada'!$C$22)</f>
        <v>3837.6343709910198</v>
      </c>
      <c r="G190" s="389">
        <f>('30 - Dem. Resultados'!D3*'01 - Dados de Entrada'!$C$22)</f>
        <v>3878.7286929620645</v>
      </c>
      <c r="H190" s="389">
        <f>('30 - Dem. Resultados'!E3*'01 - Dados de Entrada'!$C$22)</f>
        <v>3919.8230149331089</v>
      </c>
      <c r="I190" s="389">
        <f>('30 - Dem. Resultados'!F3*'01 - Dados de Entrada'!$C$22)</f>
        <v>3960.8806127558319</v>
      </c>
      <c r="J190" s="389">
        <f>('30 - Dem. Resultados'!G3*'01 - Dados de Entrada'!$C$22)</f>
        <v>4001.9749347268771</v>
      </c>
      <c r="K190" s="389">
        <f>('30 - Dem. Resultados'!H3*'01 - Dados de Entrada'!$C$22)</f>
        <v>4043.0692566979205</v>
      </c>
      <c r="L190" s="389">
        <f>('30 - Dem. Resultados'!I3*'01 - Dados de Entrada'!$C$22)</f>
        <v>4073.6971963975184</v>
      </c>
      <c r="M190" s="389">
        <f>('30 - Dem. Resultados'!J3*'01 - Dados de Entrada'!$C$22)</f>
        <v>4104.325136097118</v>
      </c>
      <c r="N190" s="389">
        <f>('30 - Dem. Resultados'!K3*'01 - Dados de Entrada'!$C$22)</f>
        <v>4134.953075796715</v>
      </c>
      <c r="O190" s="389">
        <f>('30 - Dem. Resultados'!L3*'01 - Dados de Entrada'!$C$22)</f>
        <v>4165.5810154963146</v>
      </c>
      <c r="P190" s="389">
        <f>('30 - Dem. Resultados'!M3*'01 - Dados de Entrada'!$C$22)</f>
        <v>4196.2089551959116</v>
      </c>
      <c r="Q190" s="389">
        <f>('30 - Dem. Resultados'!N3*'01 - Dados de Entrada'!$C$22)</f>
        <v>4218.1699958917889</v>
      </c>
      <c r="R190" s="389">
        <f>('30 - Dem. Resultados'!O3*'01 - Dados de Entrada'!$C$22)</f>
        <v>4240.1310365876643</v>
      </c>
      <c r="S190" s="389">
        <f>('30 - Dem. Resultados'!P3*'01 - Dados de Entrada'!$C$22)</f>
        <v>4262.0920772835398</v>
      </c>
      <c r="T190" s="389">
        <f>('30 - Dem. Resultados'!Q3*'01 - Dados de Entrada'!$C$22)</f>
        <v>4284.0531179794152</v>
      </c>
      <c r="U190" s="389">
        <f>('30 - Dem. Resultados'!R3*'01 - Dados de Entrada'!$C$22)</f>
        <v>4306.0141586752907</v>
      </c>
      <c r="V190" s="389">
        <f>('30 - Dem. Resultados'!S3*'01 - Dados de Entrada'!$C$22)</f>
        <v>4318.7941622909502</v>
      </c>
      <c r="W190" s="389">
        <f>('30 - Dem. Resultados'!T3*'01 - Dados de Entrada'!$C$22)</f>
        <v>4331.5741659066098</v>
      </c>
      <c r="X190" s="389">
        <f>('30 - Dem. Resultados'!U3*'01 - Dados de Entrada'!$C$22)</f>
        <v>4344.3908936705911</v>
      </c>
      <c r="Y190" s="389">
        <f>('30 - Dem. Resultados'!V3*'01 - Dados de Entrada'!$C$22)</f>
        <v>4357.1708972862507</v>
      </c>
      <c r="Z190" s="389">
        <f>('30 - Dem. Resultados'!W3*'01 - Dados de Entrada'!$C$22)</f>
        <v>4369.9509009019112</v>
      </c>
      <c r="AA190" s="389">
        <f>('30 - Dem. Resultados'!X3*'01 - Dados de Entrada'!$C$22)</f>
        <v>4374.5781435903391</v>
      </c>
      <c r="AB190" s="389">
        <f>('30 - Dem. Resultados'!Y3*'01 - Dados de Entrada'!$C$22)</f>
        <v>4379.205386278767</v>
      </c>
      <c r="AC190" s="389">
        <f>('30 - Dem. Resultados'!Z3*'01 - Dados de Entrada'!$C$22)</f>
        <v>4383.8326289671959</v>
      </c>
      <c r="AD190" s="389">
        <f>('30 - Dem. Resultados'!AA3*'01 - Dados de Entrada'!$C$22)</f>
        <v>4388.4598716556256</v>
      </c>
      <c r="AE190" s="389">
        <f>('30 - Dem. Resultados'!AB3*'01 - Dados de Entrada'!$C$22)</f>
        <v>4393.0503901957327</v>
      </c>
      <c r="AF190" s="389">
        <f>('30 - Dem. Resultados'!AC3*'01 - Dados de Entrada'!$C$22)</f>
        <v>4389.8921134401398</v>
      </c>
      <c r="AG190" s="389">
        <f>('30 - Dem. Resultados'!AD3*'01 - Dados de Entrada'!$C$22)</f>
        <v>4386.7338366845461</v>
      </c>
      <c r="AH190" s="389">
        <f>('30 - Dem. Resultados'!AE3*'01 - Dados de Entrada'!$C$22)</f>
        <v>4383.5755599289514</v>
      </c>
      <c r="AI190" s="389">
        <f>('30 - Dem. Resultados'!AF3*'01 - Dados de Entrada'!$C$22)</f>
        <v>4380.3805590250349</v>
      </c>
      <c r="AJ190" s="389">
        <f>('30 - Dem. Resultados'!AG3*'01 - Dados de Entrada'!$C$22)</f>
        <v>4377.2222822694412</v>
      </c>
      <c r="AK190" s="389">
        <f>('30 - Dem. Resultados'!AH3*'01 - Dados de Entrada'!$C$22)</f>
        <v>4365.2134857685196</v>
      </c>
      <c r="AL190" s="389">
        <f>('30 - Dem. Resultados'!AI3*'01 - Dados de Entrada'!$C$22)</f>
        <v>4353.2046892675971</v>
      </c>
      <c r="AM190" s="389">
        <f>('30 - Dem. Resultados'!AJ3*'01 - Dados de Entrada'!$C$22)</f>
        <v>4341.1591686183556</v>
      </c>
      <c r="AN190" s="389">
        <f>('30 - Dem. Resultados'!AK3*'01 - Dados de Entrada'!$C$22)</f>
        <v>4329.1503721174331</v>
      </c>
    </row>
    <row r="192" spans="2:40" s="8" customFormat="1" ht="13.15" customHeight="1" x14ac:dyDescent="0.2">
      <c r="B192" s="388" t="s">
        <v>1398</v>
      </c>
      <c r="C192" s="420"/>
      <c r="D192" s="388"/>
      <c r="E192" s="389">
        <f>SUM(F192:AN192)</f>
        <v>105493.39609166879</v>
      </c>
      <c r="F192" s="389">
        <f t="shared" ref="F192:AM192" si="36">SUM(F187:F190)</f>
        <v>756.78795124478165</v>
      </c>
      <c r="G192" s="389">
        <f t="shared" si="36"/>
        <v>2971.6836079663935</v>
      </c>
      <c r="H192" s="389">
        <f t="shared" si="36"/>
        <v>2982.9870879537748</v>
      </c>
      <c r="I192" s="389">
        <f t="shared" si="36"/>
        <v>3077.9621887238891</v>
      </c>
      <c r="J192" s="389">
        <f t="shared" si="36"/>
        <v>3023.9889021179088</v>
      </c>
      <c r="K192" s="389">
        <f t="shared" si="36"/>
        <v>2981.6966719674001</v>
      </c>
      <c r="L192" s="389">
        <f t="shared" si="36"/>
        <v>3163.7755817487187</v>
      </c>
      <c r="M192" s="389">
        <f t="shared" si="36"/>
        <v>1125.5903930810127</v>
      </c>
      <c r="N192" s="389">
        <f t="shared" si="36"/>
        <v>3141.288542687068</v>
      </c>
      <c r="O192" s="389">
        <f t="shared" si="36"/>
        <v>3217.8926422563172</v>
      </c>
      <c r="P192" s="389">
        <f t="shared" si="36"/>
        <v>3150.5753124214925</v>
      </c>
      <c r="Q192" s="389">
        <f t="shared" si="36"/>
        <v>3325.3760917469153</v>
      </c>
      <c r="R192" s="389">
        <f t="shared" si="36"/>
        <v>3169.1201388439822</v>
      </c>
      <c r="S192" s="389">
        <f t="shared" si="36"/>
        <v>3369.8682504410494</v>
      </c>
      <c r="T192" s="389">
        <f t="shared" si="36"/>
        <v>1384.3798360631172</v>
      </c>
      <c r="U192" s="389">
        <f t="shared" si="36"/>
        <v>3347.2885188435175</v>
      </c>
      <c r="V192" s="389">
        <f t="shared" si="36"/>
        <v>3365.0267596368367</v>
      </c>
      <c r="W192" s="389">
        <f t="shared" si="36"/>
        <v>3409.1943036201055</v>
      </c>
      <c r="X192" s="389">
        <f t="shared" si="36"/>
        <v>3460.791565087904</v>
      </c>
      <c r="Y192" s="389">
        <f t="shared" si="36"/>
        <v>3367.8965575895563</v>
      </c>
      <c r="Z192" s="389">
        <f t="shared" si="36"/>
        <v>3281.4579469211603</v>
      </c>
      <c r="AA192" s="389">
        <f t="shared" si="36"/>
        <v>1515.0910944532279</v>
      </c>
      <c r="AB192" s="389">
        <f t="shared" si="36"/>
        <v>3467.4355037836294</v>
      </c>
      <c r="AC192" s="389">
        <f t="shared" si="36"/>
        <v>3509.6953106390315</v>
      </c>
      <c r="AD192" s="389">
        <f t="shared" si="36"/>
        <v>3419.0042465128172</v>
      </c>
      <c r="AE192" s="389">
        <f t="shared" si="36"/>
        <v>3451.2288301104063</v>
      </c>
      <c r="AF192" s="389">
        <f t="shared" si="36"/>
        <v>3445.8216654322432</v>
      </c>
      <c r="AG192" s="389">
        <f t="shared" si="36"/>
        <v>3486.4450531374123</v>
      </c>
      <c r="AH192" s="389">
        <f t="shared" si="36"/>
        <v>1474.8365908675814</v>
      </c>
      <c r="AI192" s="389">
        <f t="shared" si="36"/>
        <v>3488.6261705632205</v>
      </c>
      <c r="AJ192" s="389">
        <f t="shared" si="36"/>
        <v>3378.9465470417231</v>
      </c>
      <c r="AK192" s="389">
        <f t="shared" si="36"/>
        <v>3511.3526157374131</v>
      </c>
      <c r="AL192" s="389">
        <f t="shared" si="36"/>
        <v>3400.2708580880535</v>
      </c>
      <c r="AM192" s="389">
        <f t="shared" si="36"/>
        <v>3415.4652916659329</v>
      </c>
      <c r="AN192" s="389">
        <f>SUM(AN187:AN190)</f>
        <v>3454.5474626731916</v>
      </c>
    </row>
    <row r="194" spans="2:40" ht="13.15" customHeight="1" x14ac:dyDescent="0.2">
      <c r="B194" s="409" t="s">
        <v>1399</v>
      </c>
      <c r="C194" s="420"/>
      <c r="D194" s="409"/>
      <c r="E194" s="410">
        <f>SUM(F194:AI194)</f>
        <v>11982.485715175</v>
      </c>
      <c r="F194" s="410">
        <f>F65/1000</f>
        <v>2100.3600165333337</v>
      </c>
      <c r="G194" s="410">
        <f t="shared" ref="G194:AN194" si="37">G65/1000</f>
        <v>18.895711608333336</v>
      </c>
      <c r="H194" s="410">
        <f t="shared" si="37"/>
        <v>54.458742608333331</v>
      </c>
      <c r="I194" s="410">
        <f t="shared" si="37"/>
        <v>2.7102499999999998E-2</v>
      </c>
      <c r="J194" s="410">
        <f t="shared" si="37"/>
        <v>106.82959710833335</v>
      </c>
      <c r="K194" s="410">
        <f t="shared" si="37"/>
        <v>168.56784705833331</v>
      </c>
      <c r="L194" s="410">
        <f t="shared" si="37"/>
        <v>18.922814108333334</v>
      </c>
      <c r="M194" s="410">
        <f t="shared" si="37"/>
        <v>2067.8175970833336</v>
      </c>
      <c r="N194" s="410">
        <f t="shared" si="37"/>
        <v>68.210425000000001</v>
      </c>
      <c r="O194" s="410">
        <f t="shared" si="37"/>
        <v>40.202679608333334</v>
      </c>
      <c r="P194" s="410">
        <f t="shared" si="37"/>
        <v>95.666192058333309</v>
      </c>
      <c r="Q194" s="410">
        <f t="shared" si="37"/>
        <v>18.949916608333336</v>
      </c>
      <c r="R194" s="410">
        <f t="shared" si="37"/>
        <v>199.49041760833344</v>
      </c>
      <c r="S194" s="410">
        <f t="shared" si="37"/>
        <v>1.5835074999999998</v>
      </c>
      <c r="T194" s="410">
        <f t="shared" si="37"/>
        <v>2018.2734315833336</v>
      </c>
      <c r="U194" s="410">
        <f t="shared" si="37"/>
        <v>90.217294558333322</v>
      </c>
      <c r="V194" s="410">
        <f t="shared" si="37"/>
        <v>87.106136608333372</v>
      </c>
      <c r="W194" s="410">
        <f t="shared" si="37"/>
        <v>56.042250108333342</v>
      </c>
      <c r="X194" s="410">
        <f t="shared" si="37"/>
        <v>2.7102499999999998E-2</v>
      </c>
      <c r="Y194" s="410">
        <f t="shared" si="37"/>
        <v>115.49462710833335</v>
      </c>
      <c r="Z194" s="410">
        <f t="shared" si="37"/>
        <v>163.84951455833334</v>
      </c>
      <c r="AA194" s="410">
        <f t="shared" si="37"/>
        <v>2000.1063760833335</v>
      </c>
      <c r="AB194" s="410">
        <f t="shared" si="37"/>
        <v>54.485845108333336</v>
      </c>
      <c r="AC194" s="410">
        <f t="shared" si="37"/>
        <v>5.4204999999999996E-2</v>
      </c>
      <c r="AD194" s="410">
        <f t="shared" si="37"/>
        <v>106.82959710833335</v>
      </c>
      <c r="AE194" s="410">
        <f t="shared" si="37"/>
        <v>91.746597058333307</v>
      </c>
      <c r="AF194" s="410">
        <f t="shared" si="37"/>
        <v>95.716961608333335</v>
      </c>
      <c r="AG194" s="410">
        <f t="shared" si="37"/>
        <v>54.512947608333334</v>
      </c>
      <c r="AH194" s="410">
        <f t="shared" si="37"/>
        <v>2047.8375819749999</v>
      </c>
      <c r="AI194" s="410">
        <f t="shared" si="37"/>
        <v>40.202679608333334</v>
      </c>
      <c r="AJ194" s="410">
        <f t="shared" si="37"/>
        <v>95.639089558333325</v>
      </c>
      <c r="AK194" s="410">
        <f t="shared" si="37"/>
        <v>18.949916608333336</v>
      </c>
      <c r="AL194" s="410">
        <f t="shared" si="37"/>
        <v>122.64206510833337</v>
      </c>
      <c r="AM194" s="410">
        <f t="shared" si="37"/>
        <v>78.404757500000002</v>
      </c>
      <c r="AN194" s="410">
        <f t="shared" si="37"/>
        <v>38.619172108333331</v>
      </c>
    </row>
    <row r="195" spans="2:40" ht="13.15" customHeight="1" x14ac:dyDescent="0.2">
      <c r="B195" s="409" t="s">
        <v>1400</v>
      </c>
      <c r="C195" s="420"/>
      <c r="D195" s="409"/>
      <c r="E195" s="410">
        <f>SUM(F195:AI195)</f>
        <v>230.745534045</v>
      </c>
      <c r="F195" s="410">
        <f>F66/1000</f>
        <v>88.748282325000005</v>
      </c>
      <c r="G195" s="410">
        <f t="shared" ref="G195:AN195" si="38">G66/1000</f>
        <v>0</v>
      </c>
      <c r="H195" s="410">
        <f t="shared" si="38"/>
        <v>0</v>
      </c>
      <c r="I195" s="410">
        <f t="shared" si="38"/>
        <v>0</v>
      </c>
      <c r="J195" s="410">
        <f t="shared" si="38"/>
        <v>0</v>
      </c>
      <c r="K195" s="410">
        <f t="shared" si="38"/>
        <v>0</v>
      </c>
      <c r="L195" s="410">
        <f t="shared" si="38"/>
        <v>0</v>
      </c>
      <c r="M195" s="410">
        <f t="shared" si="38"/>
        <v>0</v>
      </c>
      <c r="N195" s="410">
        <f t="shared" si="38"/>
        <v>0</v>
      </c>
      <c r="O195" s="410">
        <f t="shared" si="38"/>
        <v>0</v>
      </c>
      <c r="P195" s="410">
        <f t="shared" si="38"/>
        <v>70.998625860000004</v>
      </c>
      <c r="Q195" s="410">
        <f t="shared" si="38"/>
        <v>0</v>
      </c>
      <c r="R195" s="410">
        <f t="shared" si="38"/>
        <v>0</v>
      </c>
      <c r="S195" s="410">
        <f t="shared" si="38"/>
        <v>0</v>
      </c>
      <c r="T195" s="410">
        <f t="shared" si="38"/>
        <v>0</v>
      </c>
      <c r="U195" s="410">
        <f t="shared" si="38"/>
        <v>0</v>
      </c>
      <c r="V195" s="410">
        <f t="shared" si="38"/>
        <v>0</v>
      </c>
      <c r="W195" s="410">
        <f t="shared" si="38"/>
        <v>0</v>
      </c>
      <c r="X195" s="410">
        <f t="shared" si="38"/>
        <v>0</v>
      </c>
      <c r="Y195" s="410">
        <f t="shared" si="38"/>
        <v>0</v>
      </c>
      <c r="Z195" s="410">
        <f t="shared" si="38"/>
        <v>70.998625860000004</v>
      </c>
      <c r="AA195" s="410">
        <f t="shared" si="38"/>
        <v>0</v>
      </c>
      <c r="AB195" s="410">
        <f t="shared" si="38"/>
        <v>0</v>
      </c>
      <c r="AC195" s="410">
        <f t="shared" si="38"/>
        <v>0</v>
      </c>
      <c r="AD195" s="410">
        <f t="shared" si="38"/>
        <v>0</v>
      </c>
      <c r="AE195" s="410">
        <f t="shared" si="38"/>
        <v>0</v>
      </c>
      <c r="AF195" s="410">
        <f t="shared" si="38"/>
        <v>0</v>
      </c>
      <c r="AG195" s="410">
        <f t="shared" si="38"/>
        <v>0</v>
      </c>
      <c r="AH195" s="410">
        <f t="shared" si="38"/>
        <v>0</v>
      </c>
      <c r="AI195" s="410">
        <f t="shared" si="38"/>
        <v>0</v>
      </c>
      <c r="AJ195" s="410">
        <f t="shared" si="38"/>
        <v>70.998625860000004</v>
      </c>
      <c r="AK195" s="410">
        <f t="shared" si="38"/>
        <v>0</v>
      </c>
      <c r="AL195" s="410">
        <f t="shared" si="38"/>
        <v>0</v>
      </c>
      <c r="AM195" s="410">
        <f t="shared" si="38"/>
        <v>0</v>
      </c>
      <c r="AN195" s="410">
        <f t="shared" si="38"/>
        <v>0</v>
      </c>
    </row>
    <row r="196" spans="2:40" ht="13.15" customHeight="1" x14ac:dyDescent="0.2">
      <c r="B196" s="409" t="s">
        <v>1401</v>
      </c>
      <c r="C196" s="420"/>
      <c r="D196" s="409"/>
      <c r="E196" s="410">
        <f>SUM(F196:AI196)</f>
        <v>-66006.998126194027</v>
      </c>
      <c r="F196" s="410">
        <f>F187</f>
        <v>-3914.0170397640254</v>
      </c>
      <c r="G196" s="410">
        <f t="shared" ref="G196:AI196" si="39">G187</f>
        <v>-1749.1374985992773</v>
      </c>
      <c r="H196" s="410">
        <f t="shared" si="39"/>
        <v>-1787.850134168759</v>
      </c>
      <c r="I196" s="410">
        <f t="shared" si="39"/>
        <v>-1742.8464518013009</v>
      </c>
      <c r="J196" s="410">
        <f t="shared" si="39"/>
        <v>-1846.8358539641456</v>
      </c>
      <c r="K196" s="410">
        <f t="shared" si="39"/>
        <v>-1939.1441996715162</v>
      </c>
      <c r="L196" s="410">
        <f t="shared" si="39"/>
        <v>-1794.3427164982613</v>
      </c>
      <c r="M196" s="410">
        <f t="shared" si="39"/>
        <v>-3869.8053317740323</v>
      </c>
      <c r="N196" s="410">
        <f t="shared" si="39"/>
        <v>-1891.3846087760389</v>
      </c>
      <c r="O196" s="410">
        <f t="shared" si="39"/>
        <v>-1852.0579358148552</v>
      </c>
      <c r="P196" s="410">
        <f t="shared" si="39"/>
        <v>-1956.6526922577418</v>
      </c>
      <c r="Q196" s="410">
        <f t="shared" si="39"/>
        <v>-1808.5808111476963</v>
      </c>
      <c r="R196" s="410">
        <f t="shared" si="39"/>
        <v>-1991.5656622660042</v>
      </c>
      <c r="S196" s="410">
        <f t="shared" si="39"/>
        <v>-1817.5464488843113</v>
      </c>
      <c r="T196" s="410">
        <f t="shared" si="39"/>
        <v>-3829.7637614776186</v>
      </c>
      <c r="U196" s="410">
        <f t="shared" si="39"/>
        <v>-1893.583976912593</v>
      </c>
      <c r="V196" s="410">
        <f t="shared" si="39"/>
        <v>-1891.4003457830702</v>
      </c>
      <c r="W196" s="410">
        <f t="shared" si="39"/>
        <v>-1862.787411463597</v>
      </c>
      <c r="X196" s="410">
        <f t="shared" si="39"/>
        <v>-1826.7894568138024</v>
      </c>
      <c r="Y196" s="410">
        <f t="shared" si="39"/>
        <v>-1935.2390739759464</v>
      </c>
      <c r="Z196" s="410">
        <f t="shared" si="39"/>
        <v>-2037.2322943081394</v>
      </c>
      <c r="AA196" s="410">
        <f t="shared" si="39"/>
        <v>-3809.2309882060663</v>
      </c>
      <c r="AB196" s="410">
        <f t="shared" si="39"/>
        <v>-1862.5184203056594</v>
      </c>
      <c r="AC196" s="410">
        <f t="shared" si="39"/>
        <v>-1825.8904548802529</v>
      </c>
      <c r="AD196" s="410">
        <f t="shared" si="39"/>
        <v>-1922.2133604364642</v>
      </c>
      <c r="AE196" s="410">
        <f t="shared" si="39"/>
        <v>-1895.5759211146631</v>
      </c>
      <c r="AF196" s="410">
        <f t="shared" si="39"/>
        <v>-1897.1391305310847</v>
      </c>
      <c r="AG196" s="410">
        <f t="shared" si="39"/>
        <v>-1852.6717875641734</v>
      </c>
      <c r="AH196" s="410">
        <f t="shared" si="39"/>
        <v>-3860.436294572261</v>
      </c>
      <c r="AI196" s="410">
        <f t="shared" si="39"/>
        <v>-1842.7580624606708</v>
      </c>
      <c r="AJ196" s="410">
        <f t="shared" ref="AJ196:AN196" si="40">AJ187</f>
        <v>-1948.5937307204256</v>
      </c>
      <c r="AK196" s="410">
        <f t="shared" si="40"/>
        <v>-1801.571692599272</v>
      </c>
      <c r="AL196" s="410">
        <f t="shared" si="40"/>
        <v>-1898.0374808231666</v>
      </c>
      <c r="AM196" s="410">
        <f t="shared" si="40"/>
        <v>-1868.1823806656184</v>
      </c>
      <c r="AN196" s="410">
        <f t="shared" si="40"/>
        <v>-1814.484240232895</v>
      </c>
    </row>
    <row r="197" spans="2:40" ht="13.15" customHeight="1" x14ac:dyDescent="0.2">
      <c r="E197" s="411"/>
      <c r="F197" s="411"/>
      <c r="G197" s="411"/>
      <c r="H197" s="411"/>
      <c r="I197" s="411"/>
      <c r="J197" s="411"/>
      <c r="K197" s="411"/>
      <c r="L197" s="411"/>
      <c r="M197" s="411"/>
      <c r="N197" s="411"/>
      <c r="O197" s="411"/>
      <c r="P197" s="411"/>
      <c r="Q197" s="411"/>
      <c r="R197" s="411"/>
      <c r="S197" s="411"/>
      <c r="T197" s="411"/>
      <c r="U197" s="411"/>
      <c r="V197" s="411"/>
      <c r="W197" s="411"/>
      <c r="X197" s="411"/>
      <c r="Y197" s="411"/>
      <c r="Z197" s="411"/>
      <c r="AA197" s="411"/>
      <c r="AB197" s="411"/>
      <c r="AC197" s="411"/>
      <c r="AD197" s="411"/>
      <c r="AE197" s="411"/>
      <c r="AF197" s="411"/>
      <c r="AG197" s="411"/>
      <c r="AH197" s="411"/>
      <c r="AI197" s="411"/>
    </row>
    <row r="198" spans="2:40" s="8" customFormat="1" ht="13.15" customHeight="1" x14ac:dyDescent="0.2">
      <c r="B198" s="388" t="s">
        <v>1402</v>
      </c>
      <c r="C198" s="420"/>
      <c r="D198" s="388"/>
      <c r="E198" s="412">
        <f>SUM(F198:AI198)</f>
        <v>-53793.766876974012</v>
      </c>
      <c r="F198" s="412">
        <f t="shared" ref="F198:AN198" si="41">SUM(F194:F196)</f>
        <v>-1724.9087409056915</v>
      </c>
      <c r="G198" s="412">
        <f t="shared" si="41"/>
        <v>-1730.2417869909439</v>
      </c>
      <c r="H198" s="412">
        <f t="shared" si="41"/>
        <v>-1733.3913915604257</v>
      </c>
      <c r="I198" s="412">
        <f t="shared" si="41"/>
        <v>-1742.8193493013009</v>
      </c>
      <c r="J198" s="412">
        <f t="shared" si="41"/>
        <v>-1740.0062568558124</v>
      </c>
      <c r="K198" s="412">
        <f t="shared" si="41"/>
        <v>-1770.5763526131827</v>
      </c>
      <c r="L198" s="412">
        <f t="shared" si="41"/>
        <v>-1775.419902389928</v>
      </c>
      <c r="M198" s="412">
        <f t="shared" si="41"/>
        <v>-1801.9877346906987</v>
      </c>
      <c r="N198" s="412">
        <f t="shared" si="41"/>
        <v>-1823.1741837760389</v>
      </c>
      <c r="O198" s="412">
        <f t="shared" si="41"/>
        <v>-1811.855256206522</v>
      </c>
      <c r="P198" s="412">
        <f t="shared" si="41"/>
        <v>-1789.9878743394086</v>
      </c>
      <c r="Q198" s="412">
        <f t="shared" si="41"/>
        <v>-1789.630894539363</v>
      </c>
      <c r="R198" s="412">
        <f t="shared" si="41"/>
        <v>-1792.0752446576707</v>
      </c>
      <c r="S198" s="412">
        <f t="shared" si="41"/>
        <v>-1815.9629413843113</v>
      </c>
      <c r="T198" s="412">
        <f t="shared" si="41"/>
        <v>-1811.490329894285</v>
      </c>
      <c r="U198" s="412">
        <f t="shared" si="41"/>
        <v>-1803.3666823542596</v>
      </c>
      <c r="V198" s="412">
        <f t="shared" si="41"/>
        <v>-1804.2942091747368</v>
      </c>
      <c r="W198" s="412">
        <f t="shared" si="41"/>
        <v>-1806.7451613552637</v>
      </c>
      <c r="X198" s="412">
        <f t="shared" si="41"/>
        <v>-1826.7623543138025</v>
      </c>
      <c r="Y198" s="412">
        <f t="shared" si="41"/>
        <v>-1819.7444468676131</v>
      </c>
      <c r="Z198" s="412">
        <f t="shared" si="41"/>
        <v>-1802.3841538898062</v>
      </c>
      <c r="AA198" s="412">
        <f t="shared" si="41"/>
        <v>-1809.1246121227327</v>
      </c>
      <c r="AB198" s="412">
        <f t="shared" si="41"/>
        <v>-1808.0325751973262</v>
      </c>
      <c r="AC198" s="412">
        <f t="shared" si="41"/>
        <v>-1825.836249880253</v>
      </c>
      <c r="AD198" s="412">
        <f t="shared" si="41"/>
        <v>-1815.383763328131</v>
      </c>
      <c r="AE198" s="412">
        <f t="shared" si="41"/>
        <v>-1803.8293240563298</v>
      </c>
      <c r="AF198" s="412">
        <f t="shared" si="41"/>
        <v>-1801.4221689227513</v>
      </c>
      <c r="AG198" s="412">
        <f t="shared" si="41"/>
        <v>-1798.15883995584</v>
      </c>
      <c r="AH198" s="412">
        <f t="shared" si="41"/>
        <v>-1812.5987125972611</v>
      </c>
      <c r="AI198" s="412">
        <f t="shared" si="41"/>
        <v>-1802.5553828523375</v>
      </c>
      <c r="AJ198" s="412">
        <f t="shared" si="41"/>
        <v>-1781.9560153020923</v>
      </c>
      <c r="AK198" s="412">
        <f t="shared" si="41"/>
        <v>-1782.6217759909387</v>
      </c>
      <c r="AL198" s="412">
        <f t="shared" si="41"/>
        <v>-1775.3954157148332</v>
      </c>
      <c r="AM198" s="412">
        <f t="shared" si="41"/>
        <v>-1789.7776231656185</v>
      </c>
      <c r="AN198" s="412">
        <f t="shared" si="41"/>
        <v>-1775.8650681245617</v>
      </c>
    </row>
    <row r="199" spans="2:40" ht="13.15" customHeight="1" x14ac:dyDescent="0.2">
      <c r="E199" s="411"/>
      <c r="F199" s="411"/>
      <c r="G199" s="411"/>
      <c r="H199" s="411"/>
      <c r="I199" s="411"/>
      <c r="J199" s="411"/>
      <c r="K199" s="411"/>
      <c r="L199" s="411"/>
      <c r="M199" s="411"/>
      <c r="N199" s="411"/>
      <c r="O199" s="411"/>
      <c r="P199" s="411"/>
      <c r="Q199" s="411"/>
      <c r="R199" s="411"/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</row>
    <row r="200" spans="2:40" s="8" customFormat="1" ht="13.15" customHeight="1" x14ac:dyDescent="0.2">
      <c r="B200" s="388" t="s">
        <v>1403</v>
      </c>
      <c r="C200" s="420"/>
      <c r="D200" s="388"/>
      <c r="E200" s="412">
        <f>SUM(F200:AI200)</f>
        <v>142126.58019343647</v>
      </c>
      <c r="F200" s="412">
        <f>F192-F198</f>
        <v>2481.6966921504732</v>
      </c>
      <c r="G200" s="412">
        <f t="shared" ref="G200:AN200" si="42">G192-G198</f>
        <v>4701.9253949573376</v>
      </c>
      <c r="H200" s="412">
        <f t="shared" si="42"/>
        <v>4716.3784795142001</v>
      </c>
      <c r="I200" s="412">
        <f t="shared" si="42"/>
        <v>4820.7815380251905</v>
      </c>
      <c r="J200" s="412">
        <f t="shared" si="42"/>
        <v>4763.9951589737211</v>
      </c>
      <c r="K200" s="412">
        <f t="shared" si="42"/>
        <v>4752.2730245805833</v>
      </c>
      <c r="L200" s="412">
        <f t="shared" si="42"/>
        <v>4939.1954841386469</v>
      </c>
      <c r="M200" s="412">
        <f t="shared" si="42"/>
        <v>2927.5781277717115</v>
      </c>
      <c r="N200" s="412">
        <f t="shared" si="42"/>
        <v>4964.4627264631072</v>
      </c>
      <c r="O200" s="412">
        <f t="shared" si="42"/>
        <v>5029.7478984628397</v>
      </c>
      <c r="P200" s="412">
        <f t="shared" si="42"/>
        <v>4940.5631867609009</v>
      </c>
      <c r="Q200" s="412">
        <f t="shared" si="42"/>
        <v>5115.0069862862783</v>
      </c>
      <c r="R200" s="412">
        <f t="shared" si="42"/>
        <v>4961.1953835016529</v>
      </c>
      <c r="S200" s="412">
        <f t="shared" si="42"/>
        <v>5185.8311918253603</v>
      </c>
      <c r="T200" s="412">
        <f t="shared" si="42"/>
        <v>3195.8701659574022</v>
      </c>
      <c r="U200" s="412">
        <f t="shared" si="42"/>
        <v>5150.6552011977774</v>
      </c>
      <c r="V200" s="412">
        <f t="shared" si="42"/>
        <v>5169.320968811573</v>
      </c>
      <c r="W200" s="412">
        <f t="shared" si="42"/>
        <v>5215.9394649753694</v>
      </c>
      <c r="X200" s="412">
        <f t="shared" si="42"/>
        <v>5287.5539194017065</v>
      </c>
      <c r="Y200" s="412">
        <f t="shared" si="42"/>
        <v>5187.6410044571694</v>
      </c>
      <c r="Z200" s="412">
        <f t="shared" si="42"/>
        <v>5083.8421008109663</v>
      </c>
      <c r="AA200" s="412">
        <f t="shared" si="42"/>
        <v>3324.2157065759607</v>
      </c>
      <c r="AB200" s="412">
        <f t="shared" si="42"/>
        <v>5275.4680789809554</v>
      </c>
      <c r="AC200" s="412">
        <f t="shared" si="42"/>
        <v>5335.5315605192845</v>
      </c>
      <c r="AD200" s="412">
        <f t="shared" si="42"/>
        <v>5234.3880098409481</v>
      </c>
      <c r="AE200" s="412">
        <f t="shared" si="42"/>
        <v>5255.0581541667361</v>
      </c>
      <c r="AF200" s="412">
        <f t="shared" si="42"/>
        <v>5247.2438343549948</v>
      </c>
      <c r="AG200" s="412">
        <f t="shared" si="42"/>
        <v>5284.6038930932518</v>
      </c>
      <c r="AH200" s="412">
        <f t="shared" si="42"/>
        <v>3287.4353034648425</v>
      </c>
      <c r="AI200" s="412">
        <f t="shared" si="42"/>
        <v>5291.1815534155576</v>
      </c>
      <c r="AJ200" s="412">
        <f t="shared" si="42"/>
        <v>5160.9025623438156</v>
      </c>
      <c r="AK200" s="412">
        <f t="shared" si="42"/>
        <v>5293.9743917283522</v>
      </c>
      <c r="AL200" s="412">
        <f t="shared" si="42"/>
        <v>5175.6662738028863</v>
      </c>
      <c r="AM200" s="412">
        <f t="shared" si="42"/>
        <v>5205.2429148315514</v>
      </c>
      <c r="AN200" s="412">
        <f t="shared" si="42"/>
        <v>5230.4125307977538</v>
      </c>
    </row>
  </sheetData>
  <dataConsolidate/>
  <phoneticPr fontId="8" type="noConversion"/>
  <pageMargins left="0.7" right="0.7" top="0.75" bottom="0.75" header="0.3" footer="0.3"/>
  <pageSetup paperSize="9" scale="28" orientation="landscape" r:id="rId1"/>
  <ignoredErrors>
    <ignoredError sqref="E13 E71:AN71 E60 E57 E34 E19:AN19 E35:AN47 F34:AN34 E58:AN59 F57:AN57 E61:AN62 F60:AN60 E31:AN33 E105 E127 E151:AN171 E140 E20 E26:AN30 E21:F25 E48:AN56" formula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"/>
  <dimension ref="B7:AH38"/>
  <sheetViews>
    <sheetView showGridLines="0"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3.7109375" style="415" customWidth="1"/>
    <col min="2" max="2" width="5.5703125" style="415" bestFit="1" customWidth="1"/>
    <col min="3" max="3" width="10" style="78" bestFit="1" customWidth="1"/>
    <col min="4" max="4" width="9.5703125" style="78" bestFit="1" customWidth="1"/>
    <col min="5" max="5" width="9.5703125" style="414" bestFit="1" customWidth="1"/>
    <col min="6" max="6" width="5.5703125" style="414" bestFit="1" customWidth="1"/>
    <col min="7" max="7" width="8.5703125" style="414" bestFit="1" customWidth="1"/>
    <col min="8" max="9" width="9.5703125" style="414" bestFit="1" customWidth="1"/>
    <col min="10" max="14" width="5.5703125" style="414" bestFit="1" customWidth="1"/>
    <col min="15" max="16" width="8.5703125" style="414" bestFit="1" customWidth="1"/>
    <col min="17" max="17" width="5.5703125" style="414" bestFit="1" customWidth="1"/>
    <col min="18" max="19" width="8.5703125" style="414" bestFit="1" customWidth="1"/>
    <col min="20" max="24" width="5.5703125" style="414" bestFit="1" customWidth="1"/>
    <col min="25" max="26" width="8.5703125" style="414" bestFit="1" customWidth="1"/>
    <col min="27" max="27" width="5.5703125" style="414" bestFit="1" customWidth="1"/>
    <col min="28" max="29" width="8.5703125" style="414" bestFit="1" customWidth="1"/>
    <col min="30" max="33" width="5.5703125" style="414" bestFit="1" customWidth="1"/>
    <col min="34" max="34" width="11.28515625" style="414" bestFit="1" customWidth="1"/>
    <col min="35" max="35" width="10.5703125" style="415" bestFit="1" customWidth="1"/>
    <col min="36" max="36" width="13.7109375" style="415" bestFit="1" customWidth="1"/>
    <col min="37" max="16384" width="9.28515625" style="415"/>
  </cols>
  <sheetData>
    <row r="7" spans="2:33" s="78" customFormat="1" ht="13.15" customHeight="1" x14ac:dyDescent="0.2">
      <c r="B7" s="169" t="s">
        <v>744</v>
      </c>
      <c r="C7" s="169" t="s">
        <v>1117</v>
      </c>
      <c r="D7" s="169">
        <v>1</v>
      </c>
      <c r="E7" s="169">
        <v>2</v>
      </c>
      <c r="F7" s="169">
        <v>3</v>
      </c>
      <c r="G7" s="169">
        <v>4</v>
      </c>
      <c r="H7" s="169">
        <v>5</v>
      </c>
      <c r="I7" s="169">
        <v>6</v>
      </c>
      <c r="J7" s="169">
        <v>7</v>
      </c>
      <c r="K7" s="169">
        <v>8</v>
      </c>
      <c r="L7" s="169">
        <v>9</v>
      </c>
      <c r="M7" s="169">
        <v>10</v>
      </c>
      <c r="N7" s="169">
        <v>11</v>
      </c>
      <c r="O7" s="169">
        <v>12</v>
      </c>
      <c r="P7" s="169">
        <v>13</v>
      </c>
      <c r="Q7" s="169">
        <v>14</v>
      </c>
      <c r="R7" s="169">
        <v>15</v>
      </c>
      <c r="S7" s="169">
        <v>16</v>
      </c>
      <c r="T7" s="169">
        <v>17</v>
      </c>
      <c r="U7" s="169">
        <v>18</v>
      </c>
      <c r="V7" s="169">
        <v>19</v>
      </c>
      <c r="W7" s="169">
        <v>20</v>
      </c>
      <c r="X7" s="169">
        <v>21</v>
      </c>
      <c r="Y7" s="169">
        <v>22</v>
      </c>
      <c r="Z7" s="169">
        <v>23</v>
      </c>
      <c r="AA7" s="169">
        <v>24</v>
      </c>
      <c r="AB7" s="169">
        <v>25</v>
      </c>
      <c r="AC7" s="169">
        <v>26</v>
      </c>
      <c r="AD7" s="169">
        <v>27</v>
      </c>
      <c r="AE7" s="169">
        <v>28</v>
      </c>
      <c r="AF7" s="169">
        <v>29</v>
      </c>
      <c r="AG7" s="169">
        <v>30</v>
      </c>
    </row>
    <row r="8" spans="2:33" ht="13.15" customHeight="1" x14ac:dyDescent="0.2">
      <c r="B8" s="416">
        <v>1</v>
      </c>
      <c r="C8" s="417" cm="1">
        <f t="array" ref="C8:C37">TRANSPOSE('25- Crédito PIS-COFINS'!F66:AI66)</f>
        <v>88748.282325000007</v>
      </c>
      <c r="D8" s="417">
        <f>IF(D$7&lt;$B8,0,C8/2)</f>
        <v>44374.141162500004</v>
      </c>
      <c r="E8" s="417">
        <f>IF(D$7&lt;$B8,0,IF((SUM($D8:D8)+$C8/2)&gt;$C8,$C8-SUM($D8:D8),$C8/2))</f>
        <v>44374.141162500004</v>
      </c>
      <c r="F8" s="417">
        <f>IF(E$7&lt;$B8,0,IF((SUM($D8:E8)+$C8/2)&gt;$C8,$C8-SUM($D8:E8),$C8/2))</f>
        <v>0</v>
      </c>
      <c r="G8" s="417">
        <f>IF(F$7&lt;$B8,0,IF((SUM($D8:F8)+$C8/2)&gt;$C8,$C8-SUM($D8:F8),$C8/2))</f>
        <v>0</v>
      </c>
      <c r="H8" s="417">
        <f>IF(G$7&lt;$B8,0,IF((SUM($D8:G8)+$C8/2)&gt;$C8,$C8-SUM($D8:G8),$C8/2))</f>
        <v>0</v>
      </c>
      <c r="I8" s="417">
        <f>IF(H$7&lt;$B8,0,IF((SUM($D8:H8)+$C8/2)&gt;$C8,$C8-SUM($D8:H8),$C8/2))</f>
        <v>0</v>
      </c>
      <c r="J8" s="417">
        <f>IF(I$7&lt;$B8,0,IF((SUM($D8:I8)+$C8/2)&gt;$C8,$C8-SUM($D8:I8),$C8/2))</f>
        <v>0</v>
      </c>
      <c r="K8" s="417">
        <f>IF(J$7&lt;$B8,0,IF((SUM($D8:J8)+$C8/2)&gt;$C8,$C8-SUM($D8:J8),$C8/2))</f>
        <v>0</v>
      </c>
      <c r="L8" s="417">
        <f>IF(K$7&lt;$B8,0,IF((SUM($D8:K8)+$C8/2)&gt;$C8,$C8-SUM($D8:K8),$C8/2))</f>
        <v>0</v>
      </c>
      <c r="M8" s="417">
        <f>IF(L$7&lt;$B8,0,IF((SUM($D8:L8)+$C8/2)&gt;$C8,$C8-SUM($D8:L8),$C8/2))</f>
        <v>0</v>
      </c>
      <c r="N8" s="417">
        <f>IF(M$7&lt;$B8,0,IF((SUM($D8:M8)+$C8/2)&gt;$C8,$C8-SUM($D8:M8),$C8/2))</f>
        <v>0</v>
      </c>
      <c r="O8" s="417">
        <f>IF(N$7&lt;$B8,0,IF((SUM($D8:N8)+$C8/2)&gt;$C8,$C8-SUM($D8:N8),$C8/2))</f>
        <v>0</v>
      </c>
      <c r="P8" s="417">
        <f>IF(O$7&lt;$B8,0,IF((SUM($D8:O8)+$C8/2)&gt;$C8,$C8-SUM($D8:O8),$C8/2))</f>
        <v>0</v>
      </c>
      <c r="Q8" s="417">
        <f>IF(P$7&lt;$B8,0,IF((SUM($D8:P8)+$C8/2)&gt;$C8,$C8-SUM($D8:P8),$C8/2))</f>
        <v>0</v>
      </c>
      <c r="R8" s="417">
        <f>IF(Q$7&lt;$B8,0,IF((SUM($D8:Q8)+$C8/2)&gt;$C8,$C8-SUM($D8:Q8),$C8/2))</f>
        <v>0</v>
      </c>
      <c r="S8" s="417">
        <f>IF(R$7&lt;$B8,0,IF((SUM($D8:R8)+$C8/2)&gt;$C8,$C8-SUM($D8:R8),$C8/2))</f>
        <v>0</v>
      </c>
      <c r="T8" s="417">
        <f>IF(S$7&lt;$B8,0,IF((SUM($D8:S8)+$C8/2)&gt;$C8,$C8-SUM($D8:S8),$C8/2))</f>
        <v>0</v>
      </c>
      <c r="U8" s="417">
        <f>IF(T$7&lt;$B8,0,IF((SUM($D8:T8)+$C8/2)&gt;$C8,$C8-SUM($D8:T8),$C8/2))</f>
        <v>0</v>
      </c>
      <c r="V8" s="417">
        <f>IF(U$7&lt;$B8,0,IF((SUM($D8:U8)+$C8/2)&gt;$C8,$C8-SUM($D8:U8),$C8/2))</f>
        <v>0</v>
      </c>
      <c r="W8" s="417">
        <f>IF(V$7&lt;$B8,0,IF((SUM($D8:V8)+$C8/2)&gt;$C8,$C8-SUM($D8:V8),$C8/2))</f>
        <v>0</v>
      </c>
      <c r="X8" s="417">
        <f>IF(W$7&lt;$B8,0,IF((SUM($D8:W8)+$C8/2)&gt;$C8,$C8-SUM($D8:W8),$C8/2))</f>
        <v>0</v>
      </c>
      <c r="Y8" s="417">
        <f>IF(X$7&lt;$B8,0,IF((SUM($D8:X8)+$C8/2)&gt;$C8,$C8-SUM($D8:X8),$C8/2))</f>
        <v>0</v>
      </c>
      <c r="Z8" s="417">
        <f>IF(Y$7&lt;$B8,0,IF((SUM($D8:Y8)+$C8/2)&gt;$C8,$C8-SUM($D8:Y8),$C8/2))</f>
        <v>0</v>
      </c>
      <c r="AA8" s="417">
        <f>IF(Z$7&lt;$B8,0,IF((SUM($D8:Z8)+$C8/2)&gt;$C8,$C8-SUM($D8:Z8),$C8/2))</f>
        <v>0</v>
      </c>
      <c r="AB8" s="417">
        <f>IF(AA$7&lt;$B8,0,IF((SUM($D8:AA8)+$C8/2)&gt;$C8,$C8-SUM($D8:AA8),$C8/2))</f>
        <v>0</v>
      </c>
      <c r="AC8" s="417">
        <f>IF(AB$7&lt;$B8,0,IF((SUM($D8:AB8)+$C8/2)&gt;$C8,$C8-SUM($D8:AB8),$C8/2))</f>
        <v>0</v>
      </c>
      <c r="AD8" s="417">
        <f>IF(AC$7&lt;$B8,0,IF((SUM($D8:AC8)+$C8/2)&gt;$C8,$C8-SUM($D8:AC8),$C8/2))</f>
        <v>0</v>
      </c>
      <c r="AE8" s="417">
        <f>IF(AD$7&lt;$B8,0,IF((SUM($D8:AD8)+$C8/2)&gt;$C8,$C8-SUM($D8:AD8),$C8/2))</f>
        <v>0</v>
      </c>
      <c r="AF8" s="417">
        <f>IF(AE$7&lt;$B8,0,IF((SUM($D8:AE8)+$C8/2)&gt;$C8,$C8-SUM($D8:AE8),$C8/2))</f>
        <v>0</v>
      </c>
      <c r="AG8" s="417">
        <f>IF(AF$7&lt;$B8,0,IF((SUM($D8:AF8)+$C8/2)&gt;$C8,$C8-SUM($D8:AF8),$C8/2))</f>
        <v>0</v>
      </c>
    </row>
    <row r="9" spans="2:33" ht="13.15" customHeight="1" x14ac:dyDescent="0.2">
      <c r="B9" s="416">
        <v>2</v>
      </c>
      <c r="C9" s="417">
        <v>0</v>
      </c>
      <c r="D9" s="417">
        <f t="shared" ref="D9:D37" si="0">IF(D$7&lt;$B9,0,C9/2)</f>
        <v>0</v>
      </c>
      <c r="E9" s="417">
        <f>IF(D$7&lt;$B9,0,IF((SUM($D9:D9)+$C9/2)&gt;$C9,$C9-SUM($D9:D9),$C9/2))</f>
        <v>0</v>
      </c>
      <c r="F9" s="417">
        <f>IF(E$7&lt;$B9,0,IF((SUM($D9:E9)+$C9/2)&gt;$C9,$C9-SUM($D9:E9),$C9/2))</f>
        <v>0</v>
      </c>
      <c r="G9" s="417">
        <f>IF(F$7&lt;$B9,0,IF((SUM($D9:F9)+$C9/2)&gt;$C9,$C9-SUM($D9:F9),$C9/2))</f>
        <v>0</v>
      </c>
      <c r="H9" s="417">
        <f>IF(G$7&lt;$B9,0,IF((SUM($D9:G9)+$C9/2)&gt;$C9,$C9-SUM($D9:G9),$C9/2))</f>
        <v>0</v>
      </c>
      <c r="I9" s="417">
        <f>IF(H$7&lt;$B9,0,IF((SUM($D9:H9)+$C9/2)&gt;$C9,$C9-SUM($D9:H9),$C9/2))</f>
        <v>0</v>
      </c>
      <c r="J9" s="417">
        <f>IF(I$7&lt;$B9,0,IF((SUM($D9:I9)+$C9/2)&gt;$C9,$C9-SUM($D9:I9),$C9/2))</f>
        <v>0</v>
      </c>
      <c r="K9" s="417">
        <f>IF(J$7&lt;$B9,0,IF((SUM($D9:J9)+$C9/2)&gt;$C9,$C9-SUM($D9:J9),$C9/2))</f>
        <v>0</v>
      </c>
      <c r="L9" s="417">
        <f>IF(K$7&lt;$B9,0,IF((SUM($D9:K9)+$C9/2)&gt;$C9,$C9-SUM($D9:K9),$C9/2))</f>
        <v>0</v>
      </c>
      <c r="M9" s="417">
        <f>IF(L$7&lt;$B9,0,IF((SUM($D9:L9)+$C9/2)&gt;$C9,$C9-SUM($D9:L9),$C9/2))</f>
        <v>0</v>
      </c>
      <c r="N9" s="417">
        <f>IF(M$7&lt;$B9,0,IF((SUM($D9:M9)+$C9/2)&gt;$C9,$C9-SUM($D9:M9),$C9/2))</f>
        <v>0</v>
      </c>
      <c r="O9" s="417">
        <f>IF(N$7&lt;$B9,0,IF((SUM($D9:N9)+$C9/2)&gt;$C9,$C9-SUM($D9:N9),$C9/2))</f>
        <v>0</v>
      </c>
      <c r="P9" s="417">
        <f>IF(O$7&lt;$B9,0,IF((SUM($D9:O9)+$C9/2)&gt;$C9,$C9-SUM($D9:O9),$C9/2))</f>
        <v>0</v>
      </c>
      <c r="Q9" s="417">
        <f>IF(P$7&lt;$B9,0,IF((SUM($D9:P9)+$C9/2)&gt;$C9,$C9-SUM($D9:P9),$C9/2))</f>
        <v>0</v>
      </c>
      <c r="R9" s="417">
        <f>IF(Q$7&lt;$B9,0,IF((SUM($D9:Q9)+$C9/2)&gt;$C9,$C9-SUM($D9:Q9),$C9/2))</f>
        <v>0</v>
      </c>
      <c r="S9" s="417">
        <f>IF(R$7&lt;$B9,0,IF((SUM($D9:R9)+$C9/2)&gt;$C9,$C9-SUM($D9:R9),$C9/2))</f>
        <v>0</v>
      </c>
      <c r="T9" s="417">
        <f>IF(S$7&lt;$B9,0,IF((SUM($D9:S9)+$C9/2)&gt;$C9,$C9-SUM($D9:S9),$C9/2))</f>
        <v>0</v>
      </c>
      <c r="U9" s="417">
        <f>IF(T$7&lt;$B9,0,IF((SUM($D9:T9)+$C9/2)&gt;$C9,$C9-SUM($D9:T9),$C9/2))</f>
        <v>0</v>
      </c>
      <c r="V9" s="417">
        <f>IF(U$7&lt;$B9,0,IF((SUM($D9:U9)+$C9/2)&gt;$C9,$C9-SUM($D9:U9),$C9/2))</f>
        <v>0</v>
      </c>
      <c r="W9" s="417">
        <f>IF(V$7&lt;$B9,0,IF((SUM($D9:V9)+$C9/2)&gt;$C9,$C9-SUM($D9:V9),$C9/2))</f>
        <v>0</v>
      </c>
      <c r="X9" s="417">
        <f>IF(W$7&lt;$B9,0,IF((SUM($D9:W9)+$C9/2)&gt;$C9,$C9-SUM($D9:W9),$C9/2))</f>
        <v>0</v>
      </c>
      <c r="Y9" s="417">
        <f>IF(X$7&lt;$B9,0,IF((SUM($D9:X9)+$C9/2)&gt;$C9,$C9-SUM($D9:X9),$C9/2))</f>
        <v>0</v>
      </c>
      <c r="Z9" s="417">
        <f>IF(Y$7&lt;$B9,0,IF((SUM($D9:Y9)+$C9/2)&gt;$C9,$C9-SUM($D9:Y9),$C9/2))</f>
        <v>0</v>
      </c>
      <c r="AA9" s="417">
        <f>IF(Z$7&lt;$B9,0,IF((SUM($D9:Z9)+$C9/2)&gt;$C9,$C9-SUM($D9:Z9),$C9/2))</f>
        <v>0</v>
      </c>
      <c r="AB9" s="417">
        <f>IF(AA$7&lt;$B9,0,IF((SUM($D9:AA9)+$C9/2)&gt;$C9,$C9-SUM($D9:AA9),$C9/2))</f>
        <v>0</v>
      </c>
      <c r="AC9" s="417">
        <f>IF(AB$7&lt;$B9,0,IF((SUM($D9:AB9)+$C9/2)&gt;$C9,$C9-SUM($D9:AB9),$C9/2))</f>
        <v>0</v>
      </c>
      <c r="AD9" s="417">
        <f>IF(AC$7&lt;$B9,0,IF((SUM($D9:AC9)+$C9/2)&gt;$C9,$C9-SUM($D9:AC9),$C9/2))</f>
        <v>0</v>
      </c>
      <c r="AE9" s="417">
        <f>IF(AD$7&lt;$B9,0,IF((SUM($D9:AD9)+$C9/2)&gt;$C9,$C9-SUM($D9:AD9),$C9/2))</f>
        <v>0</v>
      </c>
      <c r="AF9" s="417">
        <f>IF(AE$7&lt;$B9,0,IF((SUM($D9:AE9)+$C9/2)&gt;$C9,$C9-SUM($D9:AE9),$C9/2))</f>
        <v>0</v>
      </c>
      <c r="AG9" s="417">
        <f>IF(AF$7&lt;$B9,0,IF((SUM($D9:AF9)+$C9/2)&gt;$C9,$C9-SUM($D9:AF9),$C9/2))</f>
        <v>0</v>
      </c>
    </row>
    <row r="10" spans="2:33" ht="13.15" customHeight="1" x14ac:dyDescent="0.2">
      <c r="B10" s="416">
        <v>3</v>
      </c>
      <c r="C10" s="417">
        <v>0</v>
      </c>
      <c r="D10" s="417">
        <f t="shared" si="0"/>
        <v>0</v>
      </c>
      <c r="E10" s="417">
        <f>IF(D$7&lt;$B10,0,IF((SUM($D10:D10)+$C10/2)&gt;$C10,$C10-SUM($D10:D10),$C10/2))</f>
        <v>0</v>
      </c>
      <c r="F10" s="417">
        <f>IF(E$7&lt;$B10,0,IF((SUM($D10:E10)+$C10/2)&gt;$C10,$C10-SUM($D10:E10),$C10/2))</f>
        <v>0</v>
      </c>
      <c r="G10" s="417">
        <f>IF(F$7&lt;$B10,0,IF((SUM($D10:F10)+$C10/2)&gt;$C10,$C10-SUM($D10:F10),$C10/2))</f>
        <v>0</v>
      </c>
      <c r="H10" s="417">
        <f>IF(G$7&lt;$B10,0,IF((SUM($D10:G10)+$C10/2)&gt;$C10,$C10-SUM($D10:G10),$C10/2))</f>
        <v>0</v>
      </c>
      <c r="I10" s="417">
        <f>IF(H$7&lt;$B10,0,IF((SUM($D10:H10)+$C10/2)&gt;$C10,$C10-SUM($D10:H10),$C10/2))</f>
        <v>0</v>
      </c>
      <c r="J10" s="417">
        <f>IF(I$7&lt;$B10,0,IF((SUM($D10:I10)+$C10/2)&gt;$C10,$C10-SUM($D10:I10),$C10/2))</f>
        <v>0</v>
      </c>
      <c r="K10" s="417">
        <f>IF(J$7&lt;$B10,0,IF((SUM($D10:J10)+$C10/2)&gt;$C10,$C10-SUM($D10:J10),$C10/2))</f>
        <v>0</v>
      </c>
      <c r="L10" s="417">
        <f>IF(K$7&lt;$B10,0,IF((SUM($D10:K10)+$C10/2)&gt;$C10,$C10-SUM($D10:K10),$C10/2))</f>
        <v>0</v>
      </c>
      <c r="M10" s="417">
        <f>IF(L$7&lt;$B10,0,IF((SUM($D10:L10)+$C10/2)&gt;$C10,$C10-SUM($D10:L10),$C10/2))</f>
        <v>0</v>
      </c>
      <c r="N10" s="417">
        <f>IF(M$7&lt;$B10,0,IF((SUM($D10:M10)+$C10/2)&gt;$C10,$C10-SUM($D10:M10),$C10/2))</f>
        <v>0</v>
      </c>
      <c r="O10" s="417">
        <f>IF(N$7&lt;$B10,0,IF((SUM($D10:N10)+$C10/2)&gt;$C10,$C10-SUM($D10:N10),$C10/2))</f>
        <v>0</v>
      </c>
      <c r="P10" s="417">
        <f>IF(O$7&lt;$B10,0,IF((SUM($D10:O10)+$C10/2)&gt;$C10,$C10-SUM($D10:O10),$C10/2))</f>
        <v>0</v>
      </c>
      <c r="Q10" s="417">
        <f>IF(P$7&lt;$B10,0,IF((SUM($D10:P10)+$C10/2)&gt;$C10,$C10-SUM($D10:P10),$C10/2))</f>
        <v>0</v>
      </c>
      <c r="R10" s="417">
        <f>IF(Q$7&lt;$B10,0,IF((SUM($D10:Q10)+$C10/2)&gt;$C10,$C10-SUM($D10:Q10),$C10/2))</f>
        <v>0</v>
      </c>
      <c r="S10" s="417">
        <f>IF(R$7&lt;$B10,0,IF((SUM($D10:R10)+$C10/2)&gt;$C10,$C10-SUM($D10:R10),$C10/2))</f>
        <v>0</v>
      </c>
      <c r="T10" s="417">
        <f>IF(S$7&lt;$B10,0,IF((SUM($D10:S10)+$C10/2)&gt;$C10,$C10-SUM($D10:S10),$C10/2))</f>
        <v>0</v>
      </c>
      <c r="U10" s="417">
        <f>IF(T$7&lt;$B10,0,IF((SUM($D10:T10)+$C10/2)&gt;$C10,$C10-SUM($D10:T10),$C10/2))</f>
        <v>0</v>
      </c>
      <c r="V10" s="417">
        <f>IF(U$7&lt;$B10,0,IF((SUM($D10:U10)+$C10/2)&gt;$C10,$C10-SUM($D10:U10),$C10/2))</f>
        <v>0</v>
      </c>
      <c r="W10" s="417">
        <f>IF(V$7&lt;$B10,0,IF((SUM($D10:V10)+$C10/2)&gt;$C10,$C10-SUM($D10:V10),$C10/2))</f>
        <v>0</v>
      </c>
      <c r="X10" s="417">
        <f>IF(W$7&lt;$B10,0,IF((SUM($D10:W10)+$C10/2)&gt;$C10,$C10-SUM($D10:W10),$C10/2))</f>
        <v>0</v>
      </c>
      <c r="Y10" s="417">
        <f>IF(X$7&lt;$B10,0,IF((SUM($D10:X10)+$C10/2)&gt;$C10,$C10-SUM($D10:X10),$C10/2))</f>
        <v>0</v>
      </c>
      <c r="Z10" s="417">
        <f>IF(Y$7&lt;$B10,0,IF((SUM($D10:Y10)+$C10/2)&gt;$C10,$C10-SUM($D10:Y10),$C10/2))</f>
        <v>0</v>
      </c>
      <c r="AA10" s="417">
        <f>IF(Z$7&lt;$B10,0,IF((SUM($D10:Z10)+$C10/2)&gt;$C10,$C10-SUM($D10:Z10),$C10/2))</f>
        <v>0</v>
      </c>
      <c r="AB10" s="417">
        <f>IF(AA$7&lt;$B10,0,IF((SUM($D10:AA10)+$C10/2)&gt;$C10,$C10-SUM($D10:AA10),$C10/2))</f>
        <v>0</v>
      </c>
      <c r="AC10" s="417">
        <f>IF(AB$7&lt;$B10,0,IF((SUM($D10:AB10)+$C10/2)&gt;$C10,$C10-SUM($D10:AB10),$C10/2))</f>
        <v>0</v>
      </c>
      <c r="AD10" s="417">
        <f>IF(AC$7&lt;$B10,0,IF((SUM($D10:AC10)+$C10/2)&gt;$C10,$C10-SUM($D10:AC10),$C10/2))</f>
        <v>0</v>
      </c>
      <c r="AE10" s="417">
        <f>IF(AD$7&lt;$B10,0,IF((SUM($D10:AD10)+$C10/2)&gt;$C10,$C10-SUM($D10:AD10),$C10/2))</f>
        <v>0</v>
      </c>
      <c r="AF10" s="417">
        <f>IF(AE$7&lt;$B10,0,IF((SUM($D10:AE10)+$C10/2)&gt;$C10,$C10-SUM($D10:AE10),$C10/2))</f>
        <v>0</v>
      </c>
      <c r="AG10" s="417">
        <f>IF(AF$7&lt;$B10,0,IF((SUM($D10:AF10)+$C10/2)&gt;$C10,$C10-SUM($D10:AF10),$C10/2))</f>
        <v>0</v>
      </c>
    </row>
    <row r="11" spans="2:33" ht="13.15" customHeight="1" x14ac:dyDescent="0.2">
      <c r="B11" s="416">
        <v>4</v>
      </c>
      <c r="C11" s="417">
        <v>0</v>
      </c>
      <c r="D11" s="417">
        <f t="shared" si="0"/>
        <v>0</v>
      </c>
      <c r="E11" s="417">
        <f>IF(D$7&lt;$B11,0,IF((SUM($D11:D11)+$C11/2)&gt;$C11,$C11-SUM($D11:D11),$C11/2))</f>
        <v>0</v>
      </c>
      <c r="F11" s="417">
        <f>IF(E$7&lt;$B11,0,IF((SUM($D11:E11)+$C11/2)&gt;$C11,$C11-SUM($D11:E11),$C11/2))</f>
        <v>0</v>
      </c>
      <c r="G11" s="417">
        <f>IF(F$7&lt;$B11,0,IF((SUM($D11:F11)+$C11/2)&gt;$C11,$C11-SUM($D11:F11),$C11/2))</f>
        <v>0</v>
      </c>
      <c r="H11" s="417">
        <f>IF(G$7&lt;$B11,0,IF((SUM($D11:G11)+$C11/2)&gt;$C11,$C11-SUM($D11:G11),$C11/2))</f>
        <v>0</v>
      </c>
      <c r="I11" s="417">
        <f>IF(H$7&lt;$B11,0,IF((SUM($D11:H11)+$C11/2)&gt;$C11,$C11-SUM($D11:H11),$C11/2))</f>
        <v>0</v>
      </c>
      <c r="J11" s="417">
        <f>IF(I$7&lt;$B11,0,IF((SUM($D11:I11)+$C11/2)&gt;$C11,$C11-SUM($D11:I11),$C11/2))</f>
        <v>0</v>
      </c>
      <c r="K11" s="417">
        <f>IF(J$7&lt;$B11,0,IF((SUM($D11:J11)+$C11/2)&gt;$C11,$C11-SUM($D11:J11),$C11/2))</f>
        <v>0</v>
      </c>
      <c r="L11" s="417">
        <f>IF(K$7&lt;$B11,0,IF((SUM($D11:K11)+$C11/2)&gt;$C11,$C11-SUM($D11:K11),$C11/2))</f>
        <v>0</v>
      </c>
      <c r="M11" s="417">
        <f>IF(L$7&lt;$B11,0,IF((SUM($D11:L11)+$C11/2)&gt;$C11,$C11-SUM($D11:L11),$C11/2))</f>
        <v>0</v>
      </c>
      <c r="N11" s="417">
        <f>IF(M$7&lt;$B11,0,IF((SUM($D11:M11)+$C11/2)&gt;$C11,$C11-SUM($D11:M11),$C11/2))</f>
        <v>0</v>
      </c>
      <c r="O11" s="417">
        <f>IF(N$7&lt;$B11,0,IF((SUM($D11:N11)+$C11/2)&gt;$C11,$C11-SUM($D11:N11),$C11/2))</f>
        <v>0</v>
      </c>
      <c r="P11" s="417">
        <f>IF(O$7&lt;$B11,0,IF((SUM($D11:O11)+$C11/2)&gt;$C11,$C11-SUM($D11:O11),$C11/2))</f>
        <v>0</v>
      </c>
      <c r="Q11" s="417">
        <f>IF(P$7&lt;$B11,0,IF((SUM($D11:P11)+$C11/2)&gt;$C11,$C11-SUM($D11:P11),$C11/2))</f>
        <v>0</v>
      </c>
      <c r="R11" s="417">
        <f>IF(Q$7&lt;$B11,0,IF((SUM($D11:Q11)+$C11/2)&gt;$C11,$C11-SUM($D11:Q11),$C11/2))</f>
        <v>0</v>
      </c>
      <c r="S11" s="417">
        <f>IF(R$7&lt;$B11,0,IF((SUM($D11:R11)+$C11/2)&gt;$C11,$C11-SUM($D11:R11),$C11/2))</f>
        <v>0</v>
      </c>
      <c r="T11" s="417">
        <f>IF(S$7&lt;$B11,0,IF((SUM($D11:S11)+$C11/2)&gt;$C11,$C11-SUM($D11:S11),$C11/2))</f>
        <v>0</v>
      </c>
      <c r="U11" s="417">
        <f>IF(T$7&lt;$B11,0,IF((SUM($D11:T11)+$C11/2)&gt;$C11,$C11-SUM($D11:T11),$C11/2))</f>
        <v>0</v>
      </c>
      <c r="V11" s="417">
        <f>IF(U$7&lt;$B11,0,IF((SUM($D11:U11)+$C11/2)&gt;$C11,$C11-SUM($D11:U11),$C11/2))</f>
        <v>0</v>
      </c>
      <c r="W11" s="417">
        <f>IF(V$7&lt;$B11,0,IF((SUM($D11:V11)+$C11/2)&gt;$C11,$C11-SUM($D11:V11),$C11/2))</f>
        <v>0</v>
      </c>
      <c r="X11" s="417">
        <f>IF(W$7&lt;$B11,0,IF((SUM($D11:W11)+$C11/2)&gt;$C11,$C11-SUM($D11:W11),$C11/2))</f>
        <v>0</v>
      </c>
      <c r="Y11" s="417">
        <f>IF(X$7&lt;$B11,0,IF((SUM($D11:X11)+$C11/2)&gt;$C11,$C11-SUM($D11:X11),$C11/2))</f>
        <v>0</v>
      </c>
      <c r="Z11" s="417">
        <f>IF(Y$7&lt;$B11,0,IF((SUM($D11:Y11)+$C11/2)&gt;$C11,$C11-SUM($D11:Y11),$C11/2))</f>
        <v>0</v>
      </c>
      <c r="AA11" s="417">
        <f>IF(Z$7&lt;$B11,0,IF((SUM($D11:Z11)+$C11/2)&gt;$C11,$C11-SUM($D11:Z11),$C11/2))</f>
        <v>0</v>
      </c>
      <c r="AB11" s="417">
        <f>IF(AA$7&lt;$B11,0,IF((SUM($D11:AA11)+$C11/2)&gt;$C11,$C11-SUM($D11:AA11),$C11/2))</f>
        <v>0</v>
      </c>
      <c r="AC11" s="417">
        <f>IF(AB$7&lt;$B11,0,IF((SUM($D11:AB11)+$C11/2)&gt;$C11,$C11-SUM($D11:AB11),$C11/2))</f>
        <v>0</v>
      </c>
      <c r="AD11" s="417">
        <f>IF(AC$7&lt;$B11,0,IF((SUM($D11:AC11)+$C11/2)&gt;$C11,$C11-SUM($D11:AC11),$C11/2))</f>
        <v>0</v>
      </c>
      <c r="AE11" s="417">
        <f>IF(AD$7&lt;$B11,0,IF((SUM($D11:AD11)+$C11/2)&gt;$C11,$C11-SUM($D11:AD11),$C11/2))</f>
        <v>0</v>
      </c>
      <c r="AF11" s="417">
        <f>IF(AE$7&lt;$B11,0,IF((SUM($D11:AE11)+$C11/2)&gt;$C11,$C11-SUM($D11:AE11),$C11/2))</f>
        <v>0</v>
      </c>
      <c r="AG11" s="417">
        <f>IF(AF$7&lt;$B11,0,IF((SUM($D11:AF11)+$C11/2)&gt;$C11,$C11-SUM($D11:AF11),$C11/2))</f>
        <v>0</v>
      </c>
    </row>
    <row r="12" spans="2:33" ht="13.15" customHeight="1" x14ac:dyDescent="0.2">
      <c r="B12" s="416">
        <v>5</v>
      </c>
      <c r="C12" s="417">
        <v>0</v>
      </c>
      <c r="D12" s="417">
        <f t="shared" si="0"/>
        <v>0</v>
      </c>
      <c r="E12" s="417">
        <f>IF(D$7&lt;$B12,0,IF((SUM($D12:D12)+$C12/2)&gt;$C12,$C12-SUM($D12:D12),$C12/2))</f>
        <v>0</v>
      </c>
      <c r="F12" s="417">
        <f>IF(E$7&lt;$B12,0,IF((SUM($D12:E12)+$C12/2)&gt;$C12,$C12-SUM($D12:E12),$C12/2))</f>
        <v>0</v>
      </c>
      <c r="G12" s="417">
        <f>IF(F$7&lt;$B12,0,IF((SUM($D12:F12)+$C12/2)&gt;$C12,$C12-SUM($D12:F12),$C12/2))</f>
        <v>0</v>
      </c>
      <c r="H12" s="417">
        <f>IF(G$7&lt;$B12,0,IF((SUM($D12:G12)+$C12/2)&gt;$C12,$C12-SUM($D12:G12),$C12/2))</f>
        <v>0</v>
      </c>
      <c r="I12" s="417">
        <f>IF(H$7&lt;$B12,0,IF((SUM($D12:H12)+$C12/2)&gt;$C12,$C12-SUM($D12:H12),$C12/2))</f>
        <v>0</v>
      </c>
      <c r="J12" s="417">
        <f>IF(I$7&lt;$B12,0,IF((SUM($D12:I12)+$C12/2)&gt;$C12,$C12-SUM($D12:I12),$C12/2))</f>
        <v>0</v>
      </c>
      <c r="K12" s="417">
        <f>IF(J$7&lt;$B12,0,IF((SUM($D12:J12)+$C12/2)&gt;$C12,$C12-SUM($D12:J12),$C12/2))</f>
        <v>0</v>
      </c>
      <c r="L12" s="417">
        <f>IF(K$7&lt;$B12,0,IF((SUM($D12:K12)+$C12/2)&gt;$C12,$C12-SUM($D12:K12),$C12/2))</f>
        <v>0</v>
      </c>
      <c r="M12" s="417">
        <f>IF(L$7&lt;$B12,0,IF((SUM($D12:L12)+$C12/2)&gt;$C12,$C12-SUM($D12:L12),$C12/2))</f>
        <v>0</v>
      </c>
      <c r="N12" s="417">
        <f>IF(M$7&lt;$B12,0,IF((SUM($D12:M12)+$C12/2)&gt;$C12,$C12-SUM($D12:M12),$C12/2))</f>
        <v>0</v>
      </c>
      <c r="O12" s="417">
        <f>IF(N$7&lt;$B12,0,IF((SUM($D12:N12)+$C12/2)&gt;$C12,$C12-SUM($D12:N12),$C12/2))</f>
        <v>0</v>
      </c>
      <c r="P12" s="417">
        <f>IF(O$7&lt;$B12,0,IF((SUM($D12:O12)+$C12/2)&gt;$C12,$C12-SUM($D12:O12),$C12/2))</f>
        <v>0</v>
      </c>
      <c r="Q12" s="417">
        <f>IF(P$7&lt;$B12,0,IF((SUM($D12:P12)+$C12/2)&gt;$C12,$C12-SUM($D12:P12),$C12/2))</f>
        <v>0</v>
      </c>
      <c r="R12" s="417">
        <f>IF(Q$7&lt;$B12,0,IF((SUM($D12:Q12)+$C12/2)&gt;$C12,$C12-SUM($D12:Q12),$C12/2))</f>
        <v>0</v>
      </c>
      <c r="S12" s="417">
        <f>IF(R$7&lt;$B12,0,IF((SUM($D12:R12)+$C12/2)&gt;$C12,$C12-SUM($D12:R12),$C12/2))</f>
        <v>0</v>
      </c>
      <c r="T12" s="417">
        <f>IF(S$7&lt;$B12,0,IF((SUM($D12:S12)+$C12/2)&gt;$C12,$C12-SUM($D12:S12),$C12/2))</f>
        <v>0</v>
      </c>
      <c r="U12" s="417">
        <f>IF(T$7&lt;$B12,0,IF((SUM($D12:T12)+$C12/2)&gt;$C12,$C12-SUM($D12:T12),$C12/2))</f>
        <v>0</v>
      </c>
      <c r="V12" s="417">
        <f>IF(U$7&lt;$B12,0,IF((SUM($D12:U12)+$C12/2)&gt;$C12,$C12-SUM($D12:U12),$C12/2))</f>
        <v>0</v>
      </c>
      <c r="W12" s="417">
        <f>IF(V$7&lt;$B12,0,IF((SUM($D12:V12)+$C12/2)&gt;$C12,$C12-SUM($D12:V12),$C12/2))</f>
        <v>0</v>
      </c>
      <c r="X12" s="417">
        <f>IF(W$7&lt;$B12,0,IF((SUM($D12:W12)+$C12/2)&gt;$C12,$C12-SUM($D12:W12),$C12/2))</f>
        <v>0</v>
      </c>
      <c r="Y12" s="417">
        <f>IF(X$7&lt;$B12,0,IF((SUM($D12:X12)+$C12/2)&gt;$C12,$C12-SUM($D12:X12),$C12/2))</f>
        <v>0</v>
      </c>
      <c r="Z12" s="417">
        <f>IF(Y$7&lt;$B12,0,IF((SUM($D12:Y12)+$C12/2)&gt;$C12,$C12-SUM($D12:Y12),$C12/2))</f>
        <v>0</v>
      </c>
      <c r="AA12" s="417">
        <f>IF(Z$7&lt;$B12,0,IF((SUM($D12:Z12)+$C12/2)&gt;$C12,$C12-SUM($D12:Z12),$C12/2))</f>
        <v>0</v>
      </c>
      <c r="AB12" s="417">
        <f>IF(AA$7&lt;$B12,0,IF((SUM($D12:AA12)+$C12/2)&gt;$C12,$C12-SUM($D12:AA12),$C12/2))</f>
        <v>0</v>
      </c>
      <c r="AC12" s="417">
        <f>IF(AB$7&lt;$B12,0,IF((SUM($D12:AB12)+$C12/2)&gt;$C12,$C12-SUM($D12:AB12),$C12/2))</f>
        <v>0</v>
      </c>
      <c r="AD12" s="417">
        <f>IF(AC$7&lt;$B12,0,IF((SUM($D12:AC12)+$C12/2)&gt;$C12,$C12-SUM($D12:AC12),$C12/2))</f>
        <v>0</v>
      </c>
      <c r="AE12" s="417">
        <f>IF(AD$7&lt;$B12,0,IF((SUM($D12:AD12)+$C12/2)&gt;$C12,$C12-SUM($D12:AD12),$C12/2))</f>
        <v>0</v>
      </c>
      <c r="AF12" s="417">
        <f>IF(AE$7&lt;$B12,0,IF((SUM($D12:AE12)+$C12/2)&gt;$C12,$C12-SUM($D12:AE12),$C12/2))</f>
        <v>0</v>
      </c>
      <c r="AG12" s="417">
        <f>IF(AF$7&lt;$B12,0,IF((SUM($D12:AF12)+$C12/2)&gt;$C12,$C12-SUM($D12:AF12),$C12/2))</f>
        <v>0</v>
      </c>
    </row>
    <row r="13" spans="2:33" ht="13.15" customHeight="1" x14ac:dyDescent="0.2">
      <c r="B13" s="416">
        <v>6</v>
      </c>
      <c r="C13" s="417">
        <v>0</v>
      </c>
      <c r="D13" s="417">
        <f t="shared" si="0"/>
        <v>0</v>
      </c>
      <c r="E13" s="417">
        <f>IF(D$7&lt;$B13,0,IF((SUM($D13:D13)+$C13/2)&gt;$C13,$C13-SUM($D13:D13),$C13/2))</f>
        <v>0</v>
      </c>
      <c r="F13" s="417">
        <f>IF(E$7&lt;$B13,0,IF((SUM($D13:E13)+$C13/2)&gt;$C13,$C13-SUM($D13:E13),$C13/2))</f>
        <v>0</v>
      </c>
      <c r="G13" s="417">
        <f>IF(F$7&lt;$B13,0,IF((SUM($D13:F13)+$C13/2)&gt;$C13,$C13-SUM($D13:F13),$C13/2))</f>
        <v>0</v>
      </c>
      <c r="H13" s="417">
        <f>IF(G$7&lt;$B13,0,IF((SUM($D13:G13)+$C13/2)&gt;$C13,$C13-SUM($D13:G13),$C13/2))</f>
        <v>0</v>
      </c>
      <c r="I13" s="417">
        <f>IF(H$7&lt;$B13,0,IF((SUM($D13:H13)+$C13/2)&gt;$C13,$C13-SUM($D13:H13),$C13/2))</f>
        <v>0</v>
      </c>
      <c r="J13" s="417">
        <f>IF(I$7&lt;$B13,0,IF((SUM($D13:I13)+$C13/2)&gt;$C13,$C13-SUM($D13:I13),$C13/2))</f>
        <v>0</v>
      </c>
      <c r="K13" s="417">
        <f>IF(J$7&lt;$B13,0,IF((SUM($D13:J13)+$C13/2)&gt;$C13,$C13-SUM($D13:J13),$C13/2))</f>
        <v>0</v>
      </c>
      <c r="L13" s="417">
        <f>IF(K$7&lt;$B13,0,IF((SUM($D13:K13)+$C13/2)&gt;$C13,$C13-SUM($D13:K13),$C13/2))</f>
        <v>0</v>
      </c>
      <c r="M13" s="417">
        <f>IF(L$7&lt;$B13,0,IF((SUM($D13:L13)+$C13/2)&gt;$C13,$C13-SUM($D13:L13),$C13/2))</f>
        <v>0</v>
      </c>
      <c r="N13" s="417">
        <f>IF(M$7&lt;$B13,0,IF((SUM($D13:M13)+$C13/2)&gt;$C13,$C13-SUM($D13:M13),$C13/2))</f>
        <v>0</v>
      </c>
      <c r="O13" s="417">
        <f>IF(N$7&lt;$B13,0,IF((SUM($D13:N13)+$C13/2)&gt;$C13,$C13-SUM($D13:N13),$C13/2))</f>
        <v>0</v>
      </c>
      <c r="P13" s="417">
        <f>IF(O$7&lt;$B13,0,IF((SUM($D13:O13)+$C13/2)&gt;$C13,$C13-SUM($D13:O13),$C13/2))</f>
        <v>0</v>
      </c>
      <c r="Q13" s="417">
        <f>IF(P$7&lt;$B13,0,IF((SUM($D13:P13)+$C13/2)&gt;$C13,$C13-SUM($D13:P13),$C13/2))</f>
        <v>0</v>
      </c>
      <c r="R13" s="417">
        <f>IF(Q$7&lt;$B13,0,IF((SUM($D13:Q13)+$C13/2)&gt;$C13,$C13-SUM($D13:Q13),$C13/2))</f>
        <v>0</v>
      </c>
      <c r="S13" s="417">
        <f>IF(R$7&lt;$B13,0,IF((SUM($D13:R13)+$C13/2)&gt;$C13,$C13-SUM($D13:R13),$C13/2))</f>
        <v>0</v>
      </c>
      <c r="T13" s="417">
        <f>IF(S$7&lt;$B13,0,IF((SUM($D13:S13)+$C13/2)&gt;$C13,$C13-SUM($D13:S13),$C13/2))</f>
        <v>0</v>
      </c>
      <c r="U13" s="417">
        <f>IF(T$7&lt;$B13,0,IF((SUM($D13:T13)+$C13/2)&gt;$C13,$C13-SUM($D13:T13),$C13/2))</f>
        <v>0</v>
      </c>
      <c r="V13" s="417">
        <f>IF(U$7&lt;$B13,0,IF((SUM($D13:U13)+$C13/2)&gt;$C13,$C13-SUM($D13:U13),$C13/2))</f>
        <v>0</v>
      </c>
      <c r="W13" s="417">
        <f>IF(V$7&lt;$B13,0,IF((SUM($D13:V13)+$C13/2)&gt;$C13,$C13-SUM($D13:V13),$C13/2))</f>
        <v>0</v>
      </c>
      <c r="X13" s="417">
        <f>IF(W$7&lt;$B13,0,IF((SUM($D13:W13)+$C13/2)&gt;$C13,$C13-SUM($D13:W13),$C13/2))</f>
        <v>0</v>
      </c>
      <c r="Y13" s="417">
        <f>IF(X$7&lt;$B13,0,IF((SUM($D13:X13)+$C13/2)&gt;$C13,$C13-SUM($D13:X13),$C13/2))</f>
        <v>0</v>
      </c>
      <c r="Z13" s="417">
        <f>IF(Y$7&lt;$B13,0,IF((SUM($D13:Y13)+$C13/2)&gt;$C13,$C13-SUM($D13:Y13),$C13/2))</f>
        <v>0</v>
      </c>
      <c r="AA13" s="417">
        <f>IF(Z$7&lt;$B13,0,IF((SUM($D13:Z13)+$C13/2)&gt;$C13,$C13-SUM($D13:Z13),$C13/2))</f>
        <v>0</v>
      </c>
      <c r="AB13" s="417">
        <f>IF(AA$7&lt;$B13,0,IF((SUM($D13:AA13)+$C13/2)&gt;$C13,$C13-SUM($D13:AA13),$C13/2))</f>
        <v>0</v>
      </c>
      <c r="AC13" s="417">
        <f>IF(AB$7&lt;$B13,0,IF((SUM($D13:AB13)+$C13/2)&gt;$C13,$C13-SUM($D13:AB13),$C13/2))</f>
        <v>0</v>
      </c>
      <c r="AD13" s="417">
        <f>IF(AC$7&lt;$B13,0,IF((SUM($D13:AC13)+$C13/2)&gt;$C13,$C13-SUM($D13:AC13),$C13/2))</f>
        <v>0</v>
      </c>
      <c r="AE13" s="417">
        <f>IF(AD$7&lt;$B13,0,IF((SUM($D13:AD13)+$C13/2)&gt;$C13,$C13-SUM($D13:AD13),$C13/2))</f>
        <v>0</v>
      </c>
      <c r="AF13" s="417">
        <f>IF(AE$7&lt;$B13,0,IF((SUM($D13:AE13)+$C13/2)&gt;$C13,$C13-SUM($D13:AE13),$C13/2))</f>
        <v>0</v>
      </c>
      <c r="AG13" s="417">
        <f>IF(AF$7&lt;$B13,0,IF((SUM($D13:AF13)+$C13/2)&gt;$C13,$C13-SUM($D13:AF13),$C13/2))</f>
        <v>0</v>
      </c>
    </row>
    <row r="14" spans="2:33" ht="13.15" customHeight="1" x14ac:dyDescent="0.2">
      <c r="B14" s="416">
        <v>7</v>
      </c>
      <c r="C14" s="417">
        <v>0</v>
      </c>
      <c r="D14" s="417">
        <f t="shared" si="0"/>
        <v>0</v>
      </c>
      <c r="E14" s="417">
        <f>IF(D$7&lt;$B14,0,IF((SUM($D14:D14)+$C14/2)&gt;$C14,$C14-SUM($D14:D14),$C14/2))</f>
        <v>0</v>
      </c>
      <c r="F14" s="417">
        <f>IF(E$7&lt;$B14,0,IF((SUM($D14:E14)+$C14/2)&gt;$C14,$C14-SUM($D14:E14),$C14/2))</f>
        <v>0</v>
      </c>
      <c r="G14" s="417">
        <f>IF(F$7&lt;$B14,0,IF((SUM($D14:F14)+$C14/2)&gt;$C14,$C14-SUM($D14:F14),$C14/2))</f>
        <v>0</v>
      </c>
      <c r="H14" s="417">
        <f>IF(G$7&lt;$B14,0,IF((SUM($D14:G14)+$C14/2)&gt;$C14,$C14-SUM($D14:G14),$C14/2))</f>
        <v>0</v>
      </c>
      <c r="I14" s="417">
        <f>IF(H$7&lt;$B14,0,IF((SUM($D14:H14)+$C14/2)&gt;$C14,$C14-SUM($D14:H14),$C14/2))</f>
        <v>0</v>
      </c>
      <c r="J14" s="417">
        <f>IF(I$7&lt;$B14,0,IF((SUM($D14:I14)+$C14/2)&gt;$C14,$C14-SUM($D14:I14),$C14/2))</f>
        <v>0</v>
      </c>
      <c r="K14" s="417">
        <f>IF(J$7&lt;$B14,0,IF((SUM($D14:J14)+$C14/2)&gt;$C14,$C14-SUM($D14:J14),$C14/2))</f>
        <v>0</v>
      </c>
      <c r="L14" s="417">
        <f>IF(K$7&lt;$B14,0,IF((SUM($D14:K14)+$C14/2)&gt;$C14,$C14-SUM($D14:K14),$C14/2))</f>
        <v>0</v>
      </c>
      <c r="M14" s="417">
        <f>IF(L$7&lt;$B14,0,IF((SUM($D14:L14)+$C14/2)&gt;$C14,$C14-SUM($D14:L14),$C14/2))</f>
        <v>0</v>
      </c>
      <c r="N14" s="417">
        <f>IF(M$7&lt;$B14,0,IF((SUM($D14:M14)+$C14/2)&gt;$C14,$C14-SUM($D14:M14),$C14/2))</f>
        <v>0</v>
      </c>
      <c r="O14" s="417">
        <f>IF(N$7&lt;$B14,0,IF((SUM($D14:N14)+$C14/2)&gt;$C14,$C14-SUM($D14:N14),$C14/2))</f>
        <v>0</v>
      </c>
      <c r="P14" s="417">
        <f>IF(O$7&lt;$B14,0,IF((SUM($D14:O14)+$C14/2)&gt;$C14,$C14-SUM($D14:O14),$C14/2))</f>
        <v>0</v>
      </c>
      <c r="Q14" s="417">
        <f>IF(P$7&lt;$B14,0,IF((SUM($D14:P14)+$C14/2)&gt;$C14,$C14-SUM($D14:P14),$C14/2))</f>
        <v>0</v>
      </c>
      <c r="R14" s="417">
        <f>IF(Q$7&lt;$B14,0,IF((SUM($D14:Q14)+$C14/2)&gt;$C14,$C14-SUM($D14:Q14),$C14/2))</f>
        <v>0</v>
      </c>
      <c r="S14" s="417">
        <f>IF(R$7&lt;$B14,0,IF((SUM($D14:R14)+$C14/2)&gt;$C14,$C14-SUM($D14:R14),$C14/2))</f>
        <v>0</v>
      </c>
      <c r="T14" s="417">
        <f>IF(S$7&lt;$B14,0,IF((SUM($D14:S14)+$C14/2)&gt;$C14,$C14-SUM($D14:S14),$C14/2))</f>
        <v>0</v>
      </c>
      <c r="U14" s="417">
        <f>IF(T$7&lt;$B14,0,IF((SUM($D14:T14)+$C14/2)&gt;$C14,$C14-SUM($D14:T14),$C14/2))</f>
        <v>0</v>
      </c>
      <c r="V14" s="417">
        <f>IF(U$7&lt;$B14,0,IF((SUM($D14:U14)+$C14/2)&gt;$C14,$C14-SUM($D14:U14),$C14/2))</f>
        <v>0</v>
      </c>
      <c r="W14" s="417">
        <f>IF(V$7&lt;$B14,0,IF((SUM($D14:V14)+$C14/2)&gt;$C14,$C14-SUM($D14:V14),$C14/2))</f>
        <v>0</v>
      </c>
      <c r="X14" s="417">
        <f>IF(W$7&lt;$B14,0,IF((SUM($D14:W14)+$C14/2)&gt;$C14,$C14-SUM($D14:W14),$C14/2))</f>
        <v>0</v>
      </c>
      <c r="Y14" s="417">
        <f>IF(X$7&lt;$B14,0,IF((SUM($D14:X14)+$C14/2)&gt;$C14,$C14-SUM($D14:X14),$C14/2))</f>
        <v>0</v>
      </c>
      <c r="Z14" s="417">
        <f>IF(Y$7&lt;$B14,0,IF((SUM($D14:Y14)+$C14/2)&gt;$C14,$C14-SUM($D14:Y14),$C14/2))</f>
        <v>0</v>
      </c>
      <c r="AA14" s="417">
        <f>IF(Z$7&lt;$B14,0,IF((SUM($D14:Z14)+$C14/2)&gt;$C14,$C14-SUM($D14:Z14),$C14/2))</f>
        <v>0</v>
      </c>
      <c r="AB14" s="417">
        <f>IF(AA$7&lt;$B14,0,IF((SUM($D14:AA14)+$C14/2)&gt;$C14,$C14-SUM($D14:AA14),$C14/2))</f>
        <v>0</v>
      </c>
      <c r="AC14" s="417">
        <f>IF(AB$7&lt;$B14,0,IF((SUM($D14:AB14)+$C14/2)&gt;$C14,$C14-SUM($D14:AB14),$C14/2))</f>
        <v>0</v>
      </c>
      <c r="AD14" s="417">
        <f>IF(AC$7&lt;$B14,0,IF((SUM($D14:AC14)+$C14/2)&gt;$C14,$C14-SUM($D14:AC14),$C14/2))</f>
        <v>0</v>
      </c>
      <c r="AE14" s="417">
        <f>IF(AD$7&lt;$B14,0,IF((SUM($D14:AD14)+$C14/2)&gt;$C14,$C14-SUM($D14:AD14),$C14/2))</f>
        <v>0</v>
      </c>
      <c r="AF14" s="417">
        <f>IF(AE$7&lt;$B14,0,IF((SUM($D14:AE14)+$C14/2)&gt;$C14,$C14-SUM($D14:AE14),$C14/2))</f>
        <v>0</v>
      </c>
      <c r="AG14" s="417">
        <f>IF(AF$7&lt;$B14,0,IF((SUM($D14:AF14)+$C14/2)&gt;$C14,$C14-SUM($D14:AF14),$C14/2))</f>
        <v>0</v>
      </c>
    </row>
    <row r="15" spans="2:33" ht="13.15" customHeight="1" x14ac:dyDescent="0.2">
      <c r="B15" s="416">
        <v>8</v>
      </c>
      <c r="C15" s="417">
        <v>0</v>
      </c>
      <c r="D15" s="417">
        <f t="shared" si="0"/>
        <v>0</v>
      </c>
      <c r="E15" s="417">
        <f>IF(D$7&lt;$B15,0,IF((SUM($D15:D15)+$C15/2)&gt;$C15,$C15-SUM($D15:D15),$C15/2))</f>
        <v>0</v>
      </c>
      <c r="F15" s="417">
        <f>IF(E$7&lt;$B15,0,IF((SUM($D15:E15)+$C15/2)&gt;$C15,$C15-SUM($D15:E15),$C15/2))</f>
        <v>0</v>
      </c>
      <c r="G15" s="417">
        <f>IF(F$7&lt;$B15,0,IF((SUM($D15:F15)+$C15/2)&gt;$C15,$C15-SUM($D15:F15),$C15/2))</f>
        <v>0</v>
      </c>
      <c r="H15" s="417">
        <f>IF(G$7&lt;$B15,0,IF((SUM($D15:G15)+$C15/2)&gt;$C15,$C15-SUM($D15:G15),$C15/2))</f>
        <v>0</v>
      </c>
      <c r="I15" s="417">
        <f>IF(H$7&lt;$B15,0,IF((SUM($D15:H15)+$C15/2)&gt;$C15,$C15-SUM($D15:H15),$C15/2))</f>
        <v>0</v>
      </c>
      <c r="J15" s="417">
        <f>IF(I$7&lt;$B15,0,IF((SUM($D15:I15)+$C15/2)&gt;$C15,$C15-SUM($D15:I15),$C15/2))</f>
        <v>0</v>
      </c>
      <c r="K15" s="417">
        <f>IF(J$7&lt;$B15,0,IF((SUM($D15:J15)+$C15/2)&gt;$C15,$C15-SUM($D15:J15),$C15/2))</f>
        <v>0</v>
      </c>
      <c r="L15" s="417">
        <f>IF(K$7&lt;$B15,0,IF((SUM($D15:K15)+$C15/2)&gt;$C15,$C15-SUM($D15:K15),$C15/2))</f>
        <v>0</v>
      </c>
      <c r="M15" s="417">
        <f>IF(L$7&lt;$B15,0,IF((SUM($D15:L15)+$C15/2)&gt;$C15,$C15-SUM($D15:L15),$C15/2))</f>
        <v>0</v>
      </c>
      <c r="N15" s="417">
        <f>IF(M$7&lt;$B15,0,IF((SUM($D15:M15)+$C15/2)&gt;$C15,$C15-SUM($D15:M15),$C15/2))</f>
        <v>0</v>
      </c>
      <c r="O15" s="417">
        <f>IF(N$7&lt;$B15,0,IF((SUM($D15:N15)+$C15/2)&gt;$C15,$C15-SUM($D15:N15),$C15/2))</f>
        <v>0</v>
      </c>
      <c r="P15" s="417">
        <f>IF(O$7&lt;$B15,0,IF((SUM($D15:O15)+$C15/2)&gt;$C15,$C15-SUM($D15:O15),$C15/2))</f>
        <v>0</v>
      </c>
      <c r="Q15" s="417">
        <f>IF(P$7&lt;$B15,0,IF((SUM($D15:P15)+$C15/2)&gt;$C15,$C15-SUM($D15:P15),$C15/2))</f>
        <v>0</v>
      </c>
      <c r="R15" s="417">
        <f>IF(Q$7&lt;$B15,0,IF((SUM($D15:Q15)+$C15/2)&gt;$C15,$C15-SUM($D15:Q15),$C15/2))</f>
        <v>0</v>
      </c>
      <c r="S15" s="417">
        <f>IF(R$7&lt;$B15,0,IF((SUM($D15:R15)+$C15/2)&gt;$C15,$C15-SUM($D15:R15),$C15/2))</f>
        <v>0</v>
      </c>
      <c r="T15" s="417">
        <f>IF(S$7&lt;$B15,0,IF((SUM($D15:S15)+$C15/2)&gt;$C15,$C15-SUM($D15:S15),$C15/2))</f>
        <v>0</v>
      </c>
      <c r="U15" s="417">
        <f>IF(T$7&lt;$B15,0,IF((SUM($D15:T15)+$C15/2)&gt;$C15,$C15-SUM($D15:T15),$C15/2))</f>
        <v>0</v>
      </c>
      <c r="V15" s="417">
        <f>IF(U$7&lt;$B15,0,IF((SUM($D15:U15)+$C15/2)&gt;$C15,$C15-SUM($D15:U15),$C15/2))</f>
        <v>0</v>
      </c>
      <c r="W15" s="417">
        <f>IF(V$7&lt;$B15,0,IF((SUM($D15:V15)+$C15/2)&gt;$C15,$C15-SUM($D15:V15),$C15/2))</f>
        <v>0</v>
      </c>
      <c r="X15" s="417">
        <f>IF(W$7&lt;$B15,0,IF((SUM($D15:W15)+$C15/2)&gt;$C15,$C15-SUM($D15:W15),$C15/2))</f>
        <v>0</v>
      </c>
      <c r="Y15" s="417">
        <f>IF(X$7&lt;$B15,0,IF((SUM($D15:X15)+$C15/2)&gt;$C15,$C15-SUM($D15:X15),$C15/2))</f>
        <v>0</v>
      </c>
      <c r="Z15" s="417">
        <f>IF(Y$7&lt;$B15,0,IF((SUM($D15:Y15)+$C15/2)&gt;$C15,$C15-SUM($D15:Y15),$C15/2))</f>
        <v>0</v>
      </c>
      <c r="AA15" s="417">
        <f>IF(Z$7&lt;$B15,0,IF((SUM($D15:Z15)+$C15/2)&gt;$C15,$C15-SUM($D15:Z15),$C15/2))</f>
        <v>0</v>
      </c>
      <c r="AB15" s="417">
        <f>IF(AA$7&lt;$B15,0,IF((SUM($D15:AA15)+$C15/2)&gt;$C15,$C15-SUM($D15:AA15),$C15/2))</f>
        <v>0</v>
      </c>
      <c r="AC15" s="417">
        <f>IF(AB$7&lt;$B15,0,IF((SUM($D15:AB15)+$C15/2)&gt;$C15,$C15-SUM($D15:AB15),$C15/2))</f>
        <v>0</v>
      </c>
      <c r="AD15" s="417">
        <f>IF(AC$7&lt;$B15,0,IF((SUM($D15:AC15)+$C15/2)&gt;$C15,$C15-SUM($D15:AC15),$C15/2))</f>
        <v>0</v>
      </c>
      <c r="AE15" s="417">
        <f>IF(AD$7&lt;$B15,0,IF((SUM($D15:AD15)+$C15/2)&gt;$C15,$C15-SUM($D15:AD15),$C15/2))</f>
        <v>0</v>
      </c>
      <c r="AF15" s="417">
        <f>IF(AE$7&lt;$B15,0,IF((SUM($D15:AE15)+$C15/2)&gt;$C15,$C15-SUM($D15:AE15),$C15/2))</f>
        <v>0</v>
      </c>
      <c r="AG15" s="417">
        <f>IF(AF$7&lt;$B15,0,IF((SUM($D15:AF15)+$C15/2)&gt;$C15,$C15-SUM($D15:AF15),$C15/2))</f>
        <v>0</v>
      </c>
    </row>
    <row r="16" spans="2:33" ht="13.15" customHeight="1" x14ac:dyDescent="0.2">
      <c r="B16" s="416">
        <v>9</v>
      </c>
      <c r="C16" s="417">
        <v>0</v>
      </c>
      <c r="D16" s="417">
        <f t="shared" si="0"/>
        <v>0</v>
      </c>
      <c r="E16" s="417">
        <f>IF(D$7&lt;$B16,0,IF((SUM($D16:D16)+$C16/2)&gt;$C16,$C16-SUM($D16:D16),$C16/2))</f>
        <v>0</v>
      </c>
      <c r="F16" s="417">
        <f>IF(E$7&lt;$B16,0,IF((SUM($D16:E16)+$C16/2)&gt;$C16,$C16-SUM($D16:E16),$C16/2))</f>
        <v>0</v>
      </c>
      <c r="G16" s="417">
        <f>IF(F$7&lt;$B16,0,IF((SUM($D16:F16)+$C16/2)&gt;$C16,$C16-SUM($D16:F16),$C16/2))</f>
        <v>0</v>
      </c>
      <c r="H16" s="417">
        <f>IF(G$7&lt;$B16,0,IF((SUM($D16:G16)+$C16/2)&gt;$C16,$C16-SUM($D16:G16),$C16/2))</f>
        <v>0</v>
      </c>
      <c r="I16" s="417">
        <f>IF(H$7&lt;$B16,0,IF((SUM($D16:H16)+$C16/2)&gt;$C16,$C16-SUM($D16:H16),$C16/2))</f>
        <v>0</v>
      </c>
      <c r="J16" s="417">
        <f>IF(I$7&lt;$B16,0,IF((SUM($D16:I16)+$C16/2)&gt;$C16,$C16-SUM($D16:I16),$C16/2))</f>
        <v>0</v>
      </c>
      <c r="K16" s="417">
        <f>IF(J$7&lt;$B16,0,IF((SUM($D16:J16)+$C16/2)&gt;$C16,$C16-SUM($D16:J16),$C16/2))</f>
        <v>0</v>
      </c>
      <c r="L16" s="417">
        <f>IF(K$7&lt;$B16,0,IF((SUM($D16:K16)+$C16/2)&gt;$C16,$C16-SUM($D16:K16),$C16/2))</f>
        <v>0</v>
      </c>
      <c r="M16" s="417">
        <f>IF(L$7&lt;$B16,0,IF((SUM($D16:L16)+$C16/2)&gt;$C16,$C16-SUM($D16:L16),$C16/2))</f>
        <v>0</v>
      </c>
      <c r="N16" s="417">
        <f>IF(M$7&lt;$B16,0,IF((SUM($D16:M16)+$C16/2)&gt;$C16,$C16-SUM($D16:M16),$C16/2))</f>
        <v>0</v>
      </c>
      <c r="O16" s="417">
        <f>IF(N$7&lt;$B16,0,IF((SUM($D16:N16)+$C16/2)&gt;$C16,$C16-SUM($D16:N16),$C16/2))</f>
        <v>0</v>
      </c>
      <c r="P16" s="417">
        <f>IF(O$7&lt;$B16,0,IF((SUM($D16:O16)+$C16/2)&gt;$C16,$C16-SUM($D16:O16),$C16/2))</f>
        <v>0</v>
      </c>
      <c r="Q16" s="417">
        <f>IF(P$7&lt;$B16,0,IF((SUM($D16:P16)+$C16/2)&gt;$C16,$C16-SUM($D16:P16),$C16/2))</f>
        <v>0</v>
      </c>
      <c r="R16" s="417">
        <f>IF(Q$7&lt;$B16,0,IF((SUM($D16:Q16)+$C16/2)&gt;$C16,$C16-SUM($D16:Q16),$C16/2))</f>
        <v>0</v>
      </c>
      <c r="S16" s="417">
        <f>IF(R$7&lt;$B16,0,IF((SUM($D16:R16)+$C16/2)&gt;$C16,$C16-SUM($D16:R16),$C16/2))</f>
        <v>0</v>
      </c>
      <c r="T16" s="417">
        <f>IF(S$7&lt;$B16,0,IF((SUM($D16:S16)+$C16/2)&gt;$C16,$C16-SUM($D16:S16),$C16/2))</f>
        <v>0</v>
      </c>
      <c r="U16" s="417">
        <f>IF(T$7&lt;$B16,0,IF((SUM($D16:T16)+$C16/2)&gt;$C16,$C16-SUM($D16:T16),$C16/2))</f>
        <v>0</v>
      </c>
      <c r="V16" s="417">
        <f>IF(U$7&lt;$B16,0,IF((SUM($D16:U16)+$C16/2)&gt;$C16,$C16-SUM($D16:U16),$C16/2))</f>
        <v>0</v>
      </c>
      <c r="W16" s="417">
        <f>IF(V$7&lt;$B16,0,IF((SUM($D16:V16)+$C16/2)&gt;$C16,$C16-SUM($D16:V16),$C16/2))</f>
        <v>0</v>
      </c>
      <c r="X16" s="417">
        <f>IF(W$7&lt;$B16,0,IF((SUM($D16:W16)+$C16/2)&gt;$C16,$C16-SUM($D16:W16),$C16/2))</f>
        <v>0</v>
      </c>
      <c r="Y16" s="417">
        <f>IF(X$7&lt;$B16,0,IF((SUM($D16:X16)+$C16/2)&gt;$C16,$C16-SUM($D16:X16),$C16/2))</f>
        <v>0</v>
      </c>
      <c r="Z16" s="417">
        <f>IF(Y$7&lt;$B16,0,IF((SUM($D16:Y16)+$C16/2)&gt;$C16,$C16-SUM($D16:Y16),$C16/2))</f>
        <v>0</v>
      </c>
      <c r="AA16" s="417">
        <f>IF(Z$7&lt;$B16,0,IF((SUM($D16:Z16)+$C16/2)&gt;$C16,$C16-SUM($D16:Z16),$C16/2))</f>
        <v>0</v>
      </c>
      <c r="AB16" s="417">
        <f>IF(AA$7&lt;$B16,0,IF((SUM($D16:AA16)+$C16/2)&gt;$C16,$C16-SUM($D16:AA16),$C16/2))</f>
        <v>0</v>
      </c>
      <c r="AC16" s="417">
        <f>IF(AB$7&lt;$B16,0,IF((SUM($D16:AB16)+$C16/2)&gt;$C16,$C16-SUM($D16:AB16),$C16/2))</f>
        <v>0</v>
      </c>
      <c r="AD16" s="417">
        <f>IF(AC$7&lt;$B16,0,IF((SUM($D16:AC16)+$C16/2)&gt;$C16,$C16-SUM($D16:AC16),$C16/2))</f>
        <v>0</v>
      </c>
      <c r="AE16" s="417">
        <f>IF(AD$7&lt;$B16,0,IF((SUM($D16:AD16)+$C16/2)&gt;$C16,$C16-SUM($D16:AD16),$C16/2))</f>
        <v>0</v>
      </c>
      <c r="AF16" s="417">
        <f>IF(AE$7&lt;$B16,0,IF((SUM($D16:AE16)+$C16/2)&gt;$C16,$C16-SUM($D16:AE16),$C16/2))</f>
        <v>0</v>
      </c>
      <c r="AG16" s="417">
        <f>IF(AF$7&lt;$B16,0,IF((SUM($D16:AF16)+$C16/2)&gt;$C16,$C16-SUM($D16:AF16),$C16/2))</f>
        <v>0</v>
      </c>
    </row>
    <row r="17" spans="2:33" ht="13.15" customHeight="1" x14ac:dyDescent="0.2">
      <c r="B17" s="416">
        <v>10</v>
      </c>
      <c r="C17" s="417">
        <v>0</v>
      </c>
      <c r="D17" s="417">
        <f t="shared" si="0"/>
        <v>0</v>
      </c>
      <c r="E17" s="417">
        <f>IF(D$7&lt;$B17,0,IF((SUM($D17:D17)+$C17/2)&gt;$C17,$C17-SUM($D17:D17),$C17/2))</f>
        <v>0</v>
      </c>
      <c r="F17" s="417">
        <f>IF(E$7&lt;$B17,0,IF((SUM($D17:E17)+$C17/2)&gt;$C17,$C17-SUM($D17:E17),$C17/2))</f>
        <v>0</v>
      </c>
      <c r="G17" s="417">
        <f>IF(F$7&lt;$B17,0,IF((SUM($D17:F17)+$C17/2)&gt;$C17,$C17-SUM($D17:F17),$C17/2))</f>
        <v>0</v>
      </c>
      <c r="H17" s="417">
        <f>IF(G$7&lt;$B17,0,IF((SUM($D17:G17)+$C17/2)&gt;$C17,$C17-SUM($D17:G17),$C17/2))</f>
        <v>0</v>
      </c>
      <c r="I17" s="417">
        <f>IF(H$7&lt;$B17,0,IF((SUM($D17:H17)+$C17/2)&gt;$C17,$C17-SUM($D17:H17),$C17/2))</f>
        <v>0</v>
      </c>
      <c r="J17" s="417">
        <f>IF(I$7&lt;$B17,0,IF((SUM($D17:I17)+$C17/2)&gt;$C17,$C17-SUM($D17:I17),$C17/2))</f>
        <v>0</v>
      </c>
      <c r="K17" s="417">
        <f>IF(J$7&lt;$B17,0,IF((SUM($D17:J17)+$C17/2)&gt;$C17,$C17-SUM($D17:J17),$C17/2))</f>
        <v>0</v>
      </c>
      <c r="L17" s="417">
        <f>IF(K$7&lt;$B17,0,IF((SUM($D17:K17)+$C17/2)&gt;$C17,$C17-SUM($D17:K17),$C17/2))</f>
        <v>0</v>
      </c>
      <c r="M17" s="417">
        <f>IF(L$7&lt;$B17,0,IF((SUM($D17:L17)+$C17/2)&gt;$C17,$C17-SUM($D17:L17),$C17/2))</f>
        <v>0</v>
      </c>
      <c r="N17" s="417">
        <f>IF(M$7&lt;$B17,0,IF((SUM($D17:M17)+$C17/2)&gt;$C17,$C17-SUM($D17:M17),$C17/2))</f>
        <v>0</v>
      </c>
      <c r="O17" s="417">
        <f>IF(N$7&lt;$B17,0,IF((SUM($D17:N17)+$C17/2)&gt;$C17,$C17-SUM($D17:N17),$C17/2))</f>
        <v>0</v>
      </c>
      <c r="P17" s="417">
        <f>IF(O$7&lt;$B17,0,IF((SUM($D17:O17)+$C17/2)&gt;$C17,$C17-SUM($D17:O17),$C17/2))</f>
        <v>0</v>
      </c>
      <c r="Q17" s="417">
        <f>IF(P$7&lt;$B17,0,IF((SUM($D17:P17)+$C17/2)&gt;$C17,$C17-SUM($D17:P17),$C17/2))</f>
        <v>0</v>
      </c>
      <c r="R17" s="417">
        <f>IF(Q$7&lt;$B17,0,IF((SUM($D17:Q17)+$C17/2)&gt;$C17,$C17-SUM($D17:Q17),$C17/2))</f>
        <v>0</v>
      </c>
      <c r="S17" s="417">
        <f>IF(R$7&lt;$B17,0,IF((SUM($D17:R17)+$C17/2)&gt;$C17,$C17-SUM($D17:R17),$C17/2))</f>
        <v>0</v>
      </c>
      <c r="T17" s="417">
        <f>IF(S$7&lt;$B17,0,IF((SUM($D17:S17)+$C17/2)&gt;$C17,$C17-SUM($D17:S17),$C17/2))</f>
        <v>0</v>
      </c>
      <c r="U17" s="417">
        <f>IF(T$7&lt;$B17,0,IF((SUM($D17:T17)+$C17/2)&gt;$C17,$C17-SUM($D17:T17),$C17/2))</f>
        <v>0</v>
      </c>
      <c r="V17" s="417">
        <f>IF(U$7&lt;$B17,0,IF((SUM($D17:U17)+$C17/2)&gt;$C17,$C17-SUM($D17:U17),$C17/2))</f>
        <v>0</v>
      </c>
      <c r="W17" s="417">
        <f>IF(V$7&lt;$B17,0,IF((SUM($D17:V17)+$C17/2)&gt;$C17,$C17-SUM($D17:V17),$C17/2))</f>
        <v>0</v>
      </c>
      <c r="X17" s="417">
        <f>IF(W$7&lt;$B17,0,IF((SUM($D17:W17)+$C17/2)&gt;$C17,$C17-SUM($D17:W17),$C17/2))</f>
        <v>0</v>
      </c>
      <c r="Y17" s="417">
        <f>IF(X$7&lt;$B17,0,IF((SUM($D17:X17)+$C17/2)&gt;$C17,$C17-SUM($D17:X17),$C17/2))</f>
        <v>0</v>
      </c>
      <c r="Z17" s="417">
        <f>IF(Y$7&lt;$B17,0,IF((SUM($D17:Y17)+$C17/2)&gt;$C17,$C17-SUM($D17:Y17),$C17/2))</f>
        <v>0</v>
      </c>
      <c r="AA17" s="417">
        <f>IF(Z$7&lt;$B17,0,IF((SUM($D17:Z17)+$C17/2)&gt;$C17,$C17-SUM($D17:Z17),$C17/2))</f>
        <v>0</v>
      </c>
      <c r="AB17" s="417">
        <f>IF(AA$7&lt;$B17,0,IF((SUM($D17:AA17)+$C17/2)&gt;$C17,$C17-SUM($D17:AA17),$C17/2))</f>
        <v>0</v>
      </c>
      <c r="AC17" s="417">
        <f>IF(AB$7&lt;$B17,0,IF((SUM($D17:AB17)+$C17/2)&gt;$C17,$C17-SUM($D17:AB17),$C17/2))</f>
        <v>0</v>
      </c>
      <c r="AD17" s="417">
        <f>IF(AC$7&lt;$B17,0,IF((SUM($D17:AC17)+$C17/2)&gt;$C17,$C17-SUM($D17:AC17),$C17/2))</f>
        <v>0</v>
      </c>
      <c r="AE17" s="417">
        <f>IF(AD$7&lt;$B17,0,IF((SUM($D17:AD17)+$C17/2)&gt;$C17,$C17-SUM($D17:AD17),$C17/2))</f>
        <v>0</v>
      </c>
      <c r="AF17" s="417">
        <f>IF(AE$7&lt;$B17,0,IF((SUM($D17:AE17)+$C17/2)&gt;$C17,$C17-SUM($D17:AE17),$C17/2))</f>
        <v>0</v>
      </c>
      <c r="AG17" s="417">
        <f>IF(AF$7&lt;$B17,0,IF((SUM($D17:AF17)+$C17/2)&gt;$C17,$C17-SUM($D17:AF17),$C17/2))</f>
        <v>0</v>
      </c>
    </row>
    <row r="18" spans="2:33" ht="13.15" customHeight="1" x14ac:dyDescent="0.2">
      <c r="B18" s="416">
        <v>11</v>
      </c>
      <c r="C18" s="417">
        <v>70998.62586</v>
      </c>
      <c r="D18" s="417">
        <f t="shared" si="0"/>
        <v>0</v>
      </c>
      <c r="E18" s="417">
        <f>IF(D$7&lt;$B18,0,IF((SUM($D18:D18)+$C18/2)&gt;$C18,$C18-SUM($D18:D18),$C18/2))</f>
        <v>0</v>
      </c>
      <c r="F18" s="417">
        <f>IF(E$7&lt;$B18,0,IF((SUM($D18:E18)+$C18/2)&gt;$C18,$C18-SUM($D18:E18),$C18/2))</f>
        <v>0</v>
      </c>
      <c r="G18" s="417">
        <f>IF(F$7&lt;$B18,0,IF((SUM($D18:F18)+$C18/2)&gt;$C18,$C18-SUM($D18:F18),$C18/2))</f>
        <v>0</v>
      </c>
      <c r="H18" s="417">
        <f>IF(G$7&lt;$B18,0,IF((SUM($D18:G18)+$C18/2)&gt;$C18,$C18-SUM($D18:G18),$C18/2))</f>
        <v>0</v>
      </c>
      <c r="I18" s="417">
        <f>IF(H$7&lt;$B18,0,IF((SUM($D18:H18)+$C18/2)&gt;$C18,$C18-SUM($D18:H18),$C18/2))</f>
        <v>0</v>
      </c>
      <c r="J18" s="417">
        <f>IF(I$7&lt;$B18,0,IF((SUM($D18:I18)+$C18/2)&gt;$C18,$C18-SUM($D18:I18),$C18/2))</f>
        <v>0</v>
      </c>
      <c r="K18" s="417">
        <f>IF(J$7&lt;$B18,0,IF((SUM($D18:J18)+$C18/2)&gt;$C18,$C18-SUM($D18:J18),$C18/2))</f>
        <v>0</v>
      </c>
      <c r="L18" s="417">
        <f>IF(K$7&lt;$B18,0,IF((SUM($D18:K18)+$C18/2)&gt;$C18,$C18-SUM($D18:K18),$C18/2))</f>
        <v>0</v>
      </c>
      <c r="M18" s="417">
        <f>IF(L$7&lt;$B18,0,IF((SUM($D18:L18)+$C18/2)&gt;$C18,$C18-SUM($D18:L18),$C18/2))</f>
        <v>0</v>
      </c>
      <c r="N18" s="417">
        <f>IF(M$7&lt;$B18,0,IF((SUM($D18:M18)+$C18/2)&gt;$C18,$C18-SUM($D18:M18),$C18/2))</f>
        <v>0</v>
      </c>
      <c r="O18" s="417">
        <f>IF(N$7&lt;$B18,0,IF((SUM($D18:N18)+$C18/2)&gt;$C18,$C18-SUM($D18:N18),$C18/2))</f>
        <v>35499.31293</v>
      </c>
      <c r="P18" s="417">
        <f>IF(O$7&lt;$B18,0,IF((SUM($D18:O18)+$C18/2)&gt;$C18,$C18-SUM($D18:O18),$C18/2))</f>
        <v>35499.31293</v>
      </c>
      <c r="Q18" s="417">
        <f>IF(P$7&lt;$B18,0,IF((SUM($D18:P18)+$C18/2)&gt;$C18,$C18-SUM($D18:P18),$C18/2))</f>
        <v>0</v>
      </c>
      <c r="R18" s="417">
        <f>IF(Q$7&lt;$B18,0,IF((SUM($D18:Q18)+$C18/2)&gt;$C18,$C18-SUM($D18:Q18),$C18/2))</f>
        <v>0</v>
      </c>
      <c r="S18" s="417">
        <f>IF(R$7&lt;$B18,0,IF((SUM($D18:R18)+$C18/2)&gt;$C18,$C18-SUM($D18:R18),$C18/2))</f>
        <v>0</v>
      </c>
      <c r="T18" s="417">
        <f>IF(S$7&lt;$B18,0,IF((SUM($D18:S18)+$C18/2)&gt;$C18,$C18-SUM($D18:S18),$C18/2))</f>
        <v>0</v>
      </c>
      <c r="U18" s="417">
        <f>IF(T$7&lt;$B18,0,IF((SUM($D18:T18)+$C18/2)&gt;$C18,$C18-SUM($D18:T18),$C18/2))</f>
        <v>0</v>
      </c>
      <c r="V18" s="417">
        <f>IF(U$7&lt;$B18,0,IF((SUM($D18:U18)+$C18/2)&gt;$C18,$C18-SUM($D18:U18),$C18/2))</f>
        <v>0</v>
      </c>
      <c r="W18" s="417">
        <f>IF(V$7&lt;$B18,0,IF((SUM($D18:V18)+$C18/2)&gt;$C18,$C18-SUM($D18:V18),$C18/2))</f>
        <v>0</v>
      </c>
      <c r="X18" s="417">
        <f>IF(W$7&lt;$B18,0,IF((SUM($D18:W18)+$C18/2)&gt;$C18,$C18-SUM($D18:W18),$C18/2))</f>
        <v>0</v>
      </c>
      <c r="Y18" s="417">
        <f>IF(X$7&lt;$B18,0,IF((SUM($D18:X18)+$C18/2)&gt;$C18,$C18-SUM($D18:X18),$C18/2))</f>
        <v>0</v>
      </c>
      <c r="Z18" s="417">
        <f>IF(Y$7&lt;$B18,0,IF((SUM($D18:Y18)+$C18/2)&gt;$C18,$C18-SUM($D18:Y18),$C18/2))</f>
        <v>0</v>
      </c>
      <c r="AA18" s="417">
        <f>IF(Z$7&lt;$B18,0,IF((SUM($D18:Z18)+$C18/2)&gt;$C18,$C18-SUM($D18:Z18),$C18/2))</f>
        <v>0</v>
      </c>
      <c r="AB18" s="417">
        <f>IF(AA$7&lt;$B18,0,IF((SUM($D18:AA18)+$C18/2)&gt;$C18,$C18-SUM($D18:AA18),$C18/2))</f>
        <v>0</v>
      </c>
      <c r="AC18" s="417">
        <f>IF(AB$7&lt;$B18,0,IF((SUM($D18:AB18)+$C18/2)&gt;$C18,$C18-SUM($D18:AB18),$C18/2))</f>
        <v>0</v>
      </c>
      <c r="AD18" s="417">
        <f>IF(AC$7&lt;$B18,0,IF((SUM($D18:AC18)+$C18/2)&gt;$C18,$C18-SUM($D18:AC18),$C18/2))</f>
        <v>0</v>
      </c>
      <c r="AE18" s="417">
        <f>IF(AD$7&lt;$B18,0,IF((SUM($D18:AD18)+$C18/2)&gt;$C18,$C18-SUM($D18:AD18),$C18/2))</f>
        <v>0</v>
      </c>
      <c r="AF18" s="417">
        <f>IF(AE$7&lt;$B18,0,IF((SUM($D18:AE18)+$C18/2)&gt;$C18,$C18-SUM($D18:AE18),$C18/2))</f>
        <v>0</v>
      </c>
      <c r="AG18" s="417">
        <f>IF(AF$7&lt;$B18,0,IF((SUM($D18:AF18)+$C18/2)&gt;$C18,$C18-SUM($D18:AF18),$C18/2))</f>
        <v>0</v>
      </c>
    </row>
    <row r="19" spans="2:33" ht="13.15" customHeight="1" x14ac:dyDescent="0.2">
      <c r="B19" s="416">
        <v>12</v>
      </c>
      <c r="C19" s="417">
        <v>0</v>
      </c>
      <c r="D19" s="417">
        <f t="shared" si="0"/>
        <v>0</v>
      </c>
      <c r="E19" s="417">
        <f>IF(D$7&lt;$B19,0,IF((SUM($D19:D19)+$C19/2)&gt;$C19,$C19-SUM($D19:D19),$C19/2))</f>
        <v>0</v>
      </c>
      <c r="F19" s="417">
        <f>IF(E$7&lt;$B19,0,IF((SUM($D19:E19)+$C19/2)&gt;$C19,$C19-SUM($D19:E19),$C19/2))</f>
        <v>0</v>
      </c>
      <c r="G19" s="417">
        <f>IF(F$7&lt;$B19,0,IF((SUM($D19:F19)+$C19/2)&gt;$C19,$C19-SUM($D19:F19),$C19/2))</f>
        <v>0</v>
      </c>
      <c r="H19" s="417">
        <f>IF(G$7&lt;$B19,0,IF((SUM($D19:G19)+$C19/2)&gt;$C19,$C19-SUM($D19:G19),$C19/2))</f>
        <v>0</v>
      </c>
      <c r="I19" s="417">
        <f>IF(H$7&lt;$B19,0,IF((SUM($D19:H19)+$C19/2)&gt;$C19,$C19-SUM($D19:H19),$C19/2))</f>
        <v>0</v>
      </c>
      <c r="J19" s="417">
        <f>IF(I$7&lt;$B19,0,IF((SUM($D19:I19)+$C19/2)&gt;$C19,$C19-SUM($D19:I19),$C19/2))</f>
        <v>0</v>
      </c>
      <c r="K19" s="417">
        <f>IF(J$7&lt;$B19,0,IF((SUM($D19:J19)+$C19/2)&gt;$C19,$C19-SUM($D19:J19),$C19/2))</f>
        <v>0</v>
      </c>
      <c r="L19" s="417">
        <f>IF(K$7&lt;$B19,0,IF((SUM($D19:K19)+$C19/2)&gt;$C19,$C19-SUM($D19:K19),$C19/2))</f>
        <v>0</v>
      </c>
      <c r="M19" s="417">
        <f>IF(L$7&lt;$B19,0,IF((SUM($D19:L19)+$C19/2)&gt;$C19,$C19-SUM($D19:L19),$C19/2))</f>
        <v>0</v>
      </c>
      <c r="N19" s="417">
        <f>IF(M$7&lt;$B19,0,IF((SUM($D19:M19)+$C19/2)&gt;$C19,$C19-SUM($D19:M19),$C19/2))</f>
        <v>0</v>
      </c>
      <c r="O19" s="417">
        <f>IF(N$7&lt;$B19,0,IF((SUM($D19:N19)+$C19/2)&gt;$C19,$C19-SUM($D19:N19),$C19/2))</f>
        <v>0</v>
      </c>
      <c r="P19" s="417">
        <f>IF(O$7&lt;$B19,0,IF((SUM($D19:O19)+$C19/2)&gt;$C19,$C19-SUM($D19:O19),$C19/2))</f>
        <v>0</v>
      </c>
      <c r="Q19" s="417">
        <f>IF(P$7&lt;$B19,0,IF((SUM($D19:P19)+$C19/2)&gt;$C19,$C19-SUM($D19:P19),$C19/2))</f>
        <v>0</v>
      </c>
      <c r="R19" s="417">
        <f>IF(Q$7&lt;$B19,0,IF((SUM($D19:Q19)+$C19/2)&gt;$C19,$C19-SUM($D19:Q19),$C19/2))</f>
        <v>0</v>
      </c>
      <c r="S19" s="417">
        <f>IF(R$7&lt;$B19,0,IF((SUM($D19:R19)+$C19/2)&gt;$C19,$C19-SUM($D19:R19),$C19/2))</f>
        <v>0</v>
      </c>
      <c r="T19" s="417">
        <f>IF(S$7&lt;$B19,0,IF((SUM($D19:S19)+$C19/2)&gt;$C19,$C19-SUM($D19:S19),$C19/2))</f>
        <v>0</v>
      </c>
      <c r="U19" s="417">
        <f>IF(T$7&lt;$B19,0,IF((SUM($D19:T19)+$C19/2)&gt;$C19,$C19-SUM($D19:T19),$C19/2))</f>
        <v>0</v>
      </c>
      <c r="V19" s="417">
        <f>IF(U$7&lt;$B19,0,IF((SUM($D19:U19)+$C19/2)&gt;$C19,$C19-SUM($D19:U19),$C19/2))</f>
        <v>0</v>
      </c>
      <c r="W19" s="417">
        <f>IF(V$7&lt;$B19,0,IF((SUM($D19:V19)+$C19/2)&gt;$C19,$C19-SUM($D19:V19),$C19/2))</f>
        <v>0</v>
      </c>
      <c r="X19" s="417">
        <f>IF(W$7&lt;$B19,0,IF((SUM($D19:W19)+$C19/2)&gt;$C19,$C19-SUM($D19:W19),$C19/2))</f>
        <v>0</v>
      </c>
      <c r="Y19" s="417">
        <f>IF(X$7&lt;$B19,0,IF((SUM($D19:X19)+$C19/2)&gt;$C19,$C19-SUM($D19:X19),$C19/2))</f>
        <v>0</v>
      </c>
      <c r="Z19" s="417">
        <f>IF(Y$7&lt;$B19,0,IF((SUM($D19:Y19)+$C19/2)&gt;$C19,$C19-SUM($D19:Y19),$C19/2))</f>
        <v>0</v>
      </c>
      <c r="AA19" s="417">
        <f>IF(Z$7&lt;$B19,0,IF((SUM($D19:Z19)+$C19/2)&gt;$C19,$C19-SUM($D19:Z19),$C19/2))</f>
        <v>0</v>
      </c>
      <c r="AB19" s="417">
        <f>IF(AA$7&lt;$B19,0,IF((SUM($D19:AA19)+$C19/2)&gt;$C19,$C19-SUM($D19:AA19),$C19/2))</f>
        <v>0</v>
      </c>
      <c r="AC19" s="417">
        <f>IF(AB$7&lt;$B19,0,IF((SUM($D19:AB19)+$C19/2)&gt;$C19,$C19-SUM($D19:AB19),$C19/2))</f>
        <v>0</v>
      </c>
      <c r="AD19" s="417">
        <f>IF(AC$7&lt;$B19,0,IF((SUM($D19:AC19)+$C19/2)&gt;$C19,$C19-SUM($D19:AC19),$C19/2))</f>
        <v>0</v>
      </c>
      <c r="AE19" s="417">
        <f>IF(AD$7&lt;$B19,0,IF((SUM($D19:AD19)+$C19/2)&gt;$C19,$C19-SUM($D19:AD19),$C19/2))</f>
        <v>0</v>
      </c>
      <c r="AF19" s="417">
        <f>IF(AE$7&lt;$B19,0,IF((SUM($D19:AE19)+$C19/2)&gt;$C19,$C19-SUM($D19:AE19),$C19/2))</f>
        <v>0</v>
      </c>
      <c r="AG19" s="417">
        <f>IF(AF$7&lt;$B19,0,IF((SUM($D19:AF19)+$C19/2)&gt;$C19,$C19-SUM($D19:AF19),$C19/2))</f>
        <v>0</v>
      </c>
    </row>
    <row r="20" spans="2:33" ht="13.15" customHeight="1" x14ac:dyDescent="0.2">
      <c r="B20" s="416">
        <v>13</v>
      </c>
      <c r="C20" s="417">
        <v>0</v>
      </c>
      <c r="D20" s="417">
        <f t="shared" si="0"/>
        <v>0</v>
      </c>
      <c r="E20" s="417">
        <f>IF(D$7&lt;$B20,0,IF((SUM($D20:D20)+$C20/2)&gt;$C20,$C20-SUM($D20:D20),$C20/2))</f>
        <v>0</v>
      </c>
      <c r="F20" s="417">
        <f>IF(E$7&lt;$B20,0,IF((SUM($D20:E20)+$C20/2)&gt;$C20,$C20-SUM($D20:E20),$C20/2))</f>
        <v>0</v>
      </c>
      <c r="G20" s="417">
        <f>IF(F$7&lt;$B20,0,IF((SUM($D20:F20)+$C20/2)&gt;$C20,$C20-SUM($D20:F20),$C20/2))</f>
        <v>0</v>
      </c>
      <c r="H20" s="417">
        <f>IF(G$7&lt;$B20,0,IF((SUM($D20:G20)+$C20/2)&gt;$C20,$C20-SUM($D20:G20),$C20/2))</f>
        <v>0</v>
      </c>
      <c r="I20" s="417">
        <f>IF(H$7&lt;$B20,0,IF((SUM($D20:H20)+$C20/2)&gt;$C20,$C20-SUM($D20:H20),$C20/2))</f>
        <v>0</v>
      </c>
      <c r="J20" s="417">
        <f>IF(I$7&lt;$B20,0,IF((SUM($D20:I20)+$C20/2)&gt;$C20,$C20-SUM($D20:I20),$C20/2))</f>
        <v>0</v>
      </c>
      <c r="K20" s="417">
        <f>IF(J$7&lt;$B20,0,IF((SUM($D20:J20)+$C20/2)&gt;$C20,$C20-SUM($D20:J20),$C20/2))</f>
        <v>0</v>
      </c>
      <c r="L20" s="417">
        <f>IF(K$7&lt;$B20,0,IF((SUM($D20:K20)+$C20/2)&gt;$C20,$C20-SUM($D20:K20),$C20/2))</f>
        <v>0</v>
      </c>
      <c r="M20" s="417">
        <f>IF(L$7&lt;$B20,0,IF((SUM($D20:L20)+$C20/2)&gt;$C20,$C20-SUM($D20:L20),$C20/2))</f>
        <v>0</v>
      </c>
      <c r="N20" s="417">
        <f>IF(M$7&lt;$B20,0,IF((SUM($D20:M20)+$C20/2)&gt;$C20,$C20-SUM($D20:M20),$C20/2))</f>
        <v>0</v>
      </c>
      <c r="O20" s="417">
        <f>IF(N$7&lt;$B20,0,IF((SUM($D20:N20)+$C20/2)&gt;$C20,$C20-SUM($D20:N20),$C20/2))</f>
        <v>0</v>
      </c>
      <c r="P20" s="417">
        <f>IF(O$7&lt;$B20,0,IF((SUM($D20:O20)+$C20/2)&gt;$C20,$C20-SUM($D20:O20),$C20/2))</f>
        <v>0</v>
      </c>
      <c r="Q20" s="417">
        <f>IF(P$7&lt;$B20,0,IF((SUM($D20:P20)+$C20/2)&gt;$C20,$C20-SUM($D20:P20),$C20/2))</f>
        <v>0</v>
      </c>
      <c r="R20" s="417">
        <f>IF(Q$7&lt;$B20,0,IF((SUM($D20:Q20)+$C20/2)&gt;$C20,$C20-SUM($D20:Q20),$C20/2))</f>
        <v>0</v>
      </c>
      <c r="S20" s="417">
        <f>IF(R$7&lt;$B20,0,IF((SUM($D20:R20)+$C20/2)&gt;$C20,$C20-SUM($D20:R20),$C20/2))</f>
        <v>0</v>
      </c>
      <c r="T20" s="417">
        <f>IF(S$7&lt;$B20,0,IF((SUM($D20:S20)+$C20/2)&gt;$C20,$C20-SUM($D20:S20),$C20/2))</f>
        <v>0</v>
      </c>
      <c r="U20" s="417">
        <f>IF(T$7&lt;$B20,0,IF((SUM($D20:T20)+$C20/2)&gt;$C20,$C20-SUM($D20:T20),$C20/2))</f>
        <v>0</v>
      </c>
      <c r="V20" s="417">
        <f>IF(U$7&lt;$B20,0,IF((SUM($D20:U20)+$C20/2)&gt;$C20,$C20-SUM($D20:U20),$C20/2))</f>
        <v>0</v>
      </c>
      <c r="W20" s="417">
        <f>IF(V$7&lt;$B20,0,IF((SUM($D20:V20)+$C20/2)&gt;$C20,$C20-SUM($D20:V20),$C20/2))</f>
        <v>0</v>
      </c>
      <c r="X20" s="417">
        <f>IF(W$7&lt;$B20,0,IF((SUM($D20:W20)+$C20/2)&gt;$C20,$C20-SUM($D20:W20),$C20/2))</f>
        <v>0</v>
      </c>
      <c r="Y20" s="417">
        <f>IF(X$7&lt;$B20,0,IF((SUM($D20:X20)+$C20/2)&gt;$C20,$C20-SUM($D20:X20),$C20/2))</f>
        <v>0</v>
      </c>
      <c r="Z20" s="417">
        <f>IF(Y$7&lt;$B20,0,IF((SUM($D20:Y20)+$C20/2)&gt;$C20,$C20-SUM($D20:Y20),$C20/2))</f>
        <v>0</v>
      </c>
      <c r="AA20" s="417">
        <f>IF(Z$7&lt;$B20,0,IF((SUM($D20:Z20)+$C20/2)&gt;$C20,$C20-SUM($D20:Z20),$C20/2))</f>
        <v>0</v>
      </c>
      <c r="AB20" s="417">
        <f>IF(AA$7&lt;$B20,0,IF((SUM($D20:AA20)+$C20/2)&gt;$C20,$C20-SUM($D20:AA20),$C20/2))</f>
        <v>0</v>
      </c>
      <c r="AC20" s="417">
        <f>IF(AB$7&lt;$B20,0,IF((SUM($D20:AB20)+$C20/2)&gt;$C20,$C20-SUM($D20:AB20),$C20/2))</f>
        <v>0</v>
      </c>
      <c r="AD20" s="417">
        <f>IF(AC$7&lt;$B20,0,IF((SUM($D20:AC20)+$C20/2)&gt;$C20,$C20-SUM($D20:AC20),$C20/2))</f>
        <v>0</v>
      </c>
      <c r="AE20" s="417">
        <f>IF(AD$7&lt;$B20,0,IF((SUM($D20:AD20)+$C20/2)&gt;$C20,$C20-SUM($D20:AD20),$C20/2))</f>
        <v>0</v>
      </c>
      <c r="AF20" s="417">
        <f>IF(AE$7&lt;$B20,0,IF((SUM($D20:AE20)+$C20/2)&gt;$C20,$C20-SUM($D20:AE20),$C20/2))</f>
        <v>0</v>
      </c>
      <c r="AG20" s="417">
        <f>IF(AF$7&lt;$B20,0,IF((SUM($D20:AF20)+$C20/2)&gt;$C20,$C20-SUM($D20:AF20),$C20/2))</f>
        <v>0</v>
      </c>
    </row>
    <row r="21" spans="2:33" ht="13.15" customHeight="1" x14ac:dyDescent="0.2">
      <c r="B21" s="416">
        <v>14</v>
      </c>
      <c r="C21" s="417">
        <v>0</v>
      </c>
      <c r="D21" s="417">
        <f t="shared" si="0"/>
        <v>0</v>
      </c>
      <c r="E21" s="417">
        <f>IF(D$7&lt;$B21,0,IF((SUM($D21:D21)+$C21/2)&gt;$C21,$C21-SUM($D21:D21),$C21/2))</f>
        <v>0</v>
      </c>
      <c r="F21" s="417">
        <f>IF(E$7&lt;$B21,0,IF((SUM($D21:E21)+$C21/2)&gt;$C21,$C21-SUM($D21:E21),$C21/2))</f>
        <v>0</v>
      </c>
      <c r="G21" s="417">
        <f>IF(F$7&lt;$B21,0,IF((SUM($D21:F21)+$C21/2)&gt;$C21,$C21-SUM($D21:F21),$C21/2))</f>
        <v>0</v>
      </c>
      <c r="H21" s="417">
        <f>IF(G$7&lt;$B21,0,IF((SUM($D21:G21)+$C21/2)&gt;$C21,$C21-SUM($D21:G21),$C21/2))</f>
        <v>0</v>
      </c>
      <c r="I21" s="417">
        <f>IF(H$7&lt;$B21,0,IF((SUM($D21:H21)+$C21/2)&gt;$C21,$C21-SUM($D21:H21),$C21/2))</f>
        <v>0</v>
      </c>
      <c r="J21" s="417">
        <f>IF(I$7&lt;$B21,0,IF((SUM($D21:I21)+$C21/2)&gt;$C21,$C21-SUM($D21:I21),$C21/2))</f>
        <v>0</v>
      </c>
      <c r="K21" s="417">
        <f>IF(J$7&lt;$B21,0,IF((SUM($D21:J21)+$C21/2)&gt;$C21,$C21-SUM($D21:J21),$C21/2))</f>
        <v>0</v>
      </c>
      <c r="L21" s="417">
        <f>IF(K$7&lt;$B21,0,IF((SUM($D21:K21)+$C21/2)&gt;$C21,$C21-SUM($D21:K21),$C21/2))</f>
        <v>0</v>
      </c>
      <c r="M21" s="417">
        <f>IF(L$7&lt;$B21,0,IF((SUM($D21:L21)+$C21/2)&gt;$C21,$C21-SUM($D21:L21),$C21/2))</f>
        <v>0</v>
      </c>
      <c r="N21" s="417">
        <f>IF(M$7&lt;$B21,0,IF((SUM($D21:M21)+$C21/2)&gt;$C21,$C21-SUM($D21:M21),$C21/2))</f>
        <v>0</v>
      </c>
      <c r="O21" s="417">
        <f>IF(N$7&lt;$B21,0,IF((SUM($D21:N21)+$C21/2)&gt;$C21,$C21-SUM($D21:N21),$C21/2))</f>
        <v>0</v>
      </c>
      <c r="P21" s="417">
        <f>IF(O$7&lt;$B21,0,IF((SUM($D21:O21)+$C21/2)&gt;$C21,$C21-SUM($D21:O21),$C21/2))</f>
        <v>0</v>
      </c>
      <c r="Q21" s="417">
        <f>IF(P$7&lt;$B21,0,IF((SUM($D21:P21)+$C21/2)&gt;$C21,$C21-SUM($D21:P21),$C21/2))</f>
        <v>0</v>
      </c>
      <c r="R21" s="417">
        <f>IF(Q$7&lt;$B21,0,IF((SUM($D21:Q21)+$C21/2)&gt;$C21,$C21-SUM($D21:Q21),$C21/2))</f>
        <v>0</v>
      </c>
      <c r="S21" s="417">
        <f>IF(R$7&lt;$B21,0,IF((SUM($D21:R21)+$C21/2)&gt;$C21,$C21-SUM($D21:R21),$C21/2))</f>
        <v>0</v>
      </c>
      <c r="T21" s="417">
        <f>IF(S$7&lt;$B21,0,IF((SUM($D21:S21)+$C21/2)&gt;$C21,$C21-SUM($D21:S21),$C21/2))</f>
        <v>0</v>
      </c>
      <c r="U21" s="417">
        <f>IF(T$7&lt;$B21,0,IF((SUM($D21:T21)+$C21/2)&gt;$C21,$C21-SUM($D21:T21),$C21/2))</f>
        <v>0</v>
      </c>
      <c r="V21" s="417">
        <f>IF(U$7&lt;$B21,0,IF((SUM($D21:U21)+$C21/2)&gt;$C21,$C21-SUM($D21:U21),$C21/2))</f>
        <v>0</v>
      </c>
      <c r="W21" s="417">
        <f>IF(V$7&lt;$B21,0,IF((SUM($D21:V21)+$C21/2)&gt;$C21,$C21-SUM($D21:V21),$C21/2))</f>
        <v>0</v>
      </c>
      <c r="X21" s="417">
        <f>IF(W$7&lt;$B21,0,IF((SUM($D21:W21)+$C21/2)&gt;$C21,$C21-SUM($D21:W21),$C21/2))</f>
        <v>0</v>
      </c>
      <c r="Y21" s="417">
        <f>IF(X$7&lt;$B21,0,IF((SUM($D21:X21)+$C21/2)&gt;$C21,$C21-SUM($D21:X21),$C21/2))</f>
        <v>0</v>
      </c>
      <c r="Z21" s="417">
        <f>IF(Y$7&lt;$B21,0,IF((SUM($D21:Y21)+$C21/2)&gt;$C21,$C21-SUM($D21:Y21),$C21/2))</f>
        <v>0</v>
      </c>
      <c r="AA21" s="417">
        <f>IF(Z$7&lt;$B21,0,IF((SUM($D21:Z21)+$C21/2)&gt;$C21,$C21-SUM($D21:Z21),$C21/2))</f>
        <v>0</v>
      </c>
      <c r="AB21" s="417">
        <f>IF(AA$7&lt;$B21,0,IF((SUM($D21:AA21)+$C21/2)&gt;$C21,$C21-SUM($D21:AA21),$C21/2))</f>
        <v>0</v>
      </c>
      <c r="AC21" s="417">
        <f>IF(AB$7&lt;$B21,0,IF((SUM($D21:AB21)+$C21/2)&gt;$C21,$C21-SUM($D21:AB21),$C21/2))</f>
        <v>0</v>
      </c>
      <c r="AD21" s="417">
        <f>IF(AC$7&lt;$B21,0,IF((SUM($D21:AC21)+$C21/2)&gt;$C21,$C21-SUM($D21:AC21),$C21/2))</f>
        <v>0</v>
      </c>
      <c r="AE21" s="417">
        <f>IF(AD$7&lt;$B21,0,IF((SUM($D21:AD21)+$C21/2)&gt;$C21,$C21-SUM($D21:AD21),$C21/2))</f>
        <v>0</v>
      </c>
      <c r="AF21" s="417">
        <f>IF(AE$7&lt;$B21,0,IF((SUM($D21:AE21)+$C21/2)&gt;$C21,$C21-SUM($D21:AE21),$C21/2))</f>
        <v>0</v>
      </c>
      <c r="AG21" s="417">
        <f>IF(AF$7&lt;$B21,0,IF((SUM($D21:AF21)+$C21/2)&gt;$C21,$C21-SUM($D21:AF21),$C21/2))</f>
        <v>0</v>
      </c>
    </row>
    <row r="22" spans="2:33" ht="13.15" customHeight="1" x14ac:dyDescent="0.2">
      <c r="B22" s="416">
        <v>15</v>
      </c>
      <c r="C22" s="417">
        <v>0</v>
      </c>
      <c r="D22" s="417">
        <f t="shared" si="0"/>
        <v>0</v>
      </c>
      <c r="E22" s="417">
        <f>IF(D$7&lt;$B22,0,IF((SUM($D22:D22)+$C22/2)&gt;$C22,$C22-SUM($D22:D22),$C22/2))</f>
        <v>0</v>
      </c>
      <c r="F22" s="417">
        <f>IF(E$7&lt;$B22,0,IF((SUM($D22:E22)+$C22/2)&gt;$C22,$C22-SUM($D22:E22),$C22/2))</f>
        <v>0</v>
      </c>
      <c r="G22" s="417">
        <f>IF(F$7&lt;$B22,0,IF((SUM($D22:F22)+$C22/2)&gt;$C22,$C22-SUM($D22:F22),$C22/2))</f>
        <v>0</v>
      </c>
      <c r="H22" s="417">
        <f>IF(G$7&lt;$B22,0,IF((SUM($D22:G22)+$C22/2)&gt;$C22,$C22-SUM($D22:G22),$C22/2))</f>
        <v>0</v>
      </c>
      <c r="I22" s="417">
        <f>IF(H$7&lt;$B22,0,IF((SUM($D22:H22)+$C22/2)&gt;$C22,$C22-SUM($D22:H22),$C22/2))</f>
        <v>0</v>
      </c>
      <c r="J22" s="417">
        <f>IF(I$7&lt;$B22,0,IF((SUM($D22:I22)+$C22/2)&gt;$C22,$C22-SUM($D22:I22),$C22/2))</f>
        <v>0</v>
      </c>
      <c r="K22" s="417">
        <f>IF(J$7&lt;$B22,0,IF((SUM($D22:J22)+$C22/2)&gt;$C22,$C22-SUM($D22:J22),$C22/2))</f>
        <v>0</v>
      </c>
      <c r="L22" s="417">
        <f>IF(K$7&lt;$B22,0,IF((SUM($D22:K22)+$C22/2)&gt;$C22,$C22-SUM($D22:K22),$C22/2))</f>
        <v>0</v>
      </c>
      <c r="M22" s="417">
        <f>IF(L$7&lt;$B22,0,IF((SUM($D22:L22)+$C22/2)&gt;$C22,$C22-SUM($D22:L22),$C22/2))</f>
        <v>0</v>
      </c>
      <c r="N22" s="417">
        <f>IF(M$7&lt;$B22,0,IF((SUM($D22:M22)+$C22/2)&gt;$C22,$C22-SUM($D22:M22),$C22/2))</f>
        <v>0</v>
      </c>
      <c r="O22" s="417">
        <f>IF(N$7&lt;$B22,0,IF((SUM($D22:N22)+$C22/2)&gt;$C22,$C22-SUM($D22:N22),$C22/2))</f>
        <v>0</v>
      </c>
      <c r="P22" s="417">
        <f>IF(O$7&lt;$B22,0,IF((SUM($D22:O22)+$C22/2)&gt;$C22,$C22-SUM($D22:O22),$C22/2))</f>
        <v>0</v>
      </c>
      <c r="Q22" s="417">
        <f>IF(P$7&lt;$B22,0,IF((SUM($D22:P22)+$C22/2)&gt;$C22,$C22-SUM($D22:P22),$C22/2))</f>
        <v>0</v>
      </c>
      <c r="R22" s="417">
        <f>IF(Q$7&lt;$B22,0,IF((SUM($D22:Q22)+$C22/2)&gt;$C22,$C22-SUM($D22:Q22),$C22/2))</f>
        <v>0</v>
      </c>
      <c r="S22" s="417">
        <f>IF(R$7&lt;$B22,0,IF((SUM($D22:R22)+$C22/2)&gt;$C22,$C22-SUM($D22:R22),$C22/2))</f>
        <v>0</v>
      </c>
      <c r="T22" s="417">
        <f>IF(S$7&lt;$B22,0,IF((SUM($D22:S22)+$C22/2)&gt;$C22,$C22-SUM($D22:S22),$C22/2))</f>
        <v>0</v>
      </c>
      <c r="U22" s="417">
        <f>IF(T$7&lt;$B22,0,IF((SUM($D22:T22)+$C22/2)&gt;$C22,$C22-SUM($D22:T22),$C22/2))</f>
        <v>0</v>
      </c>
      <c r="V22" s="417">
        <f>IF(U$7&lt;$B22,0,IF((SUM($D22:U22)+$C22/2)&gt;$C22,$C22-SUM($D22:U22),$C22/2))</f>
        <v>0</v>
      </c>
      <c r="W22" s="417">
        <f>IF(V$7&lt;$B22,0,IF((SUM($D22:V22)+$C22/2)&gt;$C22,$C22-SUM($D22:V22),$C22/2))</f>
        <v>0</v>
      </c>
      <c r="X22" s="417">
        <f>IF(W$7&lt;$B22,0,IF((SUM($D22:W22)+$C22/2)&gt;$C22,$C22-SUM($D22:W22),$C22/2))</f>
        <v>0</v>
      </c>
      <c r="Y22" s="417">
        <f>IF(X$7&lt;$B22,0,IF((SUM($D22:X22)+$C22/2)&gt;$C22,$C22-SUM($D22:X22),$C22/2))</f>
        <v>0</v>
      </c>
      <c r="Z22" s="417">
        <f>IF(Y$7&lt;$B22,0,IF((SUM($D22:Y22)+$C22/2)&gt;$C22,$C22-SUM($D22:Y22),$C22/2))</f>
        <v>0</v>
      </c>
      <c r="AA22" s="417">
        <f>IF(Z$7&lt;$B22,0,IF((SUM($D22:Z22)+$C22/2)&gt;$C22,$C22-SUM($D22:Z22),$C22/2))</f>
        <v>0</v>
      </c>
      <c r="AB22" s="417">
        <f>IF(AA$7&lt;$B22,0,IF((SUM($D22:AA22)+$C22/2)&gt;$C22,$C22-SUM($D22:AA22),$C22/2))</f>
        <v>0</v>
      </c>
      <c r="AC22" s="417">
        <f>IF(AB$7&lt;$B22,0,IF((SUM($D22:AB22)+$C22/2)&gt;$C22,$C22-SUM($D22:AB22),$C22/2))</f>
        <v>0</v>
      </c>
      <c r="AD22" s="417">
        <f>IF(AC$7&lt;$B22,0,IF((SUM($D22:AC22)+$C22/2)&gt;$C22,$C22-SUM($D22:AC22),$C22/2))</f>
        <v>0</v>
      </c>
      <c r="AE22" s="417">
        <f>IF(AD$7&lt;$B22,0,IF((SUM($D22:AD22)+$C22/2)&gt;$C22,$C22-SUM($D22:AD22),$C22/2))</f>
        <v>0</v>
      </c>
      <c r="AF22" s="417">
        <f>IF(AE$7&lt;$B22,0,IF((SUM($D22:AE22)+$C22/2)&gt;$C22,$C22-SUM($D22:AE22),$C22/2))</f>
        <v>0</v>
      </c>
      <c r="AG22" s="417">
        <f>IF(AF$7&lt;$B22,0,IF((SUM($D22:AF22)+$C22/2)&gt;$C22,$C22-SUM($D22:AF22),$C22/2))</f>
        <v>0</v>
      </c>
    </row>
    <row r="23" spans="2:33" ht="13.15" customHeight="1" x14ac:dyDescent="0.2">
      <c r="B23" s="416">
        <v>16</v>
      </c>
      <c r="C23" s="417">
        <v>0</v>
      </c>
      <c r="D23" s="417">
        <f t="shared" si="0"/>
        <v>0</v>
      </c>
      <c r="E23" s="417">
        <f>IF(D$7&lt;$B23,0,IF((SUM($D23:D23)+$C23/2)&gt;$C23,$C23-SUM($D23:D23),$C23/2))</f>
        <v>0</v>
      </c>
      <c r="F23" s="417">
        <f>IF(E$7&lt;$B23,0,IF((SUM($D23:E23)+$C23/2)&gt;$C23,$C23-SUM($D23:E23),$C23/2))</f>
        <v>0</v>
      </c>
      <c r="G23" s="417">
        <f>IF(F$7&lt;$B23,0,IF((SUM($D23:F23)+$C23/2)&gt;$C23,$C23-SUM($D23:F23),$C23/2))</f>
        <v>0</v>
      </c>
      <c r="H23" s="417">
        <f>IF(G$7&lt;$B23,0,IF((SUM($D23:G23)+$C23/2)&gt;$C23,$C23-SUM($D23:G23),$C23/2))</f>
        <v>0</v>
      </c>
      <c r="I23" s="417">
        <f>IF(H$7&lt;$B23,0,IF((SUM($D23:H23)+$C23/2)&gt;$C23,$C23-SUM($D23:H23),$C23/2))</f>
        <v>0</v>
      </c>
      <c r="J23" s="417">
        <f>IF(I$7&lt;$B23,0,IF((SUM($D23:I23)+$C23/2)&gt;$C23,$C23-SUM($D23:I23),$C23/2))</f>
        <v>0</v>
      </c>
      <c r="K23" s="417">
        <f>IF(J$7&lt;$B23,0,IF((SUM($D23:J23)+$C23/2)&gt;$C23,$C23-SUM($D23:J23),$C23/2))</f>
        <v>0</v>
      </c>
      <c r="L23" s="417">
        <f>IF(K$7&lt;$B23,0,IF((SUM($D23:K23)+$C23/2)&gt;$C23,$C23-SUM($D23:K23),$C23/2))</f>
        <v>0</v>
      </c>
      <c r="M23" s="417">
        <f>IF(L$7&lt;$B23,0,IF((SUM($D23:L23)+$C23/2)&gt;$C23,$C23-SUM($D23:L23),$C23/2))</f>
        <v>0</v>
      </c>
      <c r="N23" s="417">
        <f>IF(M$7&lt;$B23,0,IF((SUM($D23:M23)+$C23/2)&gt;$C23,$C23-SUM($D23:M23),$C23/2))</f>
        <v>0</v>
      </c>
      <c r="O23" s="417">
        <f>IF(N$7&lt;$B23,0,IF((SUM($D23:N23)+$C23/2)&gt;$C23,$C23-SUM($D23:N23),$C23/2))</f>
        <v>0</v>
      </c>
      <c r="P23" s="417">
        <f>IF(O$7&lt;$B23,0,IF((SUM($D23:O23)+$C23/2)&gt;$C23,$C23-SUM($D23:O23),$C23/2))</f>
        <v>0</v>
      </c>
      <c r="Q23" s="417">
        <f>IF(P$7&lt;$B23,0,IF((SUM($D23:P23)+$C23/2)&gt;$C23,$C23-SUM($D23:P23),$C23/2))</f>
        <v>0</v>
      </c>
      <c r="R23" s="417">
        <f>IF(Q$7&lt;$B23,0,IF((SUM($D23:Q23)+$C23/2)&gt;$C23,$C23-SUM($D23:Q23),$C23/2))</f>
        <v>0</v>
      </c>
      <c r="S23" s="417">
        <f>IF(R$7&lt;$B23,0,IF((SUM($D23:R23)+$C23/2)&gt;$C23,$C23-SUM($D23:R23),$C23/2))</f>
        <v>0</v>
      </c>
      <c r="T23" s="417">
        <f>IF(S$7&lt;$B23,0,IF((SUM($D23:S23)+$C23/2)&gt;$C23,$C23-SUM($D23:S23),$C23/2))</f>
        <v>0</v>
      </c>
      <c r="U23" s="417">
        <f>IF(T$7&lt;$B23,0,IF((SUM($D23:T23)+$C23/2)&gt;$C23,$C23-SUM($D23:T23),$C23/2))</f>
        <v>0</v>
      </c>
      <c r="V23" s="417">
        <f>IF(U$7&lt;$B23,0,IF((SUM($D23:U23)+$C23/2)&gt;$C23,$C23-SUM($D23:U23),$C23/2))</f>
        <v>0</v>
      </c>
      <c r="W23" s="417">
        <f>IF(V$7&lt;$B23,0,IF((SUM($D23:V23)+$C23/2)&gt;$C23,$C23-SUM($D23:V23),$C23/2))</f>
        <v>0</v>
      </c>
      <c r="X23" s="417">
        <f>IF(W$7&lt;$B23,0,IF((SUM($D23:W23)+$C23/2)&gt;$C23,$C23-SUM($D23:W23),$C23/2))</f>
        <v>0</v>
      </c>
      <c r="Y23" s="417">
        <f>IF(X$7&lt;$B23,0,IF((SUM($D23:X23)+$C23/2)&gt;$C23,$C23-SUM($D23:X23),$C23/2))</f>
        <v>0</v>
      </c>
      <c r="Z23" s="417">
        <f>IF(Y$7&lt;$B23,0,IF((SUM($D23:Y23)+$C23/2)&gt;$C23,$C23-SUM($D23:Y23),$C23/2))</f>
        <v>0</v>
      </c>
      <c r="AA23" s="417">
        <f>IF(Z$7&lt;$B23,0,IF((SUM($D23:Z23)+$C23/2)&gt;$C23,$C23-SUM($D23:Z23),$C23/2))</f>
        <v>0</v>
      </c>
      <c r="AB23" s="417">
        <f>IF(AA$7&lt;$B23,0,IF((SUM($D23:AA23)+$C23/2)&gt;$C23,$C23-SUM($D23:AA23),$C23/2))</f>
        <v>0</v>
      </c>
      <c r="AC23" s="417">
        <f>IF(AB$7&lt;$B23,0,IF((SUM($D23:AB23)+$C23/2)&gt;$C23,$C23-SUM($D23:AB23),$C23/2))</f>
        <v>0</v>
      </c>
      <c r="AD23" s="417">
        <f>IF(AC$7&lt;$B23,0,IF((SUM($D23:AC23)+$C23/2)&gt;$C23,$C23-SUM($D23:AC23),$C23/2))</f>
        <v>0</v>
      </c>
      <c r="AE23" s="417">
        <f>IF(AD$7&lt;$B23,0,IF((SUM($D23:AD23)+$C23/2)&gt;$C23,$C23-SUM($D23:AD23),$C23/2))</f>
        <v>0</v>
      </c>
      <c r="AF23" s="417">
        <f>IF(AE$7&lt;$B23,0,IF((SUM($D23:AE23)+$C23/2)&gt;$C23,$C23-SUM($D23:AE23),$C23/2))</f>
        <v>0</v>
      </c>
      <c r="AG23" s="417">
        <f>IF(AF$7&lt;$B23,0,IF((SUM($D23:AF23)+$C23/2)&gt;$C23,$C23-SUM($D23:AF23),$C23/2))</f>
        <v>0</v>
      </c>
    </row>
    <row r="24" spans="2:33" ht="13.15" customHeight="1" x14ac:dyDescent="0.2">
      <c r="B24" s="416">
        <v>17</v>
      </c>
      <c r="C24" s="417">
        <v>0</v>
      </c>
      <c r="D24" s="417">
        <f t="shared" si="0"/>
        <v>0</v>
      </c>
      <c r="E24" s="417">
        <f>IF(D$7&lt;$B24,0,IF((SUM($D24:D24)+$C24/2)&gt;$C24,$C24-SUM($D24:D24),$C24/2))</f>
        <v>0</v>
      </c>
      <c r="F24" s="417">
        <f>IF(E$7&lt;$B24,0,IF((SUM($D24:E24)+$C24/2)&gt;$C24,$C24-SUM($D24:E24),$C24/2))</f>
        <v>0</v>
      </c>
      <c r="G24" s="417">
        <f>IF(F$7&lt;$B24,0,IF((SUM($D24:F24)+$C24/2)&gt;$C24,$C24-SUM($D24:F24),$C24/2))</f>
        <v>0</v>
      </c>
      <c r="H24" s="417">
        <f>IF(G$7&lt;$B24,0,IF((SUM($D24:G24)+$C24/2)&gt;$C24,$C24-SUM($D24:G24),$C24/2))</f>
        <v>0</v>
      </c>
      <c r="I24" s="417">
        <f>IF(H$7&lt;$B24,0,IF((SUM($D24:H24)+$C24/2)&gt;$C24,$C24-SUM($D24:H24),$C24/2))</f>
        <v>0</v>
      </c>
      <c r="J24" s="417">
        <f>IF(I$7&lt;$B24,0,IF((SUM($D24:I24)+$C24/2)&gt;$C24,$C24-SUM($D24:I24),$C24/2))</f>
        <v>0</v>
      </c>
      <c r="K24" s="417">
        <f>IF(J$7&lt;$B24,0,IF((SUM($D24:J24)+$C24/2)&gt;$C24,$C24-SUM($D24:J24),$C24/2))</f>
        <v>0</v>
      </c>
      <c r="L24" s="417">
        <f>IF(K$7&lt;$B24,0,IF((SUM($D24:K24)+$C24/2)&gt;$C24,$C24-SUM($D24:K24),$C24/2))</f>
        <v>0</v>
      </c>
      <c r="M24" s="417">
        <f>IF(L$7&lt;$B24,0,IF((SUM($D24:L24)+$C24/2)&gt;$C24,$C24-SUM($D24:L24),$C24/2))</f>
        <v>0</v>
      </c>
      <c r="N24" s="417">
        <f>IF(M$7&lt;$B24,0,IF((SUM($D24:M24)+$C24/2)&gt;$C24,$C24-SUM($D24:M24),$C24/2))</f>
        <v>0</v>
      </c>
      <c r="O24" s="417">
        <f>IF(N$7&lt;$B24,0,IF((SUM($D24:N24)+$C24/2)&gt;$C24,$C24-SUM($D24:N24),$C24/2))</f>
        <v>0</v>
      </c>
      <c r="P24" s="417">
        <f>IF(O$7&lt;$B24,0,IF((SUM($D24:O24)+$C24/2)&gt;$C24,$C24-SUM($D24:O24),$C24/2))</f>
        <v>0</v>
      </c>
      <c r="Q24" s="417">
        <f>IF(P$7&lt;$B24,0,IF((SUM($D24:P24)+$C24/2)&gt;$C24,$C24-SUM($D24:P24),$C24/2))</f>
        <v>0</v>
      </c>
      <c r="R24" s="417">
        <f>IF(Q$7&lt;$B24,0,IF((SUM($D24:Q24)+$C24/2)&gt;$C24,$C24-SUM($D24:Q24),$C24/2))</f>
        <v>0</v>
      </c>
      <c r="S24" s="417">
        <f>IF(R$7&lt;$B24,0,IF((SUM($D24:R24)+$C24/2)&gt;$C24,$C24-SUM($D24:R24),$C24/2))</f>
        <v>0</v>
      </c>
      <c r="T24" s="417">
        <f>IF(S$7&lt;$B24,0,IF((SUM($D24:S24)+$C24/2)&gt;$C24,$C24-SUM($D24:S24),$C24/2))</f>
        <v>0</v>
      </c>
      <c r="U24" s="417">
        <f>IF(T$7&lt;$B24,0,IF((SUM($D24:T24)+$C24/2)&gt;$C24,$C24-SUM($D24:T24),$C24/2))</f>
        <v>0</v>
      </c>
      <c r="V24" s="417">
        <f>IF(U$7&lt;$B24,0,IF((SUM($D24:U24)+$C24/2)&gt;$C24,$C24-SUM($D24:U24),$C24/2))</f>
        <v>0</v>
      </c>
      <c r="W24" s="417">
        <f>IF(V$7&lt;$B24,0,IF((SUM($D24:V24)+$C24/2)&gt;$C24,$C24-SUM($D24:V24),$C24/2))</f>
        <v>0</v>
      </c>
      <c r="X24" s="417">
        <f>IF(W$7&lt;$B24,0,IF((SUM($D24:W24)+$C24/2)&gt;$C24,$C24-SUM($D24:W24),$C24/2))</f>
        <v>0</v>
      </c>
      <c r="Y24" s="417">
        <f>IF(X$7&lt;$B24,0,IF((SUM($D24:X24)+$C24/2)&gt;$C24,$C24-SUM($D24:X24),$C24/2))</f>
        <v>0</v>
      </c>
      <c r="Z24" s="417">
        <f>IF(Y$7&lt;$B24,0,IF((SUM($D24:Y24)+$C24/2)&gt;$C24,$C24-SUM($D24:Y24),$C24/2))</f>
        <v>0</v>
      </c>
      <c r="AA24" s="417">
        <f>IF(Z$7&lt;$B24,0,IF((SUM($D24:Z24)+$C24/2)&gt;$C24,$C24-SUM($D24:Z24),$C24/2))</f>
        <v>0</v>
      </c>
      <c r="AB24" s="417">
        <f>IF(AA$7&lt;$B24,0,IF((SUM($D24:AA24)+$C24/2)&gt;$C24,$C24-SUM($D24:AA24),$C24/2))</f>
        <v>0</v>
      </c>
      <c r="AC24" s="417">
        <f>IF(AB$7&lt;$B24,0,IF((SUM($D24:AB24)+$C24/2)&gt;$C24,$C24-SUM($D24:AB24),$C24/2))</f>
        <v>0</v>
      </c>
      <c r="AD24" s="417">
        <f>IF(AC$7&lt;$B24,0,IF((SUM($D24:AC24)+$C24/2)&gt;$C24,$C24-SUM($D24:AC24),$C24/2))</f>
        <v>0</v>
      </c>
      <c r="AE24" s="417">
        <f>IF(AD$7&lt;$B24,0,IF((SUM($D24:AD24)+$C24/2)&gt;$C24,$C24-SUM($D24:AD24),$C24/2))</f>
        <v>0</v>
      </c>
      <c r="AF24" s="417">
        <f>IF(AE$7&lt;$B24,0,IF((SUM($D24:AE24)+$C24/2)&gt;$C24,$C24-SUM($D24:AE24),$C24/2))</f>
        <v>0</v>
      </c>
      <c r="AG24" s="417">
        <f>IF(AF$7&lt;$B24,0,IF((SUM($D24:AF24)+$C24/2)&gt;$C24,$C24-SUM($D24:AF24),$C24/2))</f>
        <v>0</v>
      </c>
    </row>
    <row r="25" spans="2:33" ht="13.15" customHeight="1" x14ac:dyDescent="0.2">
      <c r="B25" s="416">
        <v>18</v>
      </c>
      <c r="C25" s="417">
        <v>0</v>
      </c>
      <c r="D25" s="417">
        <f t="shared" si="0"/>
        <v>0</v>
      </c>
      <c r="E25" s="417">
        <f>IF(D$7&lt;$B25,0,IF((SUM($D25:D25)+$C25/2)&gt;$C25,$C25-SUM($D25:D25),$C25/2))</f>
        <v>0</v>
      </c>
      <c r="F25" s="417">
        <f>IF(E$7&lt;$B25,0,IF((SUM($D25:E25)+$C25/2)&gt;$C25,$C25-SUM($D25:E25),$C25/2))</f>
        <v>0</v>
      </c>
      <c r="G25" s="417">
        <f>IF(F$7&lt;$B25,0,IF((SUM($D25:F25)+$C25/2)&gt;$C25,$C25-SUM($D25:F25),$C25/2))</f>
        <v>0</v>
      </c>
      <c r="H25" s="417">
        <f>IF(G$7&lt;$B25,0,IF((SUM($D25:G25)+$C25/2)&gt;$C25,$C25-SUM($D25:G25),$C25/2))</f>
        <v>0</v>
      </c>
      <c r="I25" s="417">
        <f>IF(H$7&lt;$B25,0,IF((SUM($D25:H25)+$C25/2)&gt;$C25,$C25-SUM($D25:H25),$C25/2))</f>
        <v>0</v>
      </c>
      <c r="J25" s="417">
        <f>IF(I$7&lt;$B25,0,IF((SUM($D25:I25)+$C25/2)&gt;$C25,$C25-SUM($D25:I25),$C25/2))</f>
        <v>0</v>
      </c>
      <c r="K25" s="417">
        <f>IF(J$7&lt;$B25,0,IF((SUM($D25:J25)+$C25/2)&gt;$C25,$C25-SUM($D25:J25),$C25/2))</f>
        <v>0</v>
      </c>
      <c r="L25" s="417">
        <f>IF(K$7&lt;$B25,0,IF((SUM($D25:K25)+$C25/2)&gt;$C25,$C25-SUM($D25:K25),$C25/2))</f>
        <v>0</v>
      </c>
      <c r="M25" s="417">
        <f>IF(L$7&lt;$B25,0,IF((SUM($D25:L25)+$C25/2)&gt;$C25,$C25-SUM($D25:L25),$C25/2))</f>
        <v>0</v>
      </c>
      <c r="N25" s="417">
        <f>IF(M$7&lt;$B25,0,IF((SUM($D25:M25)+$C25/2)&gt;$C25,$C25-SUM($D25:M25),$C25/2))</f>
        <v>0</v>
      </c>
      <c r="O25" s="417">
        <f>IF(N$7&lt;$B25,0,IF((SUM($D25:N25)+$C25/2)&gt;$C25,$C25-SUM($D25:N25),$C25/2))</f>
        <v>0</v>
      </c>
      <c r="P25" s="417">
        <f>IF(O$7&lt;$B25,0,IF((SUM($D25:O25)+$C25/2)&gt;$C25,$C25-SUM($D25:O25),$C25/2))</f>
        <v>0</v>
      </c>
      <c r="Q25" s="417">
        <f>IF(P$7&lt;$B25,0,IF((SUM($D25:P25)+$C25/2)&gt;$C25,$C25-SUM($D25:P25),$C25/2))</f>
        <v>0</v>
      </c>
      <c r="R25" s="417">
        <f>IF(Q$7&lt;$B25,0,IF((SUM($D25:Q25)+$C25/2)&gt;$C25,$C25-SUM($D25:Q25),$C25/2))</f>
        <v>0</v>
      </c>
      <c r="S25" s="417">
        <f>IF(R$7&lt;$B25,0,IF((SUM($D25:R25)+$C25/2)&gt;$C25,$C25-SUM($D25:R25),$C25/2))</f>
        <v>0</v>
      </c>
      <c r="T25" s="417">
        <f>IF(S$7&lt;$B25,0,IF((SUM($D25:S25)+$C25/2)&gt;$C25,$C25-SUM($D25:S25),$C25/2))</f>
        <v>0</v>
      </c>
      <c r="U25" s="417">
        <f>IF(T$7&lt;$B25,0,IF((SUM($D25:T25)+$C25/2)&gt;$C25,$C25-SUM($D25:T25),$C25/2))</f>
        <v>0</v>
      </c>
      <c r="V25" s="417">
        <f>IF(U$7&lt;$B25,0,IF((SUM($D25:U25)+$C25/2)&gt;$C25,$C25-SUM($D25:U25),$C25/2))</f>
        <v>0</v>
      </c>
      <c r="W25" s="417">
        <f>IF(V$7&lt;$B25,0,IF((SUM($D25:V25)+$C25/2)&gt;$C25,$C25-SUM($D25:V25),$C25/2))</f>
        <v>0</v>
      </c>
      <c r="X25" s="417">
        <f>IF(W$7&lt;$B25,0,IF((SUM($D25:W25)+$C25/2)&gt;$C25,$C25-SUM($D25:W25),$C25/2))</f>
        <v>0</v>
      </c>
      <c r="Y25" s="417">
        <f>IF(X$7&lt;$B25,0,IF((SUM($D25:X25)+$C25/2)&gt;$C25,$C25-SUM($D25:X25),$C25/2))</f>
        <v>0</v>
      </c>
      <c r="Z25" s="417">
        <f>IF(Y$7&lt;$B25,0,IF((SUM($D25:Y25)+$C25/2)&gt;$C25,$C25-SUM($D25:Y25),$C25/2))</f>
        <v>0</v>
      </c>
      <c r="AA25" s="417">
        <f>IF(Z$7&lt;$B25,0,IF((SUM($D25:Z25)+$C25/2)&gt;$C25,$C25-SUM($D25:Z25),$C25/2))</f>
        <v>0</v>
      </c>
      <c r="AB25" s="417">
        <f>IF(AA$7&lt;$B25,0,IF((SUM($D25:AA25)+$C25/2)&gt;$C25,$C25-SUM($D25:AA25),$C25/2))</f>
        <v>0</v>
      </c>
      <c r="AC25" s="417">
        <f>IF(AB$7&lt;$B25,0,IF((SUM($D25:AB25)+$C25/2)&gt;$C25,$C25-SUM($D25:AB25),$C25/2))</f>
        <v>0</v>
      </c>
      <c r="AD25" s="417">
        <f>IF(AC$7&lt;$B25,0,IF((SUM($D25:AC25)+$C25/2)&gt;$C25,$C25-SUM($D25:AC25),$C25/2))</f>
        <v>0</v>
      </c>
      <c r="AE25" s="417">
        <f>IF(AD$7&lt;$B25,0,IF((SUM($D25:AD25)+$C25/2)&gt;$C25,$C25-SUM($D25:AD25),$C25/2))</f>
        <v>0</v>
      </c>
      <c r="AF25" s="417">
        <f>IF(AE$7&lt;$B25,0,IF((SUM($D25:AE25)+$C25/2)&gt;$C25,$C25-SUM($D25:AE25),$C25/2))</f>
        <v>0</v>
      </c>
      <c r="AG25" s="417">
        <f>IF(AF$7&lt;$B25,0,IF((SUM($D25:AF25)+$C25/2)&gt;$C25,$C25-SUM($D25:AF25),$C25/2))</f>
        <v>0</v>
      </c>
    </row>
    <row r="26" spans="2:33" ht="13.15" customHeight="1" x14ac:dyDescent="0.2">
      <c r="B26" s="416">
        <v>19</v>
      </c>
      <c r="C26" s="417">
        <v>0</v>
      </c>
      <c r="D26" s="417">
        <f t="shared" si="0"/>
        <v>0</v>
      </c>
      <c r="E26" s="417">
        <f>IF(D$7&lt;$B26,0,IF((SUM($D26:D26)+$C26/2)&gt;$C26,$C26-SUM($D26:D26),$C26/2))</f>
        <v>0</v>
      </c>
      <c r="F26" s="417">
        <f>IF(E$7&lt;$B26,0,IF((SUM($D26:E26)+$C26/2)&gt;$C26,$C26-SUM($D26:E26),$C26/2))</f>
        <v>0</v>
      </c>
      <c r="G26" s="417">
        <f>IF(F$7&lt;$B26,0,IF((SUM($D26:F26)+$C26/2)&gt;$C26,$C26-SUM($D26:F26),$C26/2))</f>
        <v>0</v>
      </c>
      <c r="H26" s="417">
        <f>IF(G$7&lt;$B26,0,IF((SUM($D26:G26)+$C26/2)&gt;$C26,$C26-SUM($D26:G26),$C26/2))</f>
        <v>0</v>
      </c>
      <c r="I26" s="417">
        <f>IF(H$7&lt;$B26,0,IF((SUM($D26:H26)+$C26/2)&gt;$C26,$C26-SUM($D26:H26),$C26/2))</f>
        <v>0</v>
      </c>
      <c r="J26" s="417">
        <f>IF(I$7&lt;$B26,0,IF((SUM($D26:I26)+$C26/2)&gt;$C26,$C26-SUM($D26:I26),$C26/2))</f>
        <v>0</v>
      </c>
      <c r="K26" s="417">
        <f>IF(J$7&lt;$B26,0,IF((SUM($D26:J26)+$C26/2)&gt;$C26,$C26-SUM($D26:J26),$C26/2))</f>
        <v>0</v>
      </c>
      <c r="L26" s="417">
        <f>IF(K$7&lt;$B26,0,IF((SUM($D26:K26)+$C26/2)&gt;$C26,$C26-SUM($D26:K26),$C26/2))</f>
        <v>0</v>
      </c>
      <c r="M26" s="417">
        <f>IF(L$7&lt;$B26,0,IF((SUM($D26:L26)+$C26/2)&gt;$C26,$C26-SUM($D26:L26),$C26/2))</f>
        <v>0</v>
      </c>
      <c r="N26" s="417">
        <f>IF(M$7&lt;$B26,0,IF((SUM($D26:M26)+$C26/2)&gt;$C26,$C26-SUM($D26:M26),$C26/2))</f>
        <v>0</v>
      </c>
      <c r="O26" s="417">
        <f>IF(N$7&lt;$B26,0,IF((SUM($D26:N26)+$C26/2)&gt;$C26,$C26-SUM($D26:N26),$C26/2))</f>
        <v>0</v>
      </c>
      <c r="P26" s="417">
        <f>IF(O$7&lt;$B26,0,IF((SUM($D26:O26)+$C26/2)&gt;$C26,$C26-SUM($D26:O26),$C26/2))</f>
        <v>0</v>
      </c>
      <c r="Q26" s="417">
        <f>IF(P$7&lt;$B26,0,IF((SUM($D26:P26)+$C26/2)&gt;$C26,$C26-SUM($D26:P26),$C26/2))</f>
        <v>0</v>
      </c>
      <c r="R26" s="417">
        <f>IF(Q$7&lt;$B26,0,IF((SUM($D26:Q26)+$C26/2)&gt;$C26,$C26-SUM($D26:Q26),$C26/2))</f>
        <v>0</v>
      </c>
      <c r="S26" s="417">
        <f>IF(R$7&lt;$B26,0,IF((SUM($D26:R26)+$C26/2)&gt;$C26,$C26-SUM($D26:R26),$C26/2))</f>
        <v>0</v>
      </c>
      <c r="T26" s="417">
        <f>IF(S$7&lt;$B26,0,IF((SUM($D26:S26)+$C26/2)&gt;$C26,$C26-SUM($D26:S26),$C26/2))</f>
        <v>0</v>
      </c>
      <c r="U26" s="417">
        <f>IF(T$7&lt;$B26,0,IF((SUM($D26:T26)+$C26/2)&gt;$C26,$C26-SUM($D26:T26),$C26/2))</f>
        <v>0</v>
      </c>
      <c r="V26" s="417">
        <f>IF(U$7&lt;$B26,0,IF((SUM($D26:U26)+$C26/2)&gt;$C26,$C26-SUM($D26:U26),$C26/2))</f>
        <v>0</v>
      </c>
      <c r="W26" s="417">
        <f>IF(V$7&lt;$B26,0,IF((SUM($D26:V26)+$C26/2)&gt;$C26,$C26-SUM($D26:V26),$C26/2))</f>
        <v>0</v>
      </c>
      <c r="X26" s="417">
        <f>IF(W$7&lt;$B26,0,IF((SUM($D26:W26)+$C26/2)&gt;$C26,$C26-SUM($D26:W26),$C26/2))</f>
        <v>0</v>
      </c>
      <c r="Y26" s="417">
        <f>IF(X$7&lt;$B26,0,IF((SUM($D26:X26)+$C26/2)&gt;$C26,$C26-SUM($D26:X26),$C26/2))</f>
        <v>0</v>
      </c>
      <c r="Z26" s="417">
        <f>IF(Y$7&lt;$B26,0,IF((SUM($D26:Y26)+$C26/2)&gt;$C26,$C26-SUM($D26:Y26),$C26/2))</f>
        <v>0</v>
      </c>
      <c r="AA26" s="417">
        <f>IF(Z$7&lt;$B26,0,IF((SUM($D26:Z26)+$C26/2)&gt;$C26,$C26-SUM($D26:Z26),$C26/2))</f>
        <v>0</v>
      </c>
      <c r="AB26" s="417">
        <f>IF(AA$7&lt;$B26,0,IF((SUM($D26:AA26)+$C26/2)&gt;$C26,$C26-SUM($D26:AA26),$C26/2))</f>
        <v>0</v>
      </c>
      <c r="AC26" s="417">
        <f>IF(AB$7&lt;$B26,0,IF((SUM($D26:AB26)+$C26/2)&gt;$C26,$C26-SUM($D26:AB26),$C26/2))</f>
        <v>0</v>
      </c>
      <c r="AD26" s="417">
        <f>IF(AC$7&lt;$B26,0,IF((SUM($D26:AC26)+$C26/2)&gt;$C26,$C26-SUM($D26:AC26),$C26/2))</f>
        <v>0</v>
      </c>
      <c r="AE26" s="417">
        <f>IF(AD$7&lt;$B26,0,IF((SUM($D26:AD26)+$C26/2)&gt;$C26,$C26-SUM($D26:AD26),$C26/2))</f>
        <v>0</v>
      </c>
      <c r="AF26" s="417">
        <f>IF(AE$7&lt;$B26,0,IF((SUM($D26:AE26)+$C26/2)&gt;$C26,$C26-SUM($D26:AE26),$C26/2))</f>
        <v>0</v>
      </c>
      <c r="AG26" s="417">
        <f>IF(AF$7&lt;$B26,0,IF((SUM($D26:AF26)+$C26/2)&gt;$C26,$C26-SUM($D26:AF26),$C26/2))</f>
        <v>0</v>
      </c>
    </row>
    <row r="27" spans="2:33" ht="13.15" customHeight="1" x14ac:dyDescent="0.2">
      <c r="B27" s="416">
        <v>20</v>
      </c>
      <c r="C27" s="417">
        <v>0</v>
      </c>
      <c r="D27" s="417">
        <f t="shared" si="0"/>
        <v>0</v>
      </c>
      <c r="E27" s="417">
        <f>IF(D$7&lt;$B27,0,IF((SUM($D27:D27)+$C27/2)&gt;$C27,$C27-SUM($D27:D27),$C27/2))</f>
        <v>0</v>
      </c>
      <c r="F27" s="417">
        <f>IF(E$7&lt;$B27,0,IF((SUM($D27:E27)+$C27/2)&gt;$C27,$C27-SUM($D27:E27),$C27/2))</f>
        <v>0</v>
      </c>
      <c r="G27" s="417">
        <f>IF(F$7&lt;$B27,0,IF((SUM($D27:F27)+$C27/2)&gt;$C27,$C27-SUM($D27:F27),$C27/2))</f>
        <v>0</v>
      </c>
      <c r="H27" s="417">
        <f>IF(G$7&lt;$B27,0,IF((SUM($D27:G27)+$C27/2)&gt;$C27,$C27-SUM($D27:G27),$C27/2))</f>
        <v>0</v>
      </c>
      <c r="I27" s="417">
        <f>IF(H$7&lt;$B27,0,IF((SUM($D27:H27)+$C27/2)&gt;$C27,$C27-SUM($D27:H27),$C27/2))</f>
        <v>0</v>
      </c>
      <c r="J27" s="417">
        <f>IF(I$7&lt;$B27,0,IF((SUM($D27:I27)+$C27/2)&gt;$C27,$C27-SUM($D27:I27),$C27/2))</f>
        <v>0</v>
      </c>
      <c r="K27" s="417">
        <f>IF(J$7&lt;$B27,0,IF((SUM($D27:J27)+$C27/2)&gt;$C27,$C27-SUM($D27:J27),$C27/2))</f>
        <v>0</v>
      </c>
      <c r="L27" s="417">
        <f>IF(K$7&lt;$B27,0,IF((SUM($D27:K27)+$C27/2)&gt;$C27,$C27-SUM($D27:K27),$C27/2))</f>
        <v>0</v>
      </c>
      <c r="M27" s="417">
        <f>IF(L$7&lt;$B27,0,IF((SUM($D27:L27)+$C27/2)&gt;$C27,$C27-SUM($D27:L27),$C27/2))</f>
        <v>0</v>
      </c>
      <c r="N27" s="417">
        <f>IF(M$7&lt;$B27,0,IF((SUM($D27:M27)+$C27/2)&gt;$C27,$C27-SUM($D27:M27),$C27/2))</f>
        <v>0</v>
      </c>
      <c r="O27" s="417">
        <f>IF(N$7&lt;$B27,0,IF((SUM($D27:N27)+$C27/2)&gt;$C27,$C27-SUM($D27:N27),$C27/2))</f>
        <v>0</v>
      </c>
      <c r="P27" s="417">
        <f>IF(O$7&lt;$B27,0,IF((SUM($D27:O27)+$C27/2)&gt;$C27,$C27-SUM($D27:O27),$C27/2))</f>
        <v>0</v>
      </c>
      <c r="Q27" s="417">
        <f>IF(P$7&lt;$B27,0,IF((SUM($D27:P27)+$C27/2)&gt;$C27,$C27-SUM($D27:P27),$C27/2))</f>
        <v>0</v>
      </c>
      <c r="R27" s="417">
        <f>IF(Q$7&lt;$B27,0,IF((SUM($D27:Q27)+$C27/2)&gt;$C27,$C27-SUM($D27:Q27),$C27/2))</f>
        <v>0</v>
      </c>
      <c r="S27" s="417">
        <f>IF(R$7&lt;$B27,0,IF((SUM($D27:R27)+$C27/2)&gt;$C27,$C27-SUM($D27:R27),$C27/2))</f>
        <v>0</v>
      </c>
      <c r="T27" s="417">
        <f>IF(S$7&lt;$B27,0,IF((SUM($D27:S27)+$C27/2)&gt;$C27,$C27-SUM($D27:S27),$C27/2))</f>
        <v>0</v>
      </c>
      <c r="U27" s="417">
        <f>IF(T$7&lt;$B27,0,IF((SUM($D27:T27)+$C27/2)&gt;$C27,$C27-SUM($D27:T27),$C27/2))</f>
        <v>0</v>
      </c>
      <c r="V27" s="417">
        <f>IF(U$7&lt;$B27,0,IF((SUM($D27:U27)+$C27/2)&gt;$C27,$C27-SUM($D27:U27),$C27/2))</f>
        <v>0</v>
      </c>
      <c r="W27" s="417">
        <f>IF(V$7&lt;$B27,0,IF((SUM($D27:V27)+$C27/2)&gt;$C27,$C27-SUM($D27:V27),$C27/2))</f>
        <v>0</v>
      </c>
      <c r="X27" s="417">
        <f>IF(W$7&lt;$B27,0,IF((SUM($D27:W27)+$C27/2)&gt;$C27,$C27-SUM($D27:W27),$C27/2))</f>
        <v>0</v>
      </c>
      <c r="Y27" s="417">
        <f>IF(X$7&lt;$B27,0,IF((SUM($D27:X27)+$C27/2)&gt;$C27,$C27-SUM($D27:X27),$C27/2))</f>
        <v>0</v>
      </c>
      <c r="Z27" s="417">
        <f>IF(Y$7&lt;$B27,0,IF((SUM($D27:Y27)+$C27/2)&gt;$C27,$C27-SUM($D27:Y27),$C27/2))</f>
        <v>0</v>
      </c>
      <c r="AA27" s="417">
        <f>IF(Z$7&lt;$B27,0,IF((SUM($D27:Z27)+$C27/2)&gt;$C27,$C27-SUM($D27:Z27),$C27/2))</f>
        <v>0</v>
      </c>
      <c r="AB27" s="417">
        <f>IF(AA$7&lt;$B27,0,IF((SUM($D27:AA27)+$C27/2)&gt;$C27,$C27-SUM($D27:AA27),$C27/2))</f>
        <v>0</v>
      </c>
      <c r="AC27" s="417">
        <f>IF(AB$7&lt;$B27,0,IF((SUM($D27:AB27)+$C27/2)&gt;$C27,$C27-SUM($D27:AB27),$C27/2))</f>
        <v>0</v>
      </c>
      <c r="AD27" s="417">
        <f>IF(AC$7&lt;$B27,0,IF((SUM($D27:AC27)+$C27/2)&gt;$C27,$C27-SUM($D27:AC27),$C27/2))</f>
        <v>0</v>
      </c>
      <c r="AE27" s="417">
        <f>IF(AD$7&lt;$B27,0,IF((SUM($D27:AD27)+$C27/2)&gt;$C27,$C27-SUM($D27:AD27),$C27/2))</f>
        <v>0</v>
      </c>
      <c r="AF27" s="417">
        <f>IF(AE$7&lt;$B27,0,IF((SUM($D27:AE27)+$C27/2)&gt;$C27,$C27-SUM($D27:AE27),$C27/2))</f>
        <v>0</v>
      </c>
      <c r="AG27" s="417">
        <f>IF(AF$7&lt;$B27,0,IF((SUM($D27:AF27)+$C27/2)&gt;$C27,$C27-SUM($D27:AF27),$C27/2))</f>
        <v>0</v>
      </c>
    </row>
    <row r="28" spans="2:33" ht="13.15" customHeight="1" x14ac:dyDescent="0.2">
      <c r="B28" s="416">
        <v>21</v>
      </c>
      <c r="C28" s="417">
        <v>70998.62586</v>
      </c>
      <c r="D28" s="417">
        <f t="shared" si="0"/>
        <v>0</v>
      </c>
      <c r="E28" s="417">
        <f>IF(D$7&lt;$B28,0,IF((SUM($D28:D28)+$C28/2)&gt;$C28,$C28-SUM($D28:D28),$C28/2))</f>
        <v>0</v>
      </c>
      <c r="F28" s="417">
        <f>IF(E$7&lt;$B28,0,IF((SUM($D28:E28)+$C28/2)&gt;$C28,$C28-SUM($D28:E28),$C28/2))</f>
        <v>0</v>
      </c>
      <c r="G28" s="417">
        <f>IF(F$7&lt;$B28,0,IF((SUM($D28:F28)+$C28/2)&gt;$C28,$C28-SUM($D28:F28),$C28/2))</f>
        <v>0</v>
      </c>
      <c r="H28" s="417">
        <f>IF(G$7&lt;$B28,0,IF((SUM($D28:G28)+$C28/2)&gt;$C28,$C28-SUM($D28:G28),$C28/2))</f>
        <v>0</v>
      </c>
      <c r="I28" s="417">
        <f>IF(H$7&lt;$B28,0,IF((SUM($D28:H28)+$C28/2)&gt;$C28,$C28-SUM($D28:H28),$C28/2))</f>
        <v>0</v>
      </c>
      <c r="J28" s="417">
        <f>IF(I$7&lt;$B28,0,IF((SUM($D28:I28)+$C28/2)&gt;$C28,$C28-SUM($D28:I28),$C28/2))</f>
        <v>0</v>
      </c>
      <c r="K28" s="417">
        <f>IF(J$7&lt;$B28,0,IF((SUM($D28:J28)+$C28/2)&gt;$C28,$C28-SUM($D28:J28),$C28/2))</f>
        <v>0</v>
      </c>
      <c r="L28" s="417">
        <f>IF(K$7&lt;$B28,0,IF((SUM($D28:K28)+$C28/2)&gt;$C28,$C28-SUM($D28:K28),$C28/2))</f>
        <v>0</v>
      </c>
      <c r="M28" s="417">
        <f>IF(L$7&lt;$B28,0,IF((SUM($D28:L28)+$C28/2)&gt;$C28,$C28-SUM($D28:L28),$C28/2))</f>
        <v>0</v>
      </c>
      <c r="N28" s="417">
        <f>IF(M$7&lt;$B28,0,IF((SUM($D28:M28)+$C28/2)&gt;$C28,$C28-SUM($D28:M28),$C28/2))</f>
        <v>0</v>
      </c>
      <c r="O28" s="417">
        <f>IF(N$7&lt;$B28,0,IF((SUM($D28:N28)+$C28/2)&gt;$C28,$C28-SUM($D28:N28),$C28/2))</f>
        <v>0</v>
      </c>
      <c r="P28" s="417">
        <f>IF(O$7&lt;$B28,0,IF((SUM($D28:O28)+$C28/2)&gt;$C28,$C28-SUM($D28:O28),$C28/2))</f>
        <v>0</v>
      </c>
      <c r="Q28" s="417">
        <f>IF(P$7&lt;$B28,0,IF((SUM($D28:P28)+$C28/2)&gt;$C28,$C28-SUM($D28:P28),$C28/2))</f>
        <v>0</v>
      </c>
      <c r="R28" s="417">
        <f>IF(Q$7&lt;$B28,0,IF((SUM($D28:Q28)+$C28/2)&gt;$C28,$C28-SUM($D28:Q28),$C28/2))</f>
        <v>0</v>
      </c>
      <c r="S28" s="417">
        <f>IF(R$7&lt;$B28,0,IF((SUM($D28:R28)+$C28/2)&gt;$C28,$C28-SUM($D28:R28),$C28/2))</f>
        <v>0</v>
      </c>
      <c r="T28" s="417">
        <f>IF(S$7&lt;$B28,0,IF((SUM($D28:S28)+$C28/2)&gt;$C28,$C28-SUM($D28:S28),$C28/2))</f>
        <v>0</v>
      </c>
      <c r="U28" s="417">
        <f>IF(T$7&lt;$B28,0,IF((SUM($D28:T28)+$C28/2)&gt;$C28,$C28-SUM($D28:T28),$C28/2))</f>
        <v>0</v>
      </c>
      <c r="V28" s="417">
        <f>IF(U$7&lt;$B28,0,IF((SUM($D28:U28)+$C28/2)&gt;$C28,$C28-SUM($D28:U28),$C28/2))</f>
        <v>0</v>
      </c>
      <c r="W28" s="417">
        <f>IF(V$7&lt;$B28,0,IF((SUM($D28:V28)+$C28/2)&gt;$C28,$C28-SUM($D28:V28),$C28/2))</f>
        <v>0</v>
      </c>
      <c r="X28" s="417">
        <f>IF(W$7&lt;$B28,0,IF((SUM($D28:W28)+$C28/2)&gt;$C28,$C28-SUM($D28:W28),$C28/2))</f>
        <v>0</v>
      </c>
      <c r="Y28" s="417">
        <f>IF(X$7&lt;$B28,0,IF((SUM($D28:X28)+$C28/2)&gt;$C28,$C28-SUM($D28:X28),$C28/2))</f>
        <v>35499.31293</v>
      </c>
      <c r="Z28" s="417">
        <f>IF(Y$7&lt;$B28,0,IF((SUM($D28:Y28)+$C28/2)&gt;$C28,$C28-SUM($D28:Y28),$C28/2))</f>
        <v>35499.31293</v>
      </c>
      <c r="AA28" s="417">
        <f>IF(Z$7&lt;$B28,0,IF((SUM($D28:Z28)+$C28/2)&gt;$C28,$C28-SUM($D28:Z28),$C28/2))</f>
        <v>0</v>
      </c>
      <c r="AB28" s="417">
        <f>IF(AA$7&lt;$B28,0,IF((SUM($D28:AA28)+$C28/2)&gt;$C28,$C28-SUM($D28:AA28),$C28/2))</f>
        <v>0</v>
      </c>
      <c r="AC28" s="417">
        <f>IF(AB$7&lt;$B28,0,IF((SUM($D28:AB28)+$C28/2)&gt;$C28,$C28-SUM($D28:AB28),$C28/2))</f>
        <v>0</v>
      </c>
      <c r="AD28" s="417">
        <f>IF(AC$7&lt;$B28,0,IF((SUM($D28:AC28)+$C28/2)&gt;$C28,$C28-SUM($D28:AC28),$C28/2))</f>
        <v>0</v>
      </c>
      <c r="AE28" s="417">
        <f>IF(AD$7&lt;$B28,0,IF((SUM($D28:AD28)+$C28/2)&gt;$C28,$C28-SUM($D28:AD28),$C28/2))</f>
        <v>0</v>
      </c>
      <c r="AF28" s="417">
        <f>IF(AE$7&lt;$B28,0,IF((SUM($D28:AE28)+$C28/2)&gt;$C28,$C28-SUM($D28:AE28),$C28/2))</f>
        <v>0</v>
      </c>
      <c r="AG28" s="417">
        <f>IF(AF$7&lt;$B28,0,IF((SUM($D28:AF28)+$C28/2)&gt;$C28,$C28-SUM($D28:AF28),$C28/2))</f>
        <v>0</v>
      </c>
    </row>
    <row r="29" spans="2:33" ht="13.15" customHeight="1" x14ac:dyDescent="0.2">
      <c r="B29" s="416">
        <v>22</v>
      </c>
      <c r="C29" s="417">
        <v>0</v>
      </c>
      <c r="D29" s="417">
        <f t="shared" si="0"/>
        <v>0</v>
      </c>
      <c r="E29" s="417">
        <f>IF(D$7&lt;$B29,0,IF((SUM($D29:D29)+$C29/2)&gt;$C29,$C29-SUM($D29:D29),$C29/2))</f>
        <v>0</v>
      </c>
      <c r="F29" s="417">
        <f>IF(E$7&lt;$B29,0,IF((SUM($D29:E29)+$C29/2)&gt;$C29,$C29-SUM($D29:E29),$C29/2))</f>
        <v>0</v>
      </c>
      <c r="G29" s="417">
        <f>IF(F$7&lt;$B29,0,IF((SUM($D29:F29)+$C29/2)&gt;$C29,$C29-SUM($D29:F29),$C29/2))</f>
        <v>0</v>
      </c>
      <c r="H29" s="417">
        <f>IF(G$7&lt;$B29,0,IF((SUM($D29:G29)+$C29/2)&gt;$C29,$C29-SUM($D29:G29),$C29/2))</f>
        <v>0</v>
      </c>
      <c r="I29" s="417">
        <f>IF(H$7&lt;$B29,0,IF((SUM($D29:H29)+$C29/2)&gt;$C29,$C29-SUM($D29:H29),$C29/2))</f>
        <v>0</v>
      </c>
      <c r="J29" s="417">
        <f>IF(I$7&lt;$B29,0,IF((SUM($D29:I29)+$C29/2)&gt;$C29,$C29-SUM($D29:I29),$C29/2))</f>
        <v>0</v>
      </c>
      <c r="K29" s="417">
        <f>IF(J$7&lt;$B29,0,IF((SUM($D29:J29)+$C29/2)&gt;$C29,$C29-SUM($D29:J29),$C29/2))</f>
        <v>0</v>
      </c>
      <c r="L29" s="417">
        <f>IF(K$7&lt;$B29,0,IF((SUM($D29:K29)+$C29/2)&gt;$C29,$C29-SUM($D29:K29),$C29/2))</f>
        <v>0</v>
      </c>
      <c r="M29" s="417">
        <f>IF(L$7&lt;$B29,0,IF((SUM($D29:L29)+$C29/2)&gt;$C29,$C29-SUM($D29:L29),$C29/2))</f>
        <v>0</v>
      </c>
      <c r="N29" s="417">
        <f>IF(M$7&lt;$B29,0,IF((SUM($D29:M29)+$C29/2)&gt;$C29,$C29-SUM($D29:M29),$C29/2))</f>
        <v>0</v>
      </c>
      <c r="O29" s="417">
        <f>IF(N$7&lt;$B29,0,IF((SUM($D29:N29)+$C29/2)&gt;$C29,$C29-SUM($D29:N29),$C29/2))</f>
        <v>0</v>
      </c>
      <c r="P29" s="417">
        <f>IF(O$7&lt;$B29,0,IF((SUM($D29:O29)+$C29/2)&gt;$C29,$C29-SUM($D29:O29),$C29/2))</f>
        <v>0</v>
      </c>
      <c r="Q29" s="417">
        <f>IF(P$7&lt;$B29,0,IF((SUM($D29:P29)+$C29/2)&gt;$C29,$C29-SUM($D29:P29),$C29/2))</f>
        <v>0</v>
      </c>
      <c r="R29" s="417">
        <f>IF(Q$7&lt;$B29,0,IF((SUM($D29:Q29)+$C29/2)&gt;$C29,$C29-SUM($D29:Q29),$C29/2))</f>
        <v>0</v>
      </c>
      <c r="S29" s="417">
        <f>IF(R$7&lt;$B29,0,IF((SUM($D29:R29)+$C29/2)&gt;$C29,$C29-SUM($D29:R29),$C29/2))</f>
        <v>0</v>
      </c>
      <c r="T29" s="417">
        <f>IF(S$7&lt;$B29,0,IF((SUM($D29:S29)+$C29/2)&gt;$C29,$C29-SUM($D29:S29),$C29/2))</f>
        <v>0</v>
      </c>
      <c r="U29" s="417">
        <f>IF(T$7&lt;$B29,0,IF((SUM($D29:T29)+$C29/2)&gt;$C29,$C29-SUM($D29:T29),$C29/2))</f>
        <v>0</v>
      </c>
      <c r="V29" s="417">
        <f>IF(U$7&lt;$B29,0,IF((SUM($D29:U29)+$C29/2)&gt;$C29,$C29-SUM($D29:U29),$C29/2))</f>
        <v>0</v>
      </c>
      <c r="W29" s="417">
        <f>IF(V$7&lt;$B29,0,IF((SUM($D29:V29)+$C29/2)&gt;$C29,$C29-SUM($D29:V29),$C29/2))</f>
        <v>0</v>
      </c>
      <c r="X29" s="417">
        <f>IF(W$7&lt;$B29,0,IF((SUM($D29:W29)+$C29/2)&gt;$C29,$C29-SUM($D29:W29),$C29/2))</f>
        <v>0</v>
      </c>
      <c r="Y29" s="417">
        <f>IF(X$7&lt;$B29,0,IF((SUM($D29:X29)+$C29/2)&gt;$C29,$C29-SUM($D29:X29),$C29/2))</f>
        <v>0</v>
      </c>
      <c r="Z29" s="417">
        <f>IF(Y$7&lt;$B29,0,IF((SUM($D29:Y29)+$C29/2)&gt;$C29,$C29-SUM($D29:Y29),$C29/2))</f>
        <v>0</v>
      </c>
      <c r="AA29" s="417">
        <f>IF(Z$7&lt;$B29,0,IF((SUM($D29:Z29)+$C29/2)&gt;$C29,$C29-SUM($D29:Z29),$C29/2))</f>
        <v>0</v>
      </c>
      <c r="AB29" s="417">
        <f>IF(AA$7&lt;$B29,0,IF((SUM($D29:AA29)+$C29/2)&gt;$C29,$C29-SUM($D29:AA29),$C29/2))</f>
        <v>0</v>
      </c>
      <c r="AC29" s="417">
        <f>IF(AB$7&lt;$B29,0,IF((SUM($D29:AB29)+$C29/2)&gt;$C29,$C29-SUM($D29:AB29),$C29/2))</f>
        <v>0</v>
      </c>
      <c r="AD29" s="417">
        <f>IF(AC$7&lt;$B29,0,IF((SUM($D29:AC29)+$C29/2)&gt;$C29,$C29-SUM($D29:AC29),$C29/2))</f>
        <v>0</v>
      </c>
      <c r="AE29" s="417">
        <f>IF(AD$7&lt;$B29,0,IF((SUM($D29:AD29)+$C29/2)&gt;$C29,$C29-SUM($D29:AD29),$C29/2))</f>
        <v>0</v>
      </c>
      <c r="AF29" s="417">
        <f>IF(AE$7&lt;$B29,0,IF((SUM($D29:AE29)+$C29/2)&gt;$C29,$C29-SUM($D29:AE29),$C29/2))</f>
        <v>0</v>
      </c>
      <c r="AG29" s="417">
        <f>IF(AF$7&lt;$B29,0,IF((SUM($D29:AF29)+$C29/2)&gt;$C29,$C29-SUM($D29:AF29),$C29/2))</f>
        <v>0</v>
      </c>
    </row>
    <row r="30" spans="2:33" ht="13.15" customHeight="1" x14ac:dyDescent="0.2">
      <c r="B30" s="416">
        <v>23</v>
      </c>
      <c r="C30" s="417">
        <v>0</v>
      </c>
      <c r="D30" s="417">
        <f t="shared" si="0"/>
        <v>0</v>
      </c>
      <c r="E30" s="417">
        <f>IF(D$7&lt;$B30,0,IF((SUM($D30:D30)+$C30/2)&gt;$C30,$C30-SUM($D30:D30),$C30/2))</f>
        <v>0</v>
      </c>
      <c r="F30" s="417">
        <f>IF(E$7&lt;$B30,0,IF((SUM($D30:E30)+$C30/2)&gt;$C30,$C30-SUM($D30:E30),$C30/2))</f>
        <v>0</v>
      </c>
      <c r="G30" s="417">
        <f>IF(F$7&lt;$B30,0,IF((SUM($D30:F30)+$C30/2)&gt;$C30,$C30-SUM($D30:F30),$C30/2))</f>
        <v>0</v>
      </c>
      <c r="H30" s="417">
        <f>IF(G$7&lt;$B30,0,IF((SUM($D30:G30)+$C30/2)&gt;$C30,$C30-SUM($D30:G30),$C30/2))</f>
        <v>0</v>
      </c>
      <c r="I30" s="417">
        <f>IF(H$7&lt;$B30,0,IF((SUM($D30:H30)+$C30/2)&gt;$C30,$C30-SUM($D30:H30),$C30/2))</f>
        <v>0</v>
      </c>
      <c r="J30" s="417">
        <f>IF(I$7&lt;$B30,0,IF((SUM($D30:I30)+$C30/2)&gt;$C30,$C30-SUM($D30:I30),$C30/2))</f>
        <v>0</v>
      </c>
      <c r="K30" s="417">
        <f>IF(J$7&lt;$B30,0,IF((SUM($D30:J30)+$C30/2)&gt;$C30,$C30-SUM($D30:J30),$C30/2))</f>
        <v>0</v>
      </c>
      <c r="L30" s="417">
        <f>IF(K$7&lt;$B30,0,IF((SUM($D30:K30)+$C30/2)&gt;$C30,$C30-SUM($D30:K30),$C30/2))</f>
        <v>0</v>
      </c>
      <c r="M30" s="417">
        <f>IF(L$7&lt;$B30,0,IF((SUM($D30:L30)+$C30/2)&gt;$C30,$C30-SUM($D30:L30),$C30/2))</f>
        <v>0</v>
      </c>
      <c r="N30" s="417">
        <f>IF(M$7&lt;$B30,0,IF((SUM($D30:M30)+$C30/2)&gt;$C30,$C30-SUM($D30:M30),$C30/2))</f>
        <v>0</v>
      </c>
      <c r="O30" s="417">
        <f>IF(N$7&lt;$B30,0,IF((SUM($D30:N30)+$C30/2)&gt;$C30,$C30-SUM($D30:N30),$C30/2))</f>
        <v>0</v>
      </c>
      <c r="P30" s="417">
        <f>IF(O$7&lt;$B30,0,IF((SUM($D30:O30)+$C30/2)&gt;$C30,$C30-SUM($D30:O30),$C30/2))</f>
        <v>0</v>
      </c>
      <c r="Q30" s="417">
        <f>IF(P$7&lt;$B30,0,IF((SUM($D30:P30)+$C30/2)&gt;$C30,$C30-SUM($D30:P30),$C30/2))</f>
        <v>0</v>
      </c>
      <c r="R30" s="417">
        <f>IF(Q$7&lt;$B30,0,IF((SUM($D30:Q30)+$C30/2)&gt;$C30,$C30-SUM($D30:Q30),$C30/2))</f>
        <v>0</v>
      </c>
      <c r="S30" s="417">
        <f>IF(R$7&lt;$B30,0,IF((SUM($D30:R30)+$C30/2)&gt;$C30,$C30-SUM($D30:R30),$C30/2))</f>
        <v>0</v>
      </c>
      <c r="T30" s="417">
        <f>IF(S$7&lt;$B30,0,IF((SUM($D30:S30)+$C30/2)&gt;$C30,$C30-SUM($D30:S30),$C30/2))</f>
        <v>0</v>
      </c>
      <c r="U30" s="417">
        <f>IF(T$7&lt;$B30,0,IF((SUM($D30:T30)+$C30/2)&gt;$C30,$C30-SUM($D30:T30),$C30/2))</f>
        <v>0</v>
      </c>
      <c r="V30" s="417">
        <f>IF(U$7&lt;$B30,0,IF((SUM($D30:U30)+$C30/2)&gt;$C30,$C30-SUM($D30:U30),$C30/2))</f>
        <v>0</v>
      </c>
      <c r="W30" s="417">
        <f>IF(V$7&lt;$B30,0,IF((SUM($D30:V30)+$C30/2)&gt;$C30,$C30-SUM($D30:V30),$C30/2))</f>
        <v>0</v>
      </c>
      <c r="X30" s="417">
        <f>IF(W$7&lt;$B30,0,IF((SUM($D30:W30)+$C30/2)&gt;$C30,$C30-SUM($D30:W30),$C30/2))</f>
        <v>0</v>
      </c>
      <c r="Y30" s="417">
        <f>IF(X$7&lt;$B30,0,IF((SUM($D30:X30)+$C30/2)&gt;$C30,$C30-SUM($D30:X30),$C30/2))</f>
        <v>0</v>
      </c>
      <c r="Z30" s="417">
        <f>IF(Y$7&lt;$B30,0,IF((SUM($D30:Y30)+$C30/2)&gt;$C30,$C30-SUM($D30:Y30),$C30/2))</f>
        <v>0</v>
      </c>
      <c r="AA30" s="417">
        <f>IF(Z$7&lt;$B30,0,IF((SUM($D30:Z30)+$C30/2)&gt;$C30,$C30-SUM($D30:Z30),$C30/2))</f>
        <v>0</v>
      </c>
      <c r="AB30" s="417">
        <f>IF(AA$7&lt;$B30,0,IF((SUM($D30:AA30)+$C30/2)&gt;$C30,$C30-SUM($D30:AA30),$C30/2))</f>
        <v>0</v>
      </c>
      <c r="AC30" s="417">
        <f>IF(AB$7&lt;$B30,0,IF((SUM($D30:AB30)+$C30/2)&gt;$C30,$C30-SUM($D30:AB30),$C30/2))</f>
        <v>0</v>
      </c>
      <c r="AD30" s="417">
        <f>IF(AC$7&lt;$B30,0,IF((SUM($D30:AC30)+$C30/2)&gt;$C30,$C30-SUM($D30:AC30),$C30/2))</f>
        <v>0</v>
      </c>
      <c r="AE30" s="417">
        <f>IF(AD$7&lt;$B30,0,IF((SUM($D30:AD30)+$C30/2)&gt;$C30,$C30-SUM($D30:AD30),$C30/2))</f>
        <v>0</v>
      </c>
      <c r="AF30" s="417">
        <f>IF(AE$7&lt;$B30,0,IF((SUM($D30:AE30)+$C30/2)&gt;$C30,$C30-SUM($D30:AE30),$C30/2))</f>
        <v>0</v>
      </c>
      <c r="AG30" s="417">
        <f>IF(AF$7&lt;$B30,0,IF((SUM($D30:AF30)+$C30/2)&gt;$C30,$C30-SUM($D30:AF30),$C30/2))</f>
        <v>0</v>
      </c>
    </row>
    <row r="31" spans="2:33" ht="13.15" customHeight="1" x14ac:dyDescent="0.2">
      <c r="B31" s="416">
        <v>24</v>
      </c>
      <c r="C31" s="417">
        <v>0</v>
      </c>
      <c r="D31" s="417">
        <f t="shared" si="0"/>
        <v>0</v>
      </c>
      <c r="E31" s="417">
        <f>IF(D$7&lt;$B31,0,IF((SUM($D31:D31)+$C31/2)&gt;$C31,$C31-SUM($D31:D31),$C31/2))</f>
        <v>0</v>
      </c>
      <c r="F31" s="417">
        <f>IF(E$7&lt;$B31,0,IF((SUM($D31:E31)+$C31/2)&gt;$C31,$C31-SUM($D31:E31),$C31/2))</f>
        <v>0</v>
      </c>
      <c r="G31" s="417">
        <f>IF(F$7&lt;$B31,0,IF((SUM($D31:F31)+$C31/2)&gt;$C31,$C31-SUM($D31:F31),$C31/2))</f>
        <v>0</v>
      </c>
      <c r="H31" s="417">
        <f>IF(G$7&lt;$B31,0,IF((SUM($D31:G31)+$C31/2)&gt;$C31,$C31-SUM($D31:G31),$C31/2))</f>
        <v>0</v>
      </c>
      <c r="I31" s="417">
        <f>IF(H$7&lt;$B31,0,IF((SUM($D31:H31)+$C31/2)&gt;$C31,$C31-SUM($D31:H31),$C31/2))</f>
        <v>0</v>
      </c>
      <c r="J31" s="417">
        <f>IF(I$7&lt;$B31,0,IF((SUM($D31:I31)+$C31/2)&gt;$C31,$C31-SUM($D31:I31),$C31/2))</f>
        <v>0</v>
      </c>
      <c r="K31" s="417">
        <f>IF(J$7&lt;$B31,0,IF((SUM($D31:J31)+$C31/2)&gt;$C31,$C31-SUM($D31:J31),$C31/2))</f>
        <v>0</v>
      </c>
      <c r="L31" s="417">
        <f>IF(K$7&lt;$B31,0,IF((SUM($D31:K31)+$C31/2)&gt;$C31,$C31-SUM($D31:K31),$C31/2))</f>
        <v>0</v>
      </c>
      <c r="M31" s="417">
        <f>IF(L$7&lt;$B31,0,IF((SUM($D31:L31)+$C31/2)&gt;$C31,$C31-SUM($D31:L31),$C31/2))</f>
        <v>0</v>
      </c>
      <c r="N31" s="417">
        <f>IF(M$7&lt;$B31,0,IF((SUM($D31:M31)+$C31/2)&gt;$C31,$C31-SUM($D31:M31),$C31/2))</f>
        <v>0</v>
      </c>
      <c r="O31" s="417">
        <f>IF(N$7&lt;$B31,0,IF((SUM($D31:N31)+$C31/2)&gt;$C31,$C31-SUM($D31:N31),$C31/2))</f>
        <v>0</v>
      </c>
      <c r="P31" s="417">
        <f>IF(O$7&lt;$B31,0,IF((SUM($D31:O31)+$C31/2)&gt;$C31,$C31-SUM($D31:O31),$C31/2))</f>
        <v>0</v>
      </c>
      <c r="Q31" s="417">
        <f>IF(P$7&lt;$B31,0,IF((SUM($D31:P31)+$C31/2)&gt;$C31,$C31-SUM($D31:P31),$C31/2))</f>
        <v>0</v>
      </c>
      <c r="R31" s="417">
        <f>IF(Q$7&lt;$B31,0,IF((SUM($D31:Q31)+$C31/2)&gt;$C31,$C31-SUM($D31:Q31),$C31/2))</f>
        <v>0</v>
      </c>
      <c r="S31" s="417">
        <f>IF(R$7&lt;$B31,0,IF((SUM($D31:R31)+$C31/2)&gt;$C31,$C31-SUM($D31:R31),$C31/2))</f>
        <v>0</v>
      </c>
      <c r="T31" s="417">
        <f>IF(S$7&lt;$B31,0,IF((SUM($D31:S31)+$C31/2)&gt;$C31,$C31-SUM($D31:S31),$C31/2))</f>
        <v>0</v>
      </c>
      <c r="U31" s="417">
        <f>IF(T$7&lt;$B31,0,IF((SUM($D31:T31)+$C31/2)&gt;$C31,$C31-SUM($D31:T31),$C31/2))</f>
        <v>0</v>
      </c>
      <c r="V31" s="417">
        <f>IF(U$7&lt;$B31,0,IF((SUM($D31:U31)+$C31/2)&gt;$C31,$C31-SUM($D31:U31),$C31/2))</f>
        <v>0</v>
      </c>
      <c r="W31" s="417">
        <f>IF(V$7&lt;$B31,0,IF((SUM($D31:V31)+$C31/2)&gt;$C31,$C31-SUM($D31:V31),$C31/2))</f>
        <v>0</v>
      </c>
      <c r="X31" s="417">
        <f>IF(W$7&lt;$B31,0,IF((SUM($D31:W31)+$C31/2)&gt;$C31,$C31-SUM($D31:W31),$C31/2))</f>
        <v>0</v>
      </c>
      <c r="Y31" s="417">
        <f>IF(X$7&lt;$B31,0,IF((SUM($D31:X31)+$C31/2)&gt;$C31,$C31-SUM($D31:X31),$C31/2))</f>
        <v>0</v>
      </c>
      <c r="Z31" s="417">
        <f>IF(Y$7&lt;$B31,0,IF((SUM($D31:Y31)+$C31/2)&gt;$C31,$C31-SUM($D31:Y31),$C31/2))</f>
        <v>0</v>
      </c>
      <c r="AA31" s="417">
        <f>IF(Z$7&lt;$B31,0,IF((SUM($D31:Z31)+$C31/2)&gt;$C31,$C31-SUM($D31:Z31),$C31/2))</f>
        <v>0</v>
      </c>
      <c r="AB31" s="417">
        <f>IF(AA$7&lt;$B31,0,IF((SUM($D31:AA31)+$C31/2)&gt;$C31,$C31-SUM($D31:AA31),$C31/2))</f>
        <v>0</v>
      </c>
      <c r="AC31" s="417">
        <f>IF(AB$7&lt;$B31,0,IF((SUM($D31:AB31)+$C31/2)&gt;$C31,$C31-SUM($D31:AB31),$C31/2))</f>
        <v>0</v>
      </c>
      <c r="AD31" s="417">
        <f>IF(AC$7&lt;$B31,0,IF((SUM($D31:AC31)+$C31/2)&gt;$C31,$C31-SUM($D31:AC31),$C31/2))</f>
        <v>0</v>
      </c>
      <c r="AE31" s="417">
        <f>IF(AD$7&lt;$B31,0,IF((SUM($D31:AD31)+$C31/2)&gt;$C31,$C31-SUM($D31:AD31),$C31/2))</f>
        <v>0</v>
      </c>
      <c r="AF31" s="417">
        <f>IF(AE$7&lt;$B31,0,IF((SUM($D31:AE31)+$C31/2)&gt;$C31,$C31-SUM($D31:AE31),$C31/2))</f>
        <v>0</v>
      </c>
      <c r="AG31" s="417">
        <f>IF(AF$7&lt;$B31,0,IF((SUM($D31:AF31)+$C31/2)&gt;$C31,$C31-SUM($D31:AF31),$C31/2))</f>
        <v>0</v>
      </c>
    </row>
    <row r="32" spans="2:33" ht="13.15" customHeight="1" x14ac:dyDescent="0.2">
      <c r="B32" s="416">
        <v>25</v>
      </c>
      <c r="C32" s="417">
        <v>0</v>
      </c>
      <c r="D32" s="417">
        <f t="shared" si="0"/>
        <v>0</v>
      </c>
      <c r="E32" s="417">
        <f>IF(D$7&lt;$B32,0,IF((SUM($D32:D32)+$C32/2)&gt;$C32,$C32-SUM($D32:D32),$C32/2))</f>
        <v>0</v>
      </c>
      <c r="F32" s="417">
        <f>IF(E$7&lt;$B32,0,IF((SUM($D32:E32)+$C32/2)&gt;$C32,$C32-SUM($D32:E32),$C32/2))</f>
        <v>0</v>
      </c>
      <c r="G32" s="417">
        <f>IF(F$7&lt;$B32,0,IF((SUM($D32:F32)+$C32/2)&gt;$C32,$C32-SUM($D32:F32),$C32/2))</f>
        <v>0</v>
      </c>
      <c r="H32" s="417">
        <f>IF(G$7&lt;$B32,0,IF((SUM($D32:G32)+$C32/2)&gt;$C32,$C32-SUM($D32:G32),$C32/2))</f>
        <v>0</v>
      </c>
      <c r="I32" s="417">
        <f>IF(H$7&lt;$B32,0,IF((SUM($D32:H32)+$C32/2)&gt;$C32,$C32-SUM($D32:H32),$C32/2))</f>
        <v>0</v>
      </c>
      <c r="J32" s="417">
        <f>IF(I$7&lt;$B32,0,IF((SUM($D32:I32)+$C32/2)&gt;$C32,$C32-SUM($D32:I32),$C32/2))</f>
        <v>0</v>
      </c>
      <c r="K32" s="417">
        <f>IF(J$7&lt;$B32,0,IF((SUM($D32:J32)+$C32/2)&gt;$C32,$C32-SUM($D32:J32),$C32/2))</f>
        <v>0</v>
      </c>
      <c r="L32" s="417">
        <f>IF(K$7&lt;$B32,0,IF((SUM($D32:K32)+$C32/2)&gt;$C32,$C32-SUM($D32:K32),$C32/2))</f>
        <v>0</v>
      </c>
      <c r="M32" s="417">
        <f>IF(L$7&lt;$B32,0,IF((SUM($D32:L32)+$C32/2)&gt;$C32,$C32-SUM($D32:L32),$C32/2))</f>
        <v>0</v>
      </c>
      <c r="N32" s="417">
        <f>IF(M$7&lt;$B32,0,IF((SUM($D32:M32)+$C32/2)&gt;$C32,$C32-SUM($D32:M32),$C32/2))</f>
        <v>0</v>
      </c>
      <c r="O32" s="417">
        <f>IF(N$7&lt;$B32,0,IF((SUM($D32:N32)+$C32/2)&gt;$C32,$C32-SUM($D32:N32),$C32/2))</f>
        <v>0</v>
      </c>
      <c r="P32" s="417">
        <f>IF(O$7&lt;$B32,0,IF((SUM($D32:O32)+$C32/2)&gt;$C32,$C32-SUM($D32:O32),$C32/2))</f>
        <v>0</v>
      </c>
      <c r="Q32" s="417">
        <f>IF(P$7&lt;$B32,0,IF((SUM($D32:P32)+$C32/2)&gt;$C32,$C32-SUM($D32:P32),$C32/2))</f>
        <v>0</v>
      </c>
      <c r="R32" s="417">
        <f>IF(Q$7&lt;$B32,0,IF((SUM($D32:Q32)+$C32/2)&gt;$C32,$C32-SUM($D32:Q32),$C32/2))</f>
        <v>0</v>
      </c>
      <c r="S32" s="417">
        <f>IF(R$7&lt;$B32,0,IF((SUM($D32:R32)+$C32/2)&gt;$C32,$C32-SUM($D32:R32),$C32/2))</f>
        <v>0</v>
      </c>
      <c r="T32" s="417">
        <f>IF(S$7&lt;$B32,0,IF((SUM($D32:S32)+$C32/2)&gt;$C32,$C32-SUM($D32:S32),$C32/2))</f>
        <v>0</v>
      </c>
      <c r="U32" s="417">
        <f>IF(T$7&lt;$B32,0,IF((SUM($D32:T32)+$C32/2)&gt;$C32,$C32-SUM($D32:T32),$C32/2))</f>
        <v>0</v>
      </c>
      <c r="V32" s="417">
        <f>IF(U$7&lt;$B32,0,IF((SUM($D32:U32)+$C32/2)&gt;$C32,$C32-SUM($D32:U32),$C32/2))</f>
        <v>0</v>
      </c>
      <c r="W32" s="417">
        <f>IF(V$7&lt;$B32,0,IF((SUM($D32:V32)+$C32/2)&gt;$C32,$C32-SUM($D32:V32),$C32/2))</f>
        <v>0</v>
      </c>
      <c r="X32" s="417">
        <f>IF(W$7&lt;$B32,0,IF((SUM($D32:W32)+$C32/2)&gt;$C32,$C32-SUM($D32:W32),$C32/2))</f>
        <v>0</v>
      </c>
      <c r="Y32" s="417">
        <f>IF(X$7&lt;$B32,0,IF((SUM($D32:X32)+$C32/2)&gt;$C32,$C32-SUM($D32:X32),$C32/2))</f>
        <v>0</v>
      </c>
      <c r="Z32" s="417">
        <f>IF(Y$7&lt;$B32,0,IF((SUM($D32:Y32)+$C32/2)&gt;$C32,$C32-SUM($D32:Y32),$C32/2))</f>
        <v>0</v>
      </c>
      <c r="AA32" s="417">
        <f>IF(Z$7&lt;$B32,0,IF((SUM($D32:Z32)+$C32/2)&gt;$C32,$C32-SUM($D32:Z32),$C32/2))</f>
        <v>0</v>
      </c>
      <c r="AB32" s="417">
        <f>IF(AA$7&lt;$B32,0,IF((SUM($D32:AA32)+$C32/2)&gt;$C32,$C32-SUM($D32:AA32),$C32/2))</f>
        <v>0</v>
      </c>
      <c r="AC32" s="417">
        <f>IF(AB$7&lt;$B32,0,IF((SUM($D32:AB32)+$C32/2)&gt;$C32,$C32-SUM($D32:AB32),$C32/2))</f>
        <v>0</v>
      </c>
      <c r="AD32" s="417">
        <f>IF(AC$7&lt;$B32,0,IF((SUM($D32:AC32)+$C32/2)&gt;$C32,$C32-SUM($D32:AC32),$C32/2))</f>
        <v>0</v>
      </c>
      <c r="AE32" s="417">
        <f>IF(AD$7&lt;$B32,0,IF((SUM($D32:AD32)+$C32/2)&gt;$C32,$C32-SUM($D32:AD32),$C32/2))</f>
        <v>0</v>
      </c>
      <c r="AF32" s="417">
        <f>IF(AE$7&lt;$B32,0,IF((SUM($D32:AE32)+$C32/2)&gt;$C32,$C32-SUM($D32:AE32),$C32/2))</f>
        <v>0</v>
      </c>
      <c r="AG32" s="417">
        <f>IF(AF$7&lt;$B32,0,IF((SUM($D32:AF32)+$C32/2)&gt;$C32,$C32-SUM($D32:AF32),$C32/2))</f>
        <v>0</v>
      </c>
    </row>
    <row r="33" spans="2:33" ht="13.15" customHeight="1" x14ac:dyDescent="0.2">
      <c r="B33" s="416">
        <v>26</v>
      </c>
      <c r="C33" s="417">
        <v>0</v>
      </c>
      <c r="D33" s="417">
        <f t="shared" si="0"/>
        <v>0</v>
      </c>
      <c r="E33" s="417">
        <f>IF(D$7&lt;$B33,0,IF((SUM($D33:D33)+$C33/2)&gt;$C33,$C33-SUM($D33:D33),$C33/2))</f>
        <v>0</v>
      </c>
      <c r="F33" s="417">
        <f>IF(E$7&lt;$B33,0,IF((SUM($D33:E33)+$C33/2)&gt;$C33,$C33-SUM($D33:E33),$C33/2))</f>
        <v>0</v>
      </c>
      <c r="G33" s="417">
        <f>IF(F$7&lt;$B33,0,IF((SUM($D33:F33)+$C33/2)&gt;$C33,$C33-SUM($D33:F33),$C33/2))</f>
        <v>0</v>
      </c>
      <c r="H33" s="417">
        <f>IF(G$7&lt;$B33,0,IF((SUM($D33:G33)+$C33/2)&gt;$C33,$C33-SUM($D33:G33),$C33/2))</f>
        <v>0</v>
      </c>
      <c r="I33" s="417">
        <f>IF(H$7&lt;$B33,0,IF((SUM($D33:H33)+$C33/2)&gt;$C33,$C33-SUM($D33:H33),$C33/2))</f>
        <v>0</v>
      </c>
      <c r="J33" s="417">
        <f>IF(I$7&lt;$B33,0,IF((SUM($D33:I33)+$C33/2)&gt;$C33,$C33-SUM($D33:I33),$C33/2))</f>
        <v>0</v>
      </c>
      <c r="K33" s="417">
        <f>IF(J$7&lt;$B33,0,IF((SUM($D33:J33)+$C33/2)&gt;$C33,$C33-SUM($D33:J33),$C33/2))</f>
        <v>0</v>
      </c>
      <c r="L33" s="417">
        <f>IF(K$7&lt;$B33,0,IF((SUM($D33:K33)+$C33/2)&gt;$C33,$C33-SUM($D33:K33),$C33/2))</f>
        <v>0</v>
      </c>
      <c r="M33" s="417">
        <f>IF(L$7&lt;$B33,0,IF((SUM($D33:L33)+$C33/2)&gt;$C33,$C33-SUM($D33:L33),$C33/2))</f>
        <v>0</v>
      </c>
      <c r="N33" s="417">
        <f>IF(M$7&lt;$B33,0,IF((SUM($D33:M33)+$C33/2)&gt;$C33,$C33-SUM($D33:M33),$C33/2))</f>
        <v>0</v>
      </c>
      <c r="O33" s="417">
        <f>IF(N$7&lt;$B33,0,IF((SUM($D33:N33)+$C33/2)&gt;$C33,$C33-SUM($D33:N33),$C33/2))</f>
        <v>0</v>
      </c>
      <c r="P33" s="417">
        <f>IF(O$7&lt;$B33,0,IF((SUM($D33:O33)+$C33/2)&gt;$C33,$C33-SUM($D33:O33),$C33/2))</f>
        <v>0</v>
      </c>
      <c r="Q33" s="417">
        <f>IF(P$7&lt;$B33,0,IF((SUM($D33:P33)+$C33/2)&gt;$C33,$C33-SUM($D33:P33),$C33/2))</f>
        <v>0</v>
      </c>
      <c r="R33" s="417">
        <f>IF(Q$7&lt;$B33,0,IF((SUM($D33:Q33)+$C33/2)&gt;$C33,$C33-SUM($D33:Q33),$C33/2))</f>
        <v>0</v>
      </c>
      <c r="S33" s="417">
        <f>IF(R$7&lt;$B33,0,IF((SUM($D33:R33)+$C33/2)&gt;$C33,$C33-SUM($D33:R33),$C33/2))</f>
        <v>0</v>
      </c>
      <c r="T33" s="417">
        <f>IF(S$7&lt;$B33,0,IF((SUM($D33:S33)+$C33/2)&gt;$C33,$C33-SUM($D33:S33),$C33/2))</f>
        <v>0</v>
      </c>
      <c r="U33" s="417">
        <f>IF(T$7&lt;$B33,0,IF((SUM($D33:T33)+$C33/2)&gt;$C33,$C33-SUM($D33:T33),$C33/2))</f>
        <v>0</v>
      </c>
      <c r="V33" s="417">
        <f>IF(U$7&lt;$B33,0,IF((SUM($D33:U33)+$C33/2)&gt;$C33,$C33-SUM($D33:U33),$C33/2))</f>
        <v>0</v>
      </c>
      <c r="W33" s="417">
        <f>IF(V$7&lt;$B33,0,IF((SUM($D33:V33)+$C33/2)&gt;$C33,$C33-SUM($D33:V33),$C33/2))</f>
        <v>0</v>
      </c>
      <c r="X33" s="417">
        <f>IF(W$7&lt;$B33,0,IF((SUM($D33:W33)+$C33/2)&gt;$C33,$C33-SUM($D33:W33),$C33/2))</f>
        <v>0</v>
      </c>
      <c r="Y33" s="417">
        <f>IF(X$7&lt;$B33,0,IF((SUM($D33:X33)+$C33/2)&gt;$C33,$C33-SUM($D33:X33),$C33/2))</f>
        <v>0</v>
      </c>
      <c r="Z33" s="417">
        <f>IF(Y$7&lt;$B33,0,IF((SUM($D33:Y33)+$C33/2)&gt;$C33,$C33-SUM($D33:Y33),$C33/2))</f>
        <v>0</v>
      </c>
      <c r="AA33" s="417">
        <f>IF(Z$7&lt;$B33,0,IF((SUM($D33:Z33)+$C33/2)&gt;$C33,$C33-SUM($D33:Z33),$C33/2))</f>
        <v>0</v>
      </c>
      <c r="AB33" s="417">
        <f>IF(AA$7&lt;$B33,0,IF((SUM($D33:AA33)+$C33/2)&gt;$C33,$C33-SUM($D33:AA33),$C33/2))</f>
        <v>0</v>
      </c>
      <c r="AC33" s="417">
        <f>IF(AB$7&lt;$B33,0,IF((SUM($D33:AB33)+$C33/2)&gt;$C33,$C33-SUM($D33:AB33),$C33/2))</f>
        <v>0</v>
      </c>
      <c r="AD33" s="417">
        <f>IF(AC$7&lt;$B33,0,IF((SUM($D33:AC33)+$C33/2)&gt;$C33,$C33-SUM($D33:AC33),$C33/2))</f>
        <v>0</v>
      </c>
      <c r="AE33" s="417">
        <f>IF(AD$7&lt;$B33,0,IF((SUM($D33:AD33)+$C33/2)&gt;$C33,$C33-SUM($D33:AD33),$C33/2))</f>
        <v>0</v>
      </c>
      <c r="AF33" s="417">
        <f>IF(AE$7&lt;$B33,0,IF((SUM($D33:AE33)+$C33/2)&gt;$C33,$C33-SUM($D33:AE33),$C33/2))</f>
        <v>0</v>
      </c>
      <c r="AG33" s="417">
        <f>IF(AF$7&lt;$B33,0,IF((SUM($D33:AF33)+$C33/2)&gt;$C33,$C33-SUM($D33:AF33),$C33/2))</f>
        <v>0</v>
      </c>
    </row>
    <row r="34" spans="2:33" ht="13.15" customHeight="1" x14ac:dyDescent="0.2">
      <c r="B34" s="416">
        <v>27</v>
      </c>
      <c r="C34" s="417">
        <v>0</v>
      </c>
      <c r="D34" s="417">
        <f t="shared" si="0"/>
        <v>0</v>
      </c>
      <c r="E34" s="417">
        <f>IF(D$7&lt;$B34,0,IF((SUM($D34:D34)+$C34/2)&gt;$C34,$C34-SUM($D34:D34),$C34/2))</f>
        <v>0</v>
      </c>
      <c r="F34" s="417">
        <f>IF(E$7&lt;$B34,0,IF((SUM($D34:E34)+$C34/2)&gt;$C34,$C34-SUM($D34:E34),$C34/2))</f>
        <v>0</v>
      </c>
      <c r="G34" s="417">
        <f>IF(F$7&lt;$B34,0,IF((SUM($D34:F34)+$C34/2)&gt;$C34,$C34-SUM($D34:F34),$C34/2))</f>
        <v>0</v>
      </c>
      <c r="H34" s="417">
        <f>IF(G$7&lt;$B34,0,IF((SUM($D34:G34)+$C34/2)&gt;$C34,$C34-SUM($D34:G34),$C34/2))</f>
        <v>0</v>
      </c>
      <c r="I34" s="417">
        <f>IF(H$7&lt;$B34,0,IF((SUM($D34:H34)+$C34/2)&gt;$C34,$C34-SUM($D34:H34),$C34/2))</f>
        <v>0</v>
      </c>
      <c r="J34" s="417">
        <f>IF(I$7&lt;$B34,0,IF((SUM($D34:I34)+$C34/2)&gt;$C34,$C34-SUM($D34:I34),$C34/2))</f>
        <v>0</v>
      </c>
      <c r="K34" s="417">
        <f>IF(J$7&lt;$B34,0,IF((SUM($D34:J34)+$C34/2)&gt;$C34,$C34-SUM($D34:J34),$C34/2))</f>
        <v>0</v>
      </c>
      <c r="L34" s="417">
        <f>IF(K$7&lt;$B34,0,IF((SUM($D34:K34)+$C34/2)&gt;$C34,$C34-SUM($D34:K34),$C34/2))</f>
        <v>0</v>
      </c>
      <c r="M34" s="417">
        <f>IF(L$7&lt;$B34,0,IF((SUM($D34:L34)+$C34/2)&gt;$C34,$C34-SUM($D34:L34),$C34/2))</f>
        <v>0</v>
      </c>
      <c r="N34" s="417">
        <f>IF(M$7&lt;$B34,0,IF((SUM($D34:M34)+$C34/2)&gt;$C34,$C34-SUM($D34:M34),$C34/2))</f>
        <v>0</v>
      </c>
      <c r="O34" s="417">
        <f>IF(N$7&lt;$B34,0,IF((SUM($D34:N34)+$C34/2)&gt;$C34,$C34-SUM($D34:N34),$C34/2))</f>
        <v>0</v>
      </c>
      <c r="P34" s="417">
        <f>IF(O$7&lt;$B34,0,IF((SUM($D34:O34)+$C34/2)&gt;$C34,$C34-SUM($D34:O34),$C34/2))</f>
        <v>0</v>
      </c>
      <c r="Q34" s="417">
        <f>IF(P$7&lt;$B34,0,IF((SUM($D34:P34)+$C34/2)&gt;$C34,$C34-SUM($D34:P34),$C34/2))</f>
        <v>0</v>
      </c>
      <c r="R34" s="417">
        <f>IF(Q$7&lt;$B34,0,IF((SUM($D34:Q34)+$C34/2)&gt;$C34,$C34-SUM($D34:Q34),$C34/2))</f>
        <v>0</v>
      </c>
      <c r="S34" s="417">
        <f>IF(R$7&lt;$B34,0,IF((SUM($D34:R34)+$C34/2)&gt;$C34,$C34-SUM($D34:R34),$C34/2))</f>
        <v>0</v>
      </c>
      <c r="T34" s="417">
        <f>IF(S$7&lt;$B34,0,IF((SUM($D34:S34)+$C34/2)&gt;$C34,$C34-SUM($D34:S34),$C34/2))</f>
        <v>0</v>
      </c>
      <c r="U34" s="417">
        <f>IF(T$7&lt;$B34,0,IF((SUM($D34:T34)+$C34/2)&gt;$C34,$C34-SUM($D34:T34),$C34/2))</f>
        <v>0</v>
      </c>
      <c r="V34" s="417">
        <f>IF(U$7&lt;$B34,0,IF((SUM($D34:U34)+$C34/2)&gt;$C34,$C34-SUM($D34:U34),$C34/2))</f>
        <v>0</v>
      </c>
      <c r="W34" s="417">
        <f>IF(V$7&lt;$B34,0,IF((SUM($D34:V34)+$C34/2)&gt;$C34,$C34-SUM($D34:V34),$C34/2))</f>
        <v>0</v>
      </c>
      <c r="X34" s="417">
        <f>IF(W$7&lt;$B34,0,IF((SUM($D34:W34)+$C34/2)&gt;$C34,$C34-SUM($D34:W34),$C34/2))</f>
        <v>0</v>
      </c>
      <c r="Y34" s="417">
        <f>IF(X$7&lt;$B34,0,IF((SUM($D34:X34)+$C34/2)&gt;$C34,$C34-SUM($D34:X34),$C34/2))</f>
        <v>0</v>
      </c>
      <c r="Z34" s="417">
        <f>IF(Y$7&lt;$B34,0,IF((SUM($D34:Y34)+$C34/2)&gt;$C34,$C34-SUM($D34:Y34),$C34/2))</f>
        <v>0</v>
      </c>
      <c r="AA34" s="417">
        <f>IF(Z$7&lt;$B34,0,IF((SUM($D34:Z34)+$C34/2)&gt;$C34,$C34-SUM($D34:Z34),$C34/2))</f>
        <v>0</v>
      </c>
      <c r="AB34" s="417">
        <f>IF(AA$7&lt;$B34,0,IF((SUM($D34:AA34)+$C34/2)&gt;$C34,$C34-SUM($D34:AA34),$C34/2))</f>
        <v>0</v>
      </c>
      <c r="AC34" s="417">
        <f>IF(AB$7&lt;$B34,0,IF((SUM($D34:AB34)+$C34/2)&gt;$C34,$C34-SUM($D34:AB34),$C34/2))</f>
        <v>0</v>
      </c>
      <c r="AD34" s="417">
        <f>IF(AC$7&lt;$B34,0,IF((SUM($D34:AC34)+$C34/2)&gt;$C34,$C34-SUM($D34:AC34),$C34/2))</f>
        <v>0</v>
      </c>
      <c r="AE34" s="417">
        <f>IF(AD$7&lt;$B34,0,IF((SUM($D34:AD34)+$C34/2)&gt;$C34,$C34-SUM($D34:AD34),$C34/2))</f>
        <v>0</v>
      </c>
      <c r="AF34" s="417">
        <f>IF(AE$7&lt;$B34,0,IF((SUM($D34:AE34)+$C34/2)&gt;$C34,$C34-SUM($D34:AE34),$C34/2))</f>
        <v>0</v>
      </c>
      <c r="AG34" s="417">
        <f>IF(AF$7&lt;$B34,0,IF((SUM($D34:AF34)+$C34/2)&gt;$C34,$C34-SUM($D34:AF34),$C34/2))</f>
        <v>0</v>
      </c>
    </row>
    <row r="35" spans="2:33" ht="13.15" customHeight="1" x14ac:dyDescent="0.2">
      <c r="B35" s="416">
        <v>28</v>
      </c>
      <c r="C35" s="417">
        <v>0</v>
      </c>
      <c r="D35" s="417">
        <f t="shared" si="0"/>
        <v>0</v>
      </c>
      <c r="E35" s="417">
        <f>IF(D$7&lt;$B35,0,IF((SUM($D35:D35)+$C35/2)&gt;$C35,$C35-SUM($D35:D35),$C35/2))</f>
        <v>0</v>
      </c>
      <c r="F35" s="417">
        <f>IF(E$7&lt;$B35,0,IF((SUM($D35:E35)+$C35/2)&gt;$C35,$C35-SUM($D35:E35),$C35/2))</f>
        <v>0</v>
      </c>
      <c r="G35" s="417">
        <f>IF(F$7&lt;$B35,0,IF((SUM($D35:F35)+$C35/2)&gt;$C35,$C35-SUM($D35:F35),$C35/2))</f>
        <v>0</v>
      </c>
      <c r="H35" s="417">
        <f>IF(G$7&lt;$B35,0,IF((SUM($D35:G35)+$C35/2)&gt;$C35,$C35-SUM($D35:G35),$C35/2))</f>
        <v>0</v>
      </c>
      <c r="I35" s="417">
        <f>IF(H$7&lt;$B35,0,IF((SUM($D35:H35)+$C35/2)&gt;$C35,$C35-SUM($D35:H35),$C35/2))</f>
        <v>0</v>
      </c>
      <c r="J35" s="417">
        <f>IF(I$7&lt;$B35,0,IF((SUM($D35:I35)+$C35/2)&gt;$C35,$C35-SUM($D35:I35),$C35/2))</f>
        <v>0</v>
      </c>
      <c r="K35" s="417">
        <f>IF(J$7&lt;$B35,0,IF((SUM($D35:J35)+$C35/2)&gt;$C35,$C35-SUM($D35:J35),$C35/2))</f>
        <v>0</v>
      </c>
      <c r="L35" s="417">
        <f>IF(K$7&lt;$B35,0,IF((SUM($D35:K35)+$C35/2)&gt;$C35,$C35-SUM($D35:K35),$C35/2))</f>
        <v>0</v>
      </c>
      <c r="M35" s="417">
        <f>IF(L$7&lt;$B35,0,IF((SUM($D35:L35)+$C35/2)&gt;$C35,$C35-SUM($D35:L35),$C35/2))</f>
        <v>0</v>
      </c>
      <c r="N35" s="417">
        <f>IF(M$7&lt;$B35,0,IF((SUM($D35:M35)+$C35/2)&gt;$C35,$C35-SUM($D35:M35),$C35/2))</f>
        <v>0</v>
      </c>
      <c r="O35" s="417">
        <f>IF(N$7&lt;$B35,0,IF((SUM($D35:N35)+$C35/2)&gt;$C35,$C35-SUM($D35:N35),$C35/2))</f>
        <v>0</v>
      </c>
      <c r="P35" s="417">
        <f>IF(O$7&lt;$B35,0,IF((SUM($D35:O35)+$C35/2)&gt;$C35,$C35-SUM($D35:O35),$C35/2))</f>
        <v>0</v>
      </c>
      <c r="Q35" s="417">
        <f>IF(P$7&lt;$B35,0,IF((SUM($D35:P35)+$C35/2)&gt;$C35,$C35-SUM($D35:P35),$C35/2))</f>
        <v>0</v>
      </c>
      <c r="R35" s="417">
        <f>IF(Q$7&lt;$B35,0,IF((SUM($D35:Q35)+$C35/2)&gt;$C35,$C35-SUM($D35:Q35),$C35/2))</f>
        <v>0</v>
      </c>
      <c r="S35" s="417">
        <f>IF(R$7&lt;$B35,0,IF((SUM($D35:R35)+$C35/2)&gt;$C35,$C35-SUM($D35:R35),$C35/2))</f>
        <v>0</v>
      </c>
      <c r="T35" s="417">
        <f>IF(S$7&lt;$B35,0,IF((SUM($D35:S35)+$C35/2)&gt;$C35,$C35-SUM($D35:S35),$C35/2))</f>
        <v>0</v>
      </c>
      <c r="U35" s="417">
        <f>IF(T$7&lt;$B35,0,IF((SUM($D35:T35)+$C35/2)&gt;$C35,$C35-SUM($D35:T35),$C35/2))</f>
        <v>0</v>
      </c>
      <c r="V35" s="417">
        <f>IF(U$7&lt;$B35,0,IF((SUM($D35:U35)+$C35/2)&gt;$C35,$C35-SUM($D35:U35),$C35/2))</f>
        <v>0</v>
      </c>
      <c r="W35" s="417">
        <f>IF(V$7&lt;$B35,0,IF((SUM($D35:V35)+$C35/2)&gt;$C35,$C35-SUM($D35:V35),$C35/2))</f>
        <v>0</v>
      </c>
      <c r="X35" s="417">
        <f>IF(W$7&lt;$B35,0,IF((SUM($D35:W35)+$C35/2)&gt;$C35,$C35-SUM($D35:W35),$C35/2))</f>
        <v>0</v>
      </c>
      <c r="Y35" s="417">
        <f>IF(X$7&lt;$B35,0,IF((SUM($D35:X35)+$C35/2)&gt;$C35,$C35-SUM($D35:X35),$C35/2))</f>
        <v>0</v>
      </c>
      <c r="Z35" s="417">
        <f>IF(Y$7&lt;$B35,0,IF((SUM($D35:Y35)+$C35/2)&gt;$C35,$C35-SUM($D35:Y35),$C35/2))</f>
        <v>0</v>
      </c>
      <c r="AA35" s="417">
        <f>IF(Z$7&lt;$B35,0,IF((SUM($D35:Z35)+$C35/2)&gt;$C35,$C35-SUM($D35:Z35),$C35/2))</f>
        <v>0</v>
      </c>
      <c r="AB35" s="417">
        <f>IF(AA$7&lt;$B35,0,IF((SUM($D35:AA35)+$C35/2)&gt;$C35,$C35-SUM($D35:AA35),$C35/2))</f>
        <v>0</v>
      </c>
      <c r="AC35" s="417">
        <f>IF(AB$7&lt;$B35,0,IF((SUM($D35:AB35)+$C35/2)&gt;$C35,$C35-SUM($D35:AB35),$C35/2))</f>
        <v>0</v>
      </c>
      <c r="AD35" s="417">
        <f>IF(AC$7&lt;$B35,0,IF((SUM($D35:AC35)+$C35/2)&gt;$C35,$C35-SUM($D35:AC35),$C35/2))</f>
        <v>0</v>
      </c>
      <c r="AE35" s="417">
        <f>IF(AD$7&lt;$B35,0,IF((SUM($D35:AD35)+$C35/2)&gt;$C35,$C35-SUM($D35:AD35),$C35/2))</f>
        <v>0</v>
      </c>
      <c r="AF35" s="417">
        <f>IF(AE$7&lt;$B35,0,IF((SUM($D35:AE35)+$C35/2)&gt;$C35,$C35-SUM($D35:AE35),$C35/2))</f>
        <v>0</v>
      </c>
      <c r="AG35" s="417">
        <f>IF(AF$7&lt;$B35,0,IF((SUM($D35:AF35)+$C35/2)&gt;$C35,$C35-SUM($D35:AF35),$C35/2))</f>
        <v>0</v>
      </c>
    </row>
    <row r="36" spans="2:33" ht="13.15" customHeight="1" x14ac:dyDescent="0.2">
      <c r="B36" s="416">
        <v>29</v>
      </c>
      <c r="C36" s="417">
        <v>0</v>
      </c>
      <c r="D36" s="417">
        <f t="shared" si="0"/>
        <v>0</v>
      </c>
      <c r="E36" s="417">
        <f>IF(D$7&lt;$B36,0,IF((SUM($D36:D36)+$C36/2)&gt;$C36,$C36-SUM($D36:D36),$C36/2))</f>
        <v>0</v>
      </c>
      <c r="F36" s="417">
        <f>IF(E$7&lt;$B36,0,IF((SUM($D36:E36)+$C36/2)&gt;$C36,$C36-SUM($D36:E36),$C36/2))</f>
        <v>0</v>
      </c>
      <c r="G36" s="417">
        <f>IF(F$7&lt;$B36,0,IF((SUM($D36:F36)+$C36/2)&gt;$C36,$C36-SUM($D36:F36),$C36/2))</f>
        <v>0</v>
      </c>
      <c r="H36" s="417">
        <f>IF(G$7&lt;$B36,0,IF((SUM($D36:G36)+$C36/2)&gt;$C36,$C36-SUM($D36:G36),$C36/2))</f>
        <v>0</v>
      </c>
      <c r="I36" s="417">
        <f>IF(H$7&lt;$B36,0,IF((SUM($D36:H36)+$C36/2)&gt;$C36,$C36-SUM($D36:H36),$C36/2))</f>
        <v>0</v>
      </c>
      <c r="J36" s="417">
        <f>IF(I$7&lt;$B36,0,IF((SUM($D36:I36)+$C36/2)&gt;$C36,$C36-SUM($D36:I36),$C36/2))</f>
        <v>0</v>
      </c>
      <c r="K36" s="417">
        <f>IF(J$7&lt;$B36,0,IF((SUM($D36:J36)+$C36/2)&gt;$C36,$C36-SUM($D36:J36),$C36/2))</f>
        <v>0</v>
      </c>
      <c r="L36" s="417">
        <f>IF(K$7&lt;$B36,0,IF((SUM($D36:K36)+$C36/2)&gt;$C36,$C36-SUM($D36:K36),$C36/2))</f>
        <v>0</v>
      </c>
      <c r="M36" s="417">
        <f>IF(L$7&lt;$B36,0,IF((SUM($D36:L36)+$C36/2)&gt;$C36,$C36-SUM($D36:L36),$C36/2))</f>
        <v>0</v>
      </c>
      <c r="N36" s="417">
        <f>IF(M$7&lt;$B36,0,IF((SUM($D36:M36)+$C36/2)&gt;$C36,$C36-SUM($D36:M36),$C36/2))</f>
        <v>0</v>
      </c>
      <c r="O36" s="417">
        <f>IF(N$7&lt;$B36,0,IF((SUM($D36:N36)+$C36/2)&gt;$C36,$C36-SUM($D36:N36),$C36/2))</f>
        <v>0</v>
      </c>
      <c r="P36" s="417">
        <f>IF(O$7&lt;$B36,0,IF((SUM($D36:O36)+$C36/2)&gt;$C36,$C36-SUM($D36:O36),$C36/2))</f>
        <v>0</v>
      </c>
      <c r="Q36" s="417">
        <f>IF(P$7&lt;$B36,0,IF((SUM($D36:P36)+$C36/2)&gt;$C36,$C36-SUM($D36:P36),$C36/2))</f>
        <v>0</v>
      </c>
      <c r="R36" s="417">
        <f>IF(Q$7&lt;$B36,0,IF((SUM($D36:Q36)+$C36/2)&gt;$C36,$C36-SUM($D36:Q36),$C36/2))</f>
        <v>0</v>
      </c>
      <c r="S36" s="417">
        <f>IF(R$7&lt;$B36,0,IF((SUM($D36:R36)+$C36/2)&gt;$C36,$C36-SUM($D36:R36),$C36/2))</f>
        <v>0</v>
      </c>
      <c r="T36" s="417">
        <f>IF(S$7&lt;$B36,0,IF((SUM($D36:S36)+$C36/2)&gt;$C36,$C36-SUM($D36:S36),$C36/2))</f>
        <v>0</v>
      </c>
      <c r="U36" s="417">
        <f>IF(T$7&lt;$B36,0,IF((SUM($D36:T36)+$C36/2)&gt;$C36,$C36-SUM($D36:T36),$C36/2))</f>
        <v>0</v>
      </c>
      <c r="V36" s="417">
        <f>IF(U$7&lt;$B36,0,IF((SUM($D36:U36)+$C36/2)&gt;$C36,$C36-SUM($D36:U36),$C36/2))</f>
        <v>0</v>
      </c>
      <c r="W36" s="417">
        <f>IF(V$7&lt;$B36,0,IF((SUM($D36:V36)+$C36/2)&gt;$C36,$C36-SUM($D36:V36),$C36/2))</f>
        <v>0</v>
      </c>
      <c r="X36" s="417">
        <f>IF(W$7&lt;$B36,0,IF((SUM($D36:W36)+$C36/2)&gt;$C36,$C36-SUM($D36:W36),$C36/2))</f>
        <v>0</v>
      </c>
      <c r="Y36" s="417">
        <f>IF(X$7&lt;$B36,0,IF((SUM($D36:X36)+$C36/2)&gt;$C36,$C36-SUM($D36:X36),$C36/2))</f>
        <v>0</v>
      </c>
      <c r="Z36" s="417">
        <f>IF(Y$7&lt;$B36,0,IF((SUM($D36:Y36)+$C36/2)&gt;$C36,$C36-SUM($D36:Y36),$C36/2))</f>
        <v>0</v>
      </c>
      <c r="AA36" s="417">
        <f>IF(Z$7&lt;$B36,0,IF((SUM($D36:Z36)+$C36/2)&gt;$C36,$C36-SUM($D36:Z36),$C36/2))</f>
        <v>0</v>
      </c>
      <c r="AB36" s="417">
        <f>IF(AA$7&lt;$B36,0,IF((SUM($D36:AA36)+$C36/2)&gt;$C36,$C36-SUM($D36:AA36),$C36/2))</f>
        <v>0</v>
      </c>
      <c r="AC36" s="417">
        <f>IF(AB$7&lt;$B36,0,IF((SUM($D36:AB36)+$C36/2)&gt;$C36,$C36-SUM($D36:AB36),$C36/2))</f>
        <v>0</v>
      </c>
      <c r="AD36" s="417">
        <f>IF(AC$7&lt;$B36,0,IF((SUM($D36:AC36)+$C36/2)&gt;$C36,$C36-SUM($D36:AC36),$C36/2))</f>
        <v>0</v>
      </c>
      <c r="AE36" s="417">
        <f>IF(AD$7&lt;$B36,0,IF((SUM($D36:AD36)+$C36/2)&gt;$C36,$C36-SUM($D36:AD36),$C36/2))</f>
        <v>0</v>
      </c>
      <c r="AF36" s="417">
        <f>IF(AE$7&lt;$B36,0,IF((SUM($D36:AE36)+$C36/2)&gt;$C36,$C36-SUM($D36:AE36),$C36/2))</f>
        <v>0</v>
      </c>
      <c r="AG36" s="417">
        <f>IF(AF$7&lt;$B36,0,IF((SUM($D36:AF36)+$C36/2)&gt;$C36,$C36-SUM($D36:AF36),$C36/2))</f>
        <v>0</v>
      </c>
    </row>
    <row r="37" spans="2:33" ht="13.15" customHeight="1" x14ac:dyDescent="0.2">
      <c r="B37" s="416">
        <v>30</v>
      </c>
      <c r="C37" s="417">
        <v>0</v>
      </c>
      <c r="D37" s="417">
        <f t="shared" si="0"/>
        <v>0</v>
      </c>
      <c r="E37" s="417">
        <f>IF(D$7&lt;$B37,0,IF((SUM($D37:D37)+$C37/2)&gt;$C37,$C37-SUM($D37:D37),$C37/2))</f>
        <v>0</v>
      </c>
      <c r="F37" s="417">
        <f>IF(E$7&lt;$B37,0,IF((SUM($D37:E37)+$C37/2)&gt;$C37,$C37-SUM($D37:E37),$C37/2))</f>
        <v>0</v>
      </c>
      <c r="G37" s="417">
        <f>IF(F$7&lt;$B37,0,IF((SUM($D37:F37)+$C37/2)&gt;$C37,$C37-SUM($D37:F37),$C37/2))</f>
        <v>0</v>
      </c>
      <c r="H37" s="417">
        <f>IF(G$7&lt;$B37,0,IF((SUM($D37:G37)+$C37/2)&gt;$C37,$C37-SUM($D37:G37),$C37/2))</f>
        <v>0</v>
      </c>
      <c r="I37" s="417">
        <f>IF(H$7&lt;$B37,0,IF((SUM($D37:H37)+$C37/2)&gt;$C37,$C37-SUM($D37:H37),$C37/2))</f>
        <v>0</v>
      </c>
      <c r="J37" s="417">
        <f>IF(I$7&lt;$B37,0,IF((SUM($D37:I37)+$C37/2)&gt;$C37,$C37-SUM($D37:I37),$C37/2))</f>
        <v>0</v>
      </c>
      <c r="K37" s="417">
        <f>IF(J$7&lt;$B37,0,IF((SUM($D37:J37)+$C37/2)&gt;$C37,$C37-SUM($D37:J37),$C37/2))</f>
        <v>0</v>
      </c>
      <c r="L37" s="417">
        <f>IF(K$7&lt;$B37,0,IF((SUM($D37:K37)+$C37/2)&gt;$C37,$C37-SUM($D37:K37),$C37/2))</f>
        <v>0</v>
      </c>
      <c r="M37" s="417">
        <f>IF(L$7&lt;$B37,0,IF((SUM($D37:L37)+$C37/2)&gt;$C37,$C37-SUM($D37:L37),$C37/2))</f>
        <v>0</v>
      </c>
      <c r="N37" s="417">
        <f>IF(M$7&lt;$B37,0,IF((SUM($D37:M37)+$C37/2)&gt;$C37,$C37-SUM($D37:M37),$C37/2))</f>
        <v>0</v>
      </c>
      <c r="O37" s="417">
        <f>IF(N$7&lt;$B37,0,IF((SUM($D37:N37)+$C37/2)&gt;$C37,$C37-SUM($D37:N37),$C37/2))</f>
        <v>0</v>
      </c>
      <c r="P37" s="417">
        <f>IF(O$7&lt;$B37,0,IF((SUM($D37:O37)+$C37/2)&gt;$C37,$C37-SUM($D37:O37),$C37/2))</f>
        <v>0</v>
      </c>
      <c r="Q37" s="417">
        <f>IF(P$7&lt;$B37,0,IF((SUM($D37:P37)+$C37/2)&gt;$C37,$C37-SUM($D37:P37),$C37/2))</f>
        <v>0</v>
      </c>
      <c r="R37" s="417">
        <f>IF(Q$7&lt;$B37,0,IF((SUM($D37:Q37)+$C37/2)&gt;$C37,$C37-SUM($D37:Q37),$C37/2))</f>
        <v>0</v>
      </c>
      <c r="S37" s="417">
        <f>IF(R$7&lt;$B37,0,IF((SUM($D37:R37)+$C37/2)&gt;$C37,$C37-SUM($D37:R37),$C37/2))</f>
        <v>0</v>
      </c>
      <c r="T37" s="417">
        <f>IF(S$7&lt;$B37,0,IF((SUM($D37:S37)+$C37/2)&gt;$C37,$C37-SUM($D37:S37),$C37/2))</f>
        <v>0</v>
      </c>
      <c r="U37" s="417">
        <f>IF(T$7&lt;$B37,0,IF((SUM($D37:T37)+$C37/2)&gt;$C37,$C37-SUM($D37:T37),$C37/2))</f>
        <v>0</v>
      </c>
      <c r="V37" s="417">
        <f>IF(U$7&lt;$B37,0,IF((SUM($D37:U37)+$C37/2)&gt;$C37,$C37-SUM($D37:U37),$C37/2))</f>
        <v>0</v>
      </c>
      <c r="W37" s="417">
        <f>IF(V$7&lt;$B37,0,IF((SUM($D37:V37)+$C37/2)&gt;$C37,$C37-SUM($D37:V37),$C37/2))</f>
        <v>0</v>
      </c>
      <c r="X37" s="417">
        <f>IF(W$7&lt;$B37,0,IF((SUM($D37:W37)+$C37/2)&gt;$C37,$C37-SUM($D37:W37),$C37/2))</f>
        <v>0</v>
      </c>
      <c r="Y37" s="417">
        <f>IF(X$7&lt;$B37,0,IF((SUM($D37:X37)+$C37/2)&gt;$C37,$C37-SUM($D37:X37),$C37/2))</f>
        <v>0</v>
      </c>
      <c r="Z37" s="417">
        <f>IF(Y$7&lt;$B37,0,IF((SUM($D37:Y37)+$C37/2)&gt;$C37,$C37-SUM($D37:Y37),$C37/2))</f>
        <v>0</v>
      </c>
      <c r="AA37" s="417">
        <f>IF(Z$7&lt;$B37,0,IF((SUM($D37:Z37)+$C37/2)&gt;$C37,$C37-SUM($D37:Z37),$C37/2))</f>
        <v>0</v>
      </c>
      <c r="AB37" s="417">
        <f>IF(AA$7&lt;$B37,0,IF((SUM($D37:AA37)+$C37/2)&gt;$C37,$C37-SUM($D37:AA37),$C37/2))</f>
        <v>0</v>
      </c>
      <c r="AC37" s="417">
        <f>IF(AB$7&lt;$B37,0,IF((SUM($D37:AB37)+$C37/2)&gt;$C37,$C37-SUM($D37:AB37),$C37/2))</f>
        <v>0</v>
      </c>
      <c r="AD37" s="417">
        <f>IF(AC$7&lt;$B37,0,IF((SUM($D37:AC37)+$C37/2)&gt;$C37,$C37-SUM($D37:AC37),$C37/2))</f>
        <v>0</v>
      </c>
      <c r="AE37" s="417">
        <f>IF(AD$7&lt;$B37,0,IF((SUM($D37:AD37)+$C37/2)&gt;$C37,$C37-SUM($D37:AD37),$C37/2))</f>
        <v>0</v>
      </c>
      <c r="AF37" s="417">
        <f>IF(AE$7&lt;$B37,0,IF((SUM($D37:AE37)+$C37/2)&gt;$C37,$C37-SUM($D37:AE37),$C37/2))</f>
        <v>0</v>
      </c>
      <c r="AG37" s="417">
        <f>IF(AF$7&lt;$B37,0,IF((SUM($D37:AF37)+$C37/2)&gt;$C37,$C37-SUM($D37:AF37),$C37/2))</f>
        <v>0</v>
      </c>
    </row>
    <row r="38" spans="2:33" ht="13.15" customHeight="1" x14ac:dyDescent="0.2">
      <c r="B38" s="375" t="s">
        <v>71</v>
      </c>
      <c r="C38" s="376"/>
      <c r="D38" s="380">
        <f>SUM(D8:D37)</f>
        <v>44374.141162500004</v>
      </c>
      <c r="E38" s="380">
        <f t="shared" ref="E38:AG38" si="1">SUM(E8:E37)</f>
        <v>44374.141162500004</v>
      </c>
      <c r="F38" s="380">
        <f t="shared" si="1"/>
        <v>0</v>
      </c>
      <c r="G38" s="380">
        <f t="shared" si="1"/>
        <v>0</v>
      </c>
      <c r="H38" s="380">
        <f t="shared" si="1"/>
        <v>0</v>
      </c>
      <c r="I38" s="380">
        <f t="shared" si="1"/>
        <v>0</v>
      </c>
      <c r="J38" s="380">
        <f t="shared" si="1"/>
        <v>0</v>
      </c>
      <c r="K38" s="380">
        <f t="shared" si="1"/>
        <v>0</v>
      </c>
      <c r="L38" s="380">
        <f t="shared" si="1"/>
        <v>0</v>
      </c>
      <c r="M38" s="380">
        <f t="shared" si="1"/>
        <v>0</v>
      </c>
      <c r="N38" s="380">
        <f t="shared" si="1"/>
        <v>0</v>
      </c>
      <c r="O38" s="380">
        <f t="shared" si="1"/>
        <v>35499.31293</v>
      </c>
      <c r="P38" s="380">
        <f t="shared" si="1"/>
        <v>35499.31293</v>
      </c>
      <c r="Q38" s="380">
        <f t="shared" si="1"/>
        <v>0</v>
      </c>
      <c r="R38" s="380">
        <f t="shared" si="1"/>
        <v>0</v>
      </c>
      <c r="S38" s="380">
        <f t="shared" si="1"/>
        <v>0</v>
      </c>
      <c r="T38" s="380">
        <f t="shared" si="1"/>
        <v>0</v>
      </c>
      <c r="U38" s="380">
        <f t="shared" si="1"/>
        <v>0</v>
      </c>
      <c r="V38" s="380">
        <f t="shared" si="1"/>
        <v>0</v>
      </c>
      <c r="W38" s="380">
        <f t="shared" si="1"/>
        <v>0</v>
      </c>
      <c r="X38" s="380">
        <f t="shared" si="1"/>
        <v>0</v>
      </c>
      <c r="Y38" s="380">
        <f t="shared" si="1"/>
        <v>35499.31293</v>
      </c>
      <c r="Z38" s="380">
        <f t="shared" si="1"/>
        <v>35499.31293</v>
      </c>
      <c r="AA38" s="380">
        <f t="shared" si="1"/>
        <v>0</v>
      </c>
      <c r="AB38" s="380">
        <f t="shared" si="1"/>
        <v>0</v>
      </c>
      <c r="AC38" s="380">
        <f t="shared" si="1"/>
        <v>0</v>
      </c>
      <c r="AD38" s="380">
        <f t="shared" si="1"/>
        <v>0</v>
      </c>
      <c r="AE38" s="380">
        <f t="shared" si="1"/>
        <v>0</v>
      </c>
      <c r="AF38" s="380">
        <f t="shared" si="1"/>
        <v>0</v>
      </c>
      <c r="AG38" s="380">
        <f t="shared" si="1"/>
        <v>0</v>
      </c>
    </row>
  </sheetData>
  <pageMargins left="0.7" right="0.7" top="0.75" bottom="0.75" header="0.3" footer="0.3"/>
  <pageSetup paperSize="9" scale="58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Planilha27"/>
  <dimension ref="B2:AL31"/>
  <sheetViews>
    <sheetView showGridLines="0" zoomScale="85" zoomScaleNormal="85" workbookViewId="0">
      <selection activeCell="B4" sqref="B4"/>
    </sheetView>
  </sheetViews>
  <sheetFormatPr defaultRowHeight="13.15" customHeight="1" x14ac:dyDescent="0.2"/>
  <cols>
    <col min="1" max="1" width="3.28515625" customWidth="1"/>
    <col min="2" max="2" width="26.7109375" bestFit="1" customWidth="1"/>
    <col min="3" max="3" width="9.7109375" bestFit="1" customWidth="1"/>
    <col min="4" max="4" width="8.28515625" bestFit="1" customWidth="1"/>
  </cols>
  <sheetData>
    <row r="2" spans="2:38" ht="13.15" customHeight="1" x14ac:dyDescent="0.2">
      <c r="B2" s="204" t="s">
        <v>1404</v>
      </c>
      <c r="C2" s="205" t="s">
        <v>71</v>
      </c>
      <c r="D2" s="205" t="s">
        <v>708</v>
      </c>
      <c r="E2" s="205" t="s">
        <v>709</v>
      </c>
      <c r="F2" s="205" t="s">
        <v>710</v>
      </c>
      <c r="G2" s="205" t="s">
        <v>711</v>
      </c>
      <c r="H2" s="205" t="s">
        <v>712</v>
      </c>
      <c r="I2" s="205" t="s">
        <v>713</v>
      </c>
      <c r="J2" s="205" t="s">
        <v>714</v>
      </c>
      <c r="K2" s="205" t="s">
        <v>715</v>
      </c>
      <c r="L2" s="205" t="s">
        <v>716</v>
      </c>
      <c r="M2" s="205" t="s">
        <v>717</v>
      </c>
      <c r="N2" s="205" t="s">
        <v>718</v>
      </c>
      <c r="O2" s="205" t="s">
        <v>719</v>
      </c>
      <c r="P2" s="205" t="s">
        <v>720</v>
      </c>
      <c r="Q2" s="205" t="s">
        <v>721</v>
      </c>
      <c r="R2" s="205" t="s">
        <v>722</v>
      </c>
      <c r="S2" s="205" t="s">
        <v>723</v>
      </c>
      <c r="T2" s="205" t="s">
        <v>724</v>
      </c>
      <c r="U2" s="205" t="s">
        <v>725</v>
      </c>
      <c r="V2" s="205" t="s">
        <v>726</v>
      </c>
      <c r="W2" s="205" t="s">
        <v>727</v>
      </c>
      <c r="X2" s="205" t="s">
        <v>728</v>
      </c>
      <c r="Y2" s="205" t="s">
        <v>729</v>
      </c>
      <c r="Z2" s="205" t="s">
        <v>730</v>
      </c>
      <c r="AA2" s="205" t="s">
        <v>731</v>
      </c>
      <c r="AB2" s="205" t="s">
        <v>732</v>
      </c>
      <c r="AC2" s="205" t="s">
        <v>733</v>
      </c>
      <c r="AD2" s="205" t="s">
        <v>734</v>
      </c>
      <c r="AE2" s="205" t="s">
        <v>735</v>
      </c>
      <c r="AF2" s="205" t="s">
        <v>736</v>
      </c>
      <c r="AG2" s="205" t="s">
        <v>737</v>
      </c>
      <c r="AH2" s="205" t="s">
        <v>738</v>
      </c>
      <c r="AI2" s="205" t="s">
        <v>739</v>
      </c>
      <c r="AJ2" s="205" t="s">
        <v>740</v>
      </c>
      <c r="AK2" s="205" t="s">
        <v>741</v>
      </c>
      <c r="AL2" s="205" t="s">
        <v>742</v>
      </c>
    </row>
    <row r="4" spans="2:38" ht="13.15" customHeight="1" x14ac:dyDescent="0.2">
      <c r="B4" s="202" t="s">
        <v>1120</v>
      </c>
      <c r="C4" s="206">
        <v>0</v>
      </c>
      <c r="D4" s="206">
        <v>0</v>
      </c>
      <c r="E4" s="206">
        <f>D8</f>
        <v>17211.359358285714</v>
      </c>
      <c r="F4" s="206">
        <f t="shared" ref="F4:AL4" si="0">E8</f>
        <v>18383.658133666853</v>
      </c>
      <c r="G4" s="206">
        <f t="shared" si="0"/>
        <v>20233.321518503453</v>
      </c>
      <c r="H4" s="206">
        <f t="shared" si="0"/>
        <v>21470.345191377382</v>
      </c>
      <c r="I4" s="206">
        <f t="shared" si="0"/>
        <v>23604.193866765516</v>
      </c>
      <c r="J4" s="206">
        <f t="shared" si="0"/>
        <v>26460.537926013651</v>
      </c>
      <c r="K4" s="206">
        <f t="shared" si="0"/>
        <v>28069.512184369443</v>
      </c>
      <c r="L4" s="206">
        <f t="shared" si="0"/>
        <v>46380.878035332578</v>
      </c>
      <c r="M4" s="206">
        <f t="shared" si="0"/>
        <v>49149.636262500979</v>
      </c>
      <c r="N4" s="206">
        <f t="shared" si="0"/>
        <v>52395.448621965159</v>
      </c>
      <c r="O4" s="206">
        <f t="shared" si="0"/>
        <v>56533.563722145074</v>
      </c>
      <c r="P4" s="206">
        <f t="shared" si="0"/>
        <v>59429.154609859484</v>
      </c>
      <c r="Q4" s="206">
        <f t="shared" si="0"/>
        <v>63983.568391399269</v>
      </c>
      <c r="R4" s="206">
        <f t="shared" si="0"/>
        <v>66916.199450351924</v>
      </c>
      <c r="S4" s="206">
        <f t="shared" si="0"/>
        <v>86246.261815339341</v>
      </c>
      <c r="T4" s="206">
        <f t="shared" si="0"/>
        <v>90384.406457327132</v>
      </c>
      <c r="U4" s="206">
        <f t="shared" si="0"/>
        <v>94100.244226639697</v>
      </c>
      <c r="V4" s="206">
        <f t="shared" si="0"/>
        <v>98052.479521719084</v>
      </c>
      <c r="W4" s="206">
        <f t="shared" si="0"/>
        <v>101085.71105811039</v>
      </c>
      <c r="X4" s="206">
        <f t="shared" si="0"/>
        <v>105181.66156010231</v>
      </c>
      <c r="Y4" s="206">
        <f t="shared" si="0"/>
        <v>109148.98019955856</v>
      </c>
      <c r="Z4" s="206">
        <f t="shared" si="0"/>
        <v>126552.1241551909</v>
      </c>
      <c r="AA4" s="206">
        <f t="shared" si="0"/>
        <v>128630.6868357366</v>
      </c>
      <c r="AB4" s="206">
        <f t="shared" si="0"/>
        <v>129156.46691202247</v>
      </c>
      <c r="AC4" s="206">
        <f t="shared" si="0"/>
        <v>129406.32149374086</v>
      </c>
      <c r="AD4" s="206">
        <f t="shared" si="0"/>
        <v>128191.2807268982</v>
      </c>
      <c r="AE4" s="206">
        <f t="shared" si="0"/>
        <v>125631.21367897822</v>
      </c>
      <c r="AF4" s="206">
        <f t="shared" si="0"/>
        <v>121048.52785202136</v>
      </c>
      <c r="AG4" s="206">
        <f t="shared" si="0"/>
        <v>128101.77862793015</v>
      </c>
      <c r="AH4" s="206">
        <f t="shared" si="0"/>
        <v>117477.44386317306</v>
      </c>
      <c r="AI4" s="206">
        <f t="shared" si="0"/>
        <v>104142.30148560394</v>
      </c>
      <c r="AJ4" s="206">
        <f t="shared" si="0"/>
        <v>85621.596214107485</v>
      </c>
      <c r="AK4" s="206">
        <f t="shared" si="0"/>
        <v>63167.853348560267</v>
      </c>
      <c r="AL4" s="206">
        <f t="shared" si="0"/>
        <v>35019.838410138218</v>
      </c>
    </row>
    <row r="5" spans="2:38" ht="13.15" customHeight="1" x14ac:dyDescent="0.2">
      <c r="B5" s="403" t="s">
        <v>1405</v>
      </c>
      <c r="C5" s="61">
        <f>SUM(D5:AL5)</f>
        <v>107065.93502933334</v>
      </c>
      <c r="D5" s="61">
        <f>SUMIF('14 - Investimentos'!$C$5:$C$72,"Divisível",'14 - Investimentos'!E5:E72)/1000</f>
        <v>17717.575809999998</v>
      </c>
      <c r="E5" s="61">
        <f>SUMIF('14 - Investimentos'!$C$5:$C$72,"Divisível",'14 - Investimentos'!F5:F72)/1000</f>
        <v>87.962963333333335</v>
      </c>
      <c r="F5" s="61">
        <f>SUMIF('14 - Investimentos'!$C$5:$C$72,"Divisível",'14 - Investimentos'!G5:G72)/1000</f>
        <v>728.73829666666677</v>
      </c>
      <c r="G5" s="61">
        <f>SUMIF('14 - Investimentos'!$C$5:$C$72,"Divisível",'14 - Investimentos'!H5:H72)/1000</f>
        <v>0</v>
      </c>
      <c r="H5" s="61">
        <f>SUMIF('14 - Investimentos'!$C$5:$C$72,"Divisível",'14 - Investimentos'!I5:I72)/1000</f>
        <v>873.06696333333343</v>
      </c>
      <c r="I5" s="61">
        <f>SUMIF('14 - Investimentos'!$C$5:$C$72,"Divisível",'14 - Investimentos'!J5:J72)/1000</f>
        <v>1517.6869199999999</v>
      </c>
      <c r="J5" s="61">
        <f>SUMIF('14 - Investimentos'!$C$5:$C$72,"Divisível",'14 - Investimentos'!K5:K72)/1000</f>
        <v>87.962963333333335</v>
      </c>
      <c r="K5" s="61">
        <f>SUMIF('14 - Investimentos'!$C$5:$C$72,"Divisível",'14 - Investimentos'!L5:L72)/1000</f>
        <v>17352.237296666666</v>
      </c>
      <c r="L5" s="61">
        <f>SUMIF('14 - Investimentos'!$C$5:$C$72,"Divisível",'14 - Investimentos'!M5:M72)/1000</f>
        <v>235.86799999999999</v>
      </c>
      <c r="M5" s="61">
        <f>SUMIF('14 - Investimentos'!$C$5:$C$72,"Divisível",'14 - Investimentos'!N5:N72)/1000</f>
        <v>654.31796333333341</v>
      </c>
      <c r="N5" s="61">
        <f>SUMIF('14 - Investimentos'!$C$5:$C$72,"Divisível",'14 - Investimentos'!O5:O72)/1000</f>
        <v>1496.8206319999999</v>
      </c>
      <c r="O5" s="61">
        <f>SUMIF('14 - Investimentos'!$C$5:$C$72,"Divisível",'14 - Investimentos'!P5:P72)/1000</f>
        <v>87.962963333333335</v>
      </c>
      <c r="P5" s="61">
        <f>SUMIF('14 - Investimentos'!$C$5:$C$72,"Divisível",'14 - Investimentos'!Q5:Q72)/1000</f>
        <v>1795.1062966666668</v>
      </c>
      <c r="Q5" s="61">
        <f>SUMIF('14 - Investimentos'!$C$5:$C$72,"Divisível",'14 - Investimentos'!R5:R72)/1000</f>
        <v>17.119</v>
      </c>
      <c r="R5" s="61">
        <f>SUMIF('14 - Investimentos'!$C$5:$C$72,"Divisível",'14 - Investimentos'!S5:S72)/1000</f>
        <v>17260.697963333336</v>
      </c>
      <c r="S5" s="61">
        <f>SUMIF('14 - Investimentos'!$C$5:$C$72,"Divisível",'14 - Investimentos'!T5:T72)/1000</f>
        <v>670.06791999999996</v>
      </c>
      <c r="T5" s="61">
        <f>SUMIF('14 - Investimentos'!$C$5:$C$72,"Divisível",'14 - Investimentos'!U5:U72)/1000</f>
        <v>323.83096333333333</v>
      </c>
      <c r="U5" s="61">
        <f>SUMIF('14 - Investimentos'!$C$5:$C$72,"Divisível",'14 - Investimentos'!V5:V72)/1000</f>
        <v>745.85729666666691</v>
      </c>
      <c r="V5" s="61">
        <f>SUMIF('14 - Investimentos'!$C$5:$C$72,"Divisível",'14 - Investimentos'!W5:W72)/1000</f>
        <v>0</v>
      </c>
      <c r="W5" s="61">
        <f>SUMIF('14 - Investimentos'!$C$5:$C$72,"Divisível",'14 - Investimentos'!X5:X72)/1000</f>
        <v>1467.6989633333333</v>
      </c>
      <c r="X5" s="61">
        <f>SUMIF('14 - Investimentos'!$C$5:$C$72,"Divisível",'14 - Investimentos'!Y5:Y72)/1000</f>
        <v>1732.6886319999999</v>
      </c>
      <c r="Y5" s="61">
        <f>SUMIF('14 - Investimentos'!$C$5:$C$72,"Divisível",'14 - Investimentos'!Z5:Z72)/1000</f>
        <v>16728.580963333334</v>
      </c>
      <c r="Z5" s="61">
        <f>SUMIF('14 - Investimentos'!$C$5:$C$72,"Divisível",'14 - Investimentos'!AA5:AA72)/1000</f>
        <v>728.73829666666688</v>
      </c>
      <c r="AA5" s="61">
        <f>SUMIF('14 - Investimentos'!$C$5:$C$72,"Divisível",'14 - Investimentos'!AB5:AB72)/1000</f>
        <v>0</v>
      </c>
      <c r="AB5" s="61">
        <f>SUMIF('14 - Investimentos'!$C$5:$C$72,"Divisível",'14 - Investimentos'!AC5:AC72)/1000</f>
        <v>873.06696333333343</v>
      </c>
      <c r="AC5" s="61">
        <f>SUMIF('14 - Investimentos'!$C$5:$C$72,"Divisível",'14 - Investimentos'!AD5:AD72)/1000</f>
        <v>687.18691999999987</v>
      </c>
      <c r="AD5" s="61">
        <f>SUMIF('14 - Investimentos'!$C$5:$C$72,"Divisível",'14 - Investimentos'!AE5:AE72)/1000</f>
        <v>918.46296333333339</v>
      </c>
      <c r="AE5" s="61">
        <f>SUMIF('14 - Investimentos'!$C$5:$C$72,"Divisível",'14 - Investimentos'!AF5:AF72)/1000</f>
        <v>728.73829666666688</v>
      </c>
      <c r="AF5" s="61">
        <f>SUMIF('14 - Investimentos'!$C$5:$C$72,"Divisível",'14 - Investimentos'!AG5:AG72)/1000</f>
        <v>16859.366999999998</v>
      </c>
      <c r="AG5" s="61">
        <f>SUMIF('14 - Investimentos'!$C$5:$C$72,"Divisível",'14 - Investimentos'!AH5:AH72)/1000</f>
        <v>654.31796333333341</v>
      </c>
      <c r="AH5" s="61">
        <f>SUMIF('14 - Investimentos'!$C$5:$C$72,"Divisível",'14 - Investimentos'!AI5:AI72)/1000</f>
        <v>1496.8206319999999</v>
      </c>
      <c r="AI5" s="61">
        <f>SUMIF('14 - Investimentos'!$C$5:$C$72,"Divisível",'14 - Investimentos'!AJ5:AJ72)/1000</f>
        <v>87.962963333333335</v>
      </c>
      <c r="AJ5" s="61">
        <f>SUMIF('14 - Investimentos'!$C$5:$C$72,"Divisível",'14 - Investimentos'!AK5:AK72)/1000</f>
        <v>964.60629666666682</v>
      </c>
      <c r="AK5" s="61">
        <f>SUMIF('14 - Investimentos'!$C$5:$C$72,"Divisível",'14 - Investimentos'!AL5:AL72)/1000</f>
        <v>847.61900000000003</v>
      </c>
      <c r="AL5" s="61">
        <f>SUMIF('14 - Investimentos'!$C$5:$C$72,"Divisível",'14 - Investimentos'!AM5:AM72)/1000</f>
        <v>637.19896333333338</v>
      </c>
    </row>
    <row r="6" spans="2:38" ht="13.15" customHeight="1" x14ac:dyDescent="0.2">
      <c r="B6" s="403" t="s">
        <v>1406</v>
      </c>
      <c r="C6" s="61">
        <f>SUM(D6:AL6)</f>
        <v>253352.16133518078</v>
      </c>
      <c r="D6" s="61">
        <f>D4*'33 - WACC'!$C$25</f>
        <v>0</v>
      </c>
      <c r="E6" s="61">
        <f>E4*'33 - WACC'!$C$25</f>
        <v>1641.4163615528637</v>
      </c>
      <c r="F6" s="61">
        <f>F4*'33 - WACC'!$C$25</f>
        <v>1753.2163856231673</v>
      </c>
      <c r="G6" s="61">
        <f>G4*'33 - WACC'!$C$25</f>
        <v>1929.615453240941</v>
      </c>
      <c r="H6" s="61">
        <f>H4*'33 - WACC'!$C$25</f>
        <v>2047.5881742803165</v>
      </c>
      <c r="I6" s="61">
        <f>I4*'33 - WACC'!$C$25</f>
        <v>2251.0894815244669</v>
      </c>
      <c r="J6" s="61">
        <f>J4*'33 - WACC'!$C$25</f>
        <v>2523.4938730356548</v>
      </c>
      <c r="K6" s="61">
        <f>K4*'33 - WACC'!$C$25</f>
        <v>2676.9388519013819</v>
      </c>
      <c r="L6" s="61">
        <f>L4*'33 - WACC'!$C$25</f>
        <v>4423.260852649204</v>
      </c>
      <c r="M6" s="61">
        <f>M4*'33 - WACC'!$C$25</f>
        <v>4687.3123410094458</v>
      </c>
      <c r="N6" s="61">
        <f>N4*'33 - WACC'!$C$25</f>
        <v>4996.859623269298</v>
      </c>
      <c r="O6" s="61">
        <f>O4*'33 - WACC'!$C$25</f>
        <v>5391.5042117662761</v>
      </c>
      <c r="P6" s="61">
        <f>P4*'33 - WACC'!$C$25</f>
        <v>5667.6515026640009</v>
      </c>
      <c r="Q6" s="61">
        <f>Q4*'33 - WACC'!$C$25</f>
        <v>6101.9977470646436</v>
      </c>
      <c r="R6" s="61">
        <f>R4*'33 - WACC'!$C$25</f>
        <v>6381.6774924210522</v>
      </c>
      <c r="S6" s="61">
        <f>S4*'33 - WACC'!$C$25</f>
        <v>8225.1507460576449</v>
      </c>
      <c r="T6" s="61">
        <f>T4*'33 - WACC'!$C$25</f>
        <v>8619.7981519036657</v>
      </c>
      <c r="U6" s="61">
        <f>U4*'33 - WACC'!$C$25</f>
        <v>8974.1709114550194</v>
      </c>
      <c r="V6" s="61">
        <f>V4*'33 - WACC'!$C$25</f>
        <v>9351.0884775232098</v>
      </c>
      <c r="W6" s="61">
        <f>W4*'33 - WACC'!$C$25</f>
        <v>9640.3623093320839</v>
      </c>
      <c r="X6" s="61">
        <f>X4*'33 - WACC'!$C$25</f>
        <v>10030.98573599615</v>
      </c>
      <c r="Y6" s="61">
        <f>Y4*'33 - WACC'!$C$25</f>
        <v>10409.34177346754</v>
      </c>
      <c r="Z6" s="61">
        <f>Z4*'33 - WACC'!$C$25</f>
        <v>12069.048286857078</v>
      </c>
      <c r="AA6" s="61">
        <f>AA4*'33 - WACC'!$C$25</f>
        <v>12267.277068287896</v>
      </c>
      <c r="AB6" s="61">
        <f>AB4*'33 - WACC'!$C$25</f>
        <v>12317.419767759142</v>
      </c>
      <c r="AC6" s="61">
        <f>AC4*'33 - WACC'!$C$25</f>
        <v>12341.247949479377</v>
      </c>
      <c r="AD6" s="61">
        <f>AD4*'33 - WACC'!$C$25</f>
        <v>12225.371698618972</v>
      </c>
      <c r="AE6" s="61">
        <f>AE4*'33 - WACC'!$C$25</f>
        <v>11981.222712379531</v>
      </c>
      <c r="AF6" s="61">
        <f>AF4*'33 - WACC'!$C$25</f>
        <v>11544.180213897143</v>
      </c>
      <c r="AG6" s="61">
        <f>AG4*'33 - WACC'!$C$25</f>
        <v>12216.836044544169</v>
      </c>
      <c r="AH6" s="61">
        <f>AH4*'33 - WACC'!$C$25</f>
        <v>11203.612361831862</v>
      </c>
      <c r="AI6" s="61">
        <f>AI4*'33 - WACC'!$C$25</f>
        <v>9931.8638365393726</v>
      </c>
      <c r="AJ6" s="61">
        <f>AJ4*'33 - WACC'!$C$25</f>
        <v>8165.5775120662456</v>
      </c>
      <c r="AK6" s="61">
        <f>AK4*'33 - WACC'!$C$25</f>
        <v>6024.2044717161652</v>
      </c>
      <c r="AL6" s="61">
        <f>AL4*'33 - WACC'!$C$25</f>
        <v>3339.7789534657436</v>
      </c>
    </row>
    <row r="7" spans="2:38" ht="13.15" customHeight="1" x14ac:dyDescent="0.2">
      <c r="B7" s="403" t="s">
        <v>1407</v>
      </c>
      <c r="C7" s="61">
        <f>SUM(D7:AL7)</f>
        <v>-360418.09636451403</v>
      </c>
      <c r="D7" s="61">
        <f>-SUM(D4:D6)*D11</f>
        <v>-506.21645171428565</v>
      </c>
      <c r="E7" s="61">
        <f t="shared" ref="E7:AL7" si="1">-SUM(E4:E6)*E11</f>
        <v>-557.08054950505618</v>
      </c>
      <c r="F7" s="61">
        <f t="shared" si="1"/>
        <v>-632.29129745323291</v>
      </c>
      <c r="G7" s="61">
        <f t="shared" si="1"/>
        <v>-692.59178036701235</v>
      </c>
      <c r="H7" s="61">
        <f t="shared" si="1"/>
        <v>-786.80646222551718</v>
      </c>
      <c r="I7" s="61">
        <f t="shared" si="1"/>
        <v>-912.43234227633275</v>
      </c>
      <c r="J7" s="61">
        <f t="shared" si="1"/>
        <v>-1002.4825780131944</v>
      </c>
      <c r="K7" s="61">
        <f t="shared" si="1"/>
        <v>-1717.8102976049104</v>
      </c>
      <c r="L7" s="61">
        <f t="shared" si="1"/>
        <v>-1890.3706254808067</v>
      </c>
      <c r="M7" s="61">
        <f t="shared" si="1"/>
        <v>-2095.8179448786063</v>
      </c>
      <c r="N7" s="61">
        <f t="shared" si="1"/>
        <v>-2355.5651550893781</v>
      </c>
      <c r="O7" s="61">
        <f t="shared" si="1"/>
        <v>-2583.8762873851947</v>
      </c>
      <c r="P7" s="61">
        <f t="shared" si="1"/>
        <v>-2908.344017790876</v>
      </c>
      <c r="Q7" s="61">
        <f t="shared" si="1"/>
        <v>-3186.4856881119963</v>
      </c>
      <c r="R7" s="61">
        <f t="shared" si="1"/>
        <v>-4312.3130907669665</v>
      </c>
      <c r="S7" s="61">
        <f t="shared" si="1"/>
        <v>-4757.0740240698497</v>
      </c>
      <c r="T7" s="61">
        <f t="shared" si="1"/>
        <v>-5227.7913459244273</v>
      </c>
      <c r="U7" s="61">
        <f t="shared" si="1"/>
        <v>-5767.792913042299</v>
      </c>
      <c r="V7" s="61">
        <f t="shared" si="1"/>
        <v>-6317.8569411318995</v>
      </c>
      <c r="W7" s="61">
        <f t="shared" si="1"/>
        <v>-7012.1107706734874</v>
      </c>
      <c r="X7" s="61">
        <f t="shared" si="1"/>
        <v>-7796.3557285398974</v>
      </c>
      <c r="Y7" s="61">
        <f t="shared" si="1"/>
        <v>-9734.7787811685303</v>
      </c>
      <c r="Z7" s="61">
        <f t="shared" si="1"/>
        <v>-10719.22390297805</v>
      </c>
      <c r="AA7" s="61">
        <f t="shared" si="1"/>
        <v>-11741.496992002041</v>
      </c>
      <c r="AB7" s="61">
        <f t="shared" si="1"/>
        <v>-12940.632149374087</v>
      </c>
      <c r="AC7" s="61">
        <f t="shared" si="1"/>
        <v>-14243.475636322022</v>
      </c>
      <c r="AD7" s="61">
        <f t="shared" si="1"/>
        <v>-15703.901709872278</v>
      </c>
      <c r="AE7" s="61">
        <f t="shared" si="1"/>
        <v>-17292.646836003052</v>
      </c>
      <c r="AF7" s="61">
        <f t="shared" si="1"/>
        <v>-21350.296437988356</v>
      </c>
      <c r="AG7" s="61">
        <f t="shared" si="1"/>
        <v>-23495.48877263461</v>
      </c>
      <c r="AH7" s="61">
        <f t="shared" si="1"/>
        <v>-26035.575371400988</v>
      </c>
      <c r="AI7" s="61">
        <f t="shared" si="1"/>
        <v>-28540.532071369162</v>
      </c>
      <c r="AJ7" s="61">
        <f t="shared" si="1"/>
        <v>-31583.92667428013</v>
      </c>
      <c r="AK7" s="61">
        <f t="shared" si="1"/>
        <v>-35019.838410138218</v>
      </c>
      <c r="AL7" s="61">
        <f t="shared" si="1"/>
        <v>-38996.816326937296</v>
      </c>
    </row>
    <row r="8" spans="2:38" ht="13.15" customHeight="1" x14ac:dyDescent="0.2">
      <c r="B8" s="202" t="s">
        <v>1124</v>
      </c>
      <c r="C8" s="206">
        <f>SUM(C4:C7)</f>
        <v>0</v>
      </c>
      <c r="D8" s="206">
        <f>SUM(D4:D7)</f>
        <v>17211.359358285714</v>
      </c>
      <c r="E8" s="206">
        <f t="shared" ref="E8:AL8" si="2">SUM(E4:E7)</f>
        <v>18383.658133666853</v>
      </c>
      <c r="F8" s="206">
        <f t="shared" si="2"/>
        <v>20233.321518503453</v>
      </c>
      <c r="G8" s="206">
        <f t="shared" si="2"/>
        <v>21470.345191377382</v>
      </c>
      <c r="H8" s="206">
        <f t="shared" si="2"/>
        <v>23604.193866765516</v>
      </c>
      <c r="I8" s="206">
        <f t="shared" si="2"/>
        <v>26460.537926013651</v>
      </c>
      <c r="J8" s="206">
        <f t="shared" si="2"/>
        <v>28069.512184369443</v>
      </c>
      <c r="K8" s="206">
        <f t="shared" si="2"/>
        <v>46380.878035332578</v>
      </c>
      <c r="L8" s="206">
        <f t="shared" si="2"/>
        <v>49149.636262500979</v>
      </c>
      <c r="M8" s="206">
        <f t="shared" si="2"/>
        <v>52395.448621965159</v>
      </c>
      <c r="N8" s="206">
        <f t="shared" si="2"/>
        <v>56533.563722145074</v>
      </c>
      <c r="O8" s="206">
        <f t="shared" si="2"/>
        <v>59429.154609859484</v>
      </c>
      <c r="P8" s="206">
        <f t="shared" si="2"/>
        <v>63983.568391399269</v>
      </c>
      <c r="Q8" s="206">
        <f t="shared" si="2"/>
        <v>66916.199450351924</v>
      </c>
      <c r="R8" s="206">
        <f t="shared" si="2"/>
        <v>86246.261815339341</v>
      </c>
      <c r="S8" s="206">
        <f t="shared" si="2"/>
        <v>90384.406457327132</v>
      </c>
      <c r="T8" s="206">
        <f t="shared" si="2"/>
        <v>94100.244226639697</v>
      </c>
      <c r="U8" s="206">
        <f t="shared" si="2"/>
        <v>98052.479521719084</v>
      </c>
      <c r="V8" s="206">
        <f t="shared" si="2"/>
        <v>101085.71105811039</v>
      </c>
      <c r="W8" s="206">
        <f t="shared" si="2"/>
        <v>105181.66156010231</v>
      </c>
      <c r="X8" s="206">
        <f t="shared" si="2"/>
        <v>109148.98019955856</v>
      </c>
      <c r="Y8" s="206">
        <f t="shared" si="2"/>
        <v>126552.1241551909</v>
      </c>
      <c r="Z8" s="206">
        <f t="shared" si="2"/>
        <v>128630.6868357366</v>
      </c>
      <c r="AA8" s="206">
        <f t="shared" si="2"/>
        <v>129156.46691202247</v>
      </c>
      <c r="AB8" s="206">
        <f t="shared" si="2"/>
        <v>129406.32149374086</v>
      </c>
      <c r="AC8" s="206">
        <f t="shared" si="2"/>
        <v>128191.2807268982</v>
      </c>
      <c r="AD8" s="206">
        <f t="shared" si="2"/>
        <v>125631.21367897822</v>
      </c>
      <c r="AE8" s="206">
        <f t="shared" si="2"/>
        <v>121048.52785202136</v>
      </c>
      <c r="AF8" s="206">
        <f t="shared" si="2"/>
        <v>128101.77862793015</v>
      </c>
      <c r="AG8" s="206">
        <f t="shared" si="2"/>
        <v>117477.44386317306</v>
      </c>
      <c r="AH8" s="206">
        <f t="shared" si="2"/>
        <v>104142.30148560394</v>
      </c>
      <c r="AI8" s="206">
        <f t="shared" si="2"/>
        <v>85621.596214107485</v>
      </c>
      <c r="AJ8" s="206">
        <f t="shared" si="2"/>
        <v>63167.853348560267</v>
      </c>
      <c r="AK8" s="206">
        <f t="shared" si="2"/>
        <v>35019.838410138218</v>
      </c>
      <c r="AL8" s="206">
        <f t="shared" si="2"/>
        <v>0</v>
      </c>
    </row>
    <row r="10" spans="2:38" ht="13.15" customHeight="1" x14ac:dyDescent="0.2">
      <c r="B10" s="403" t="s">
        <v>1408</v>
      </c>
      <c r="C10" s="61"/>
      <c r="D10" s="61">
        <f>'30 - Dem. Resultados'!C4</f>
        <v>15600</v>
      </c>
      <c r="E10" s="61">
        <f>'30 - Dem. Resultados'!D4</f>
        <v>15600</v>
      </c>
      <c r="F10" s="61">
        <f>'30 - Dem. Resultados'!E4</f>
        <v>15600</v>
      </c>
      <c r="G10" s="61">
        <f>'30 - Dem. Resultados'!F4</f>
        <v>15600</v>
      </c>
      <c r="H10" s="61">
        <f>'30 - Dem. Resultados'!G4</f>
        <v>15600</v>
      </c>
      <c r="I10" s="61">
        <f>'30 - Dem. Resultados'!H4</f>
        <v>15600</v>
      </c>
      <c r="J10" s="61">
        <f>'30 - Dem. Resultados'!I4</f>
        <v>15600</v>
      </c>
      <c r="K10" s="61">
        <f>'30 - Dem. Resultados'!J4</f>
        <v>15600</v>
      </c>
      <c r="L10" s="61">
        <f>'30 - Dem. Resultados'!K4</f>
        <v>15600</v>
      </c>
      <c r="M10" s="61">
        <f>'30 - Dem. Resultados'!L4</f>
        <v>15600</v>
      </c>
      <c r="N10" s="61">
        <f>'30 - Dem. Resultados'!M4</f>
        <v>15600</v>
      </c>
      <c r="O10" s="61">
        <f>'30 - Dem. Resultados'!N4</f>
        <v>15600</v>
      </c>
      <c r="P10" s="61">
        <f>'30 - Dem. Resultados'!O4</f>
        <v>15600</v>
      </c>
      <c r="Q10" s="61">
        <f>'30 - Dem. Resultados'!P4</f>
        <v>15600</v>
      </c>
      <c r="R10" s="61">
        <f>'30 - Dem. Resultados'!Q4</f>
        <v>15600</v>
      </c>
      <c r="S10" s="61">
        <f>'30 - Dem. Resultados'!R4</f>
        <v>15600</v>
      </c>
      <c r="T10" s="61">
        <f>'30 - Dem. Resultados'!S4</f>
        <v>15600</v>
      </c>
      <c r="U10" s="61">
        <f>'30 - Dem. Resultados'!T4</f>
        <v>15600</v>
      </c>
      <c r="V10" s="61">
        <f>'30 - Dem. Resultados'!U4</f>
        <v>15600</v>
      </c>
      <c r="W10" s="61">
        <f>'30 - Dem. Resultados'!V4</f>
        <v>15600</v>
      </c>
      <c r="X10" s="61">
        <f>'30 - Dem. Resultados'!W4</f>
        <v>15600</v>
      </c>
      <c r="Y10" s="61">
        <f>'30 - Dem. Resultados'!X4</f>
        <v>15600</v>
      </c>
      <c r="Z10" s="61">
        <f>'30 - Dem. Resultados'!Y4</f>
        <v>15600</v>
      </c>
      <c r="AA10" s="61">
        <f>'30 - Dem. Resultados'!Z4</f>
        <v>15600</v>
      </c>
      <c r="AB10" s="61">
        <f>'30 - Dem. Resultados'!AA4</f>
        <v>15600</v>
      </c>
      <c r="AC10" s="61">
        <f>'30 - Dem. Resultados'!AB4</f>
        <v>15600</v>
      </c>
      <c r="AD10" s="61">
        <f>'30 - Dem. Resultados'!AC4</f>
        <v>15600</v>
      </c>
      <c r="AE10" s="61">
        <f>'30 - Dem. Resultados'!AD4</f>
        <v>15600</v>
      </c>
      <c r="AF10" s="61">
        <f>'30 - Dem. Resultados'!AE4</f>
        <v>15600</v>
      </c>
      <c r="AG10" s="61">
        <f>'30 - Dem. Resultados'!AF4</f>
        <v>15600</v>
      </c>
      <c r="AH10" s="61">
        <f>'30 - Dem. Resultados'!AG4</f>
        <v>15600</v>
      </c>
      <c r="AI10" s="61">
        <f>'30 - Dem. Resultados'!AH4</f>
        <v>15600</v>
      </c>
      <c r="AJ10" s="61">
        <f>'30 - Dem. Resultados'!AI4</f>
        <v>15600</v>
      </c>
      <c r="AK10" s="61">
        <f>'30 - Dem. Resultados'!AJ4</f>
        <v>15600</v>
      </c>
      <c r="AL10" s="61">
        <f>'30 - Dem. Resultados'!AK4</f>
        <v>15600</v>
      </c>
    </row>
    <row r="11" spans="2:38" ht="13.15" customHeight="1" x14ac:dyDescent="0.2">
      <c r="B11" s="403" t="s">
        <v>1409</v>
      </c>
      <c r="C11" s="115"/>
      <c r="D11" s="115">
        <f>D10/SUM(D10:$AL$10)</f>
        <v>2.8571428571428571E-2</v>
      </c>
      <c r="E11" s="115">
        <f>E10/SUM(E10:$AL$10)</f>
        <v>2.9411764705882353E-2</v>
      </c>
      <c r="F11" s="115">
        <f>F10/SUM(F10:$AL$10)</f>
        <v>3.0303030303030304E-2</v>
      </c>
      <c r="G11" s="115">
        <f>G10/SUM(G10:$AL$10)</f>
        <v>3.125E-2</v>
      </c>
      <c r="H11" s="115">
        <f>H10/SUM(H10:$AL$10)</f>
        <v>3.2258064516129031E-2</v>
      </c>
      <c r="I11" s="115">
        <f>I10/SUM(I10:$AL$10)</f>
        <v>3.3333333333333333E-2</v>
      </c>
      <c r="J11" s="115">
        <f>J10/SUM(J10:$AL$10)</f>
        <v>3.4482758620689655E-2</v>
      </c>
      <c r="K11" s="115">
        <f>K10/SUM(K10:$AL$10)</f>
        <v>3.5714285714285712E-2</v>
      </c>
      <c r="L11" s="115">
        <f>L10/SUM(L10:$AL$10)</f>
        <v>3.7037037037037035E-2</v>
      </c>
      <c r="M11" s="115">
        <f>M10/SUM(M10:$AL$10)</f>
        <v>3.8461538461538464E-2</v>
      </c>
      <c r="N11" s="115">
        <f>N10/SUM(N10:$AL$10)</f>
        <v>0.04</v>
      </c>
      <c r="O11" s="115">
        <f>O10/SUM(O10:$AL$10)</f>
        <v>4.1666666666666664E-2</v>
      </c>
      <c r="P11" s="115">
        <f>P10/SUM(P10:$AL$10)</f>
        <v>4.3478260869565216E-2</v>
      </c>
      <c r="Q11" s="115">
        <f>Q10/SUM(Q10:$AL$10)</f>
        <v>4.5454545454545456E-2</v>
      </c>
      <c r="R11" s="115">
        <f>R10/SUM(R10:$AL$10)</f>
        <v>4.7619047619047616E-2</v>
      </c>
      <c r="S11" s="115">
        <f>S10/SUM(S10:$AL$10)</f>
        <v>0.05</v>
      </c>
      <c r="T11" s="115">
        <f>T10/SUM(T10:$AL$10)</f>
        <v>5.2631578947368418E-2</v>
      </c>
      <c r="U11" s="115">
        <f>U10/SUM(U10:$AL$10)</f>
        <v>5.5555555555555552E-2</v>
      </c>
      <c r="V11" s="115">
        <f>V10/SUM(V10:$AL$10)</f>
        <v>5.8823529411764705E-2</v>
      </c>
      <c r="W11" s="115">
        <f>W10/SUM(W10:$AL$10)</f>
        <v>6.25E-2</v>
      </c>
      <c r="X11" s="115">
        <f>X10/SUM(X10:$AL$10)</f>
        <v>6.6666666666666666E-2</v>
      </c>
      <c r="Y11" s="115">
        <f>Y10/SUM(Y10:$AL$10)</f>
        <v>7.1428571428571425E-2</v>
      </c>
      <c r="Z11" s="115">
        <f>Z10/SUM(Z10:$AL$10)</f>
        <v>7.6923076923076927E-2</v>
      </c>
      <c r="AA11" s="115">
        <f>AA10/SUM(AA10:$AL$10)</f>
        <v>8.3333333333333329E-2</v>
      </c>
      <c r="AB11" s="115">
        <f>AB10/SUM(AB10:$AL$10)</f>
        <v>9.0909090909090912E-2</v>
      </c>
      <c r="AC11" s="115">
        <f>AC10/SUM(AC10:$AL$10)</f>
        <v>0.1</v>
      </c>
      <c r="AD11" s="115">
        <f>AD10/SUM(AD10:$AL$10)</f>
        <v>0.1111111111111111</v>
      </c>
      <c r="AE11" s="115">
        <f>AE10/SUM(AE10:$AL$10)</f>
        <v>0.125</v>
      </c>
      <c r="AF11" s="115">
        <f>AF10/SUM(AF10:$AL$10)</f>
        <v>0.14285714285714285</v>
      </c>
      <c r="AG11" s="115">
        <f>AG10/SUM(AG10:$AL$10)</f>
        <v>0.16666666666666666</v>
      </c>
      <c r="AH11" s="115">
        <f>AH10/SUM(AH10:$AL$10)</f>
        <v>0.2</v>
      </c>
      <c r="AI11" s="115">
        <f>AI10/SUM(AI10:$AL$10)</f>
        <v>0.25</v>
      </c>
      <c r="AJ11" s="115">
        <f>AJ10/SUM(AJ10:$AL$10)</f>
        <v>0.33333333333333331</v>
      </c>
      <c r="AK11" s="115">
        <f>AK10/SUM(AK10:$AL$10)</f>
        <v>0.5</v>
      </c>
      <c r="AL11" s="115">
        <f>AL10/SUM(AL10:$AL$10)</f>
        <v>1</v>
      </c>
    </row>
    <row r="13" spans="2:38" ht="13.15" customHeight="1" x14ac:dyDescent="0.2">
      <c r="B13" s="204" t="s">
        <v>1410</v>
      </c>
      <c r="C13" s="205" t="s">
        <v>708</v>
      </c>
      <c r="D13" s="205" t="s">
        <v>708</v>
      </c>
      <c r="E13" s="205" t="s">
        <v>709</v>
      </c>
      <c r="F13" s="205" t="s">
        <v>710</v>
      </c>
      <c r="G13" s="205" t="s">
        <v>711</v>
      </c>
      <c r="H13" s="205" t="s">
        <v>712</v>
      </c>
      <c r="I13" s="205" t="s">
        <v>713</v>
      </c>
      <c r="J13" s="205" t="s">
        <v>714</v>
      </c>
      <c r="K13" s="205" t="s">
        <v>715</v>
      </c>
      <c r="L13" s="205" t="s">
        <v>716</v>
      </c>
      <c r="M13" s="205" t="s">
        <v>717</v>
      </c>
      <c r="N13" s="205" t="s">
        <v>718</v>
      </c>
      <c r="O13" s="205" t="s">
        <v>719</v>
      </c>
      <c r="P13" s="205" t="s">
        <v>720</v>
      </c>
      <c r="Q13" s="205" t="s">
        <v>721</v>
      </c>
      <c r="R13" s="205" t="s">
        <v>722</v>
      </c>
      <c r="S13" s="205" t="s">
        <v>723</v>
      </c>
      <c r="T13" s="205" t="s">
        <v>724</v>
      </c>
      <c r="U13" s="205" t="s">
        <v>725</v>
      </c>
      <c r="V13" s="205" t="s">
        <v>726</v>
      </c>
      <c r="W13" s="205" t="s">
        <v>727</v>
      </c>
      <c r="X13" s="205" t="s">
        <v>728</v>
      </c>
      <c r="Y13" s="205" t="s">
        <v>729</v>
      </c>
      <c r="Z13" s="205" t="s">
        <v>730</v>
      </c>
      <c r="AA13" s="205" t="s">
        <v>731</v>
      </c>
      <c r="AB13" s="205" t="s">
        <v>732</v>
      </c>
      <c r="AC13" s="205" t="s">
        <v>733</v>
      </c>
      <c r="AD13" s="205" t="s">
        <v>734</v>
      </c>
      <c r="AE13" s="205" t="s">
        <v>735</v>
      </c>
      <c r="AF13" s="205" t="s">
        <v>736</v>
      </c>
      <c r="AG13" s="205" t="s">
        <v>737</v>
      </c>
      <c r="AH13" s="205" t="s">
        <v>738</v>
      </c>
      <c r="AI13" s="205" t="s">
        <v>739</v>
      </c>
      <c r="AJ13" s="205" t="s">
        <v>740</v>
      </c>
      <c r="AK13" s="205" t="s">
        <v>741</v>
      </c>
      <c r="AL13" s="205" t="s">
        <v>742</v>
      </c>
    </row>
    <row r="15" spans="2:38" ht="13.15" customHeight="1" x14ac:dyDescent="0.2">
      <c r="B15" s="202" t="s">
        <v>1120</v>
      </c>
      <c r="C15" s="206">
        <v>0</v>
      </c>
      <c r="D15" s="206">
        <v>0</v>
      </c>
      <c r="E15" s="206">
        <f>D19</f>
        <v>6818.4596627374558</v>
      </c>
      <c r="F15" s="206">
        <f>E19</f>
        <v>7389.4236078333224</v>
      </c>
      <c r="G15" s="206">
        <f t="shared" ref="G15:AL15" si="3">F19</f>
        <v>7989.7882186267216</v>
      </c>
      <c r="H15" s="206">
        <f t="shared" si="3"/>
        <v>8506.7041722117865</v>
      </c>
      <c r="I15" s="206">
        <f t="shared" si="3"/>
        <v>9532.1090142415833</v>
      </c>
      <c r="J15" s="206">
        <f t="shared" si="3"/>
        <v>10722.628753329906</v>
      </c>
      <c r="K15" s="206">
        <f t="shared" si="3"/>
        <v>11483.502221817611</v>
      </c>
      <c r="L15" s="206">
        <f t="shared" si="3"/>
        <v>17357.689730453683</v>
      </c>
      <c r="M15" s="206">
        <f t="shared" si="3"/>
        <v>18835.431192353426</v>
      </c>
      <c r="N15" s="206">
        <f t="shared" si="3"/>
        <v>19880.063192038506</v>
      </c>
      <c r="O15" s="206">
        <f t="shared" si="3"/>
        <v>21540.607472329415</v>
      </c>
      <c r="P15" s="206">
        <f t="shared" si="3"/>
        <v>22763.192281255142</v>
      </c>
      <c r="Q15" s="206">
        <f t="shared" si="3"/>
        <v>24479.40309493924</v>
      </c>
      <c r="R15" s="206">
        <f t="shared" si="3"/>
        <v>25630.696977697913</v>
      </c>
      <c r="S15" s="206">
        <f t="shared" si="3"/>
        <v>31438.209386759667</v>
      </c>
      <c r="T15" s="206">
        <f t="shared" si="3"/>
        <v>33335.251658182933</v>
      </c>
      <c r="U15" s="206">
        <f t="shared" si="3"/>
        <v>35206.705336809806</v>
      </c>
      <c r="V15" s="206">
        <f t="shared" si="3"/>
        <v>36556.469692348102</v>
      </c>
      <c r="W15" s="206">
        <f t="shared" si="3"/>
        <v>37706.864007882141</v>
      </c>
      <c r="X15" s="206">
        <f t="shared" si="3"/>
        <v>38734.071046141929</v>
      </c>
      <c r="Y15" s="206">
        <f t="shared" si="3"/>
        <v>40648.960108718646</v>
      </c>
      <c r="Z15" s="206">
        <f t="shared" si="3"/>
        <v>45997.895151108969</v>
      </c>
      <c r="AA15" s="206">
        <f t="shared" si="3"/>
        <v>46609.161336390338</v>
      </c>
      <c r="AB15" s="206">
        <f t="shared" si="3"/>
        <v>46785.294300351816</v>
      </c>
      <c r="AC15" s="206">
        <f t="shared" si="3"/>
        <v>47019.405985830119</v>
      </c>
      <c r="AD15" s="206">
        <f t="shared" si="3"/>
        <v>46873.254590380559</v>
      </c>
      <c r="AE15" s="206">
        <f t="shared" si="3"/>
        <v>45701.600932236921</v>
      </c>
      <c r="AF15" s="206">
        <f t="shared" si="3"/>
        <v>43861.14918414472</v>
      </c>
      <c r="AG15" s="206">
        <f t="shared" si="3"/>
        <v>45753.749515976437</v>
      </c>
      <c r="AH15" s="206">
        <f t="shared" si="3"/>
        <v>41704.66980059717</v>
      </c>
      <c r="AI15" s="206">
        <f t="shared" si="3"/>
        <v>36971.181786804824</v>
      </c>
      <c r="AJ15" s="206">
        <f t="shared" si="3"/>
        <v>30402.559645437563</v>
      </c>
      <c r="AK15" s="206">
        <f t="shared" si="3"/>
        <v>22569.925038090099</v>
      </c>
      <c r="AL15" s="206">
        <f t="shared" si="3"/>
        <v>12337.623369094037</v>
      </c>
    </row>
    <row r="16" spans="2:38" ht="13.15" customHeight="1" x14ac:dyDescent="0.2">
      <c r="B16" s="403" t="s">
        <v>1405</v>
      </c>
      <c r="C16" s="61">
        <f>SUM(D16:AL16)</f>
        <v>36304.50021666666</v>
      </c>
      <c r="D16" s="61">
        <f>SUMIF('14 - Investimentos'!$C$5:$C$72,"Indivisível",'14 - Investimentos'!E5:E72)/1000</f>
        <v>6991.6219366666664</v>
      </c>
      <c r="E16" s="61">
        <f>SUMIF('14 - Investimentos'!$C$5:$C$72,"Indivisível",'14 - Investimentos'!F5:F72)/1000</f>
        <v>116.315</v>
      </c>
      <c r="F16" s="61">
        <f>SUMIF('14 - Investimentos'!$C$5:$C$72,"Indivisível",'14 - Investimentos'!G5:G72)/1000</f>
        <v>116.315</v>
      </c>
      <c r="G16" s="61">
        <f>SUMIF('14 - Investimentos'!$C$5:$C$72,"Indivisível",'14 - Investimentos'!H5:H72)/1000</f>
        <v>0.29299999999999998</v>
      </c>
      <c r="H16" s="61">
        <f>SUMIF('14 - Investimentos'!$C$5:$C$72,"Indivisível",'14 - Investimentos'!I5:I72)/1000</f>
        <v>501.54199999999997</v>
      </c>
      <c r="I16" s="61">
        <f>SUMIF('14 - Investimentos'!$C$5:$C$72,"Indivisível",'14 - Investimentos'!J5:J72)/1000</f>
        <v>619.8302666666666</v>
      </c>
      <c r="J16" s="61">
        <f>SUMIF('14 - Investimentos'!$C$5:$C$72,"Indivisível",'14 - Investimentos'!K5:K72)/1000</f>
        <v>116.608</v>
      </c>
      <c r="K16" s="61">
        <f>SUMIF('14 - Investimentos'!$C$5:$C$72,"Indivisível",'14 - Investimentos'!L5:L72)/1000</f>
        <v>5376.8576700000003</v>
      </c>
      <c r="L16" s="61">
        <f>SUMIF('14 - Investimentos'!$C$5:$C$72,"Indivisível",'14 - Investimentos'!M5:M72)/1000</f>
        <v>501.54199999999997</v>
      </c>
      <c r="M16" s="61">
        <f>SUMIF('14 - Investimentos'!$C$5:$C$72,"Indivisível",'14 - Investimentos'!N5:N72)/1000</f>
        <v>0</v>
      </c>
      <c r="N16" s="61">
        <f>SUMIF('14 - Investimentos'!$C$5:$C$72,"Indivisível",'14 - Investimentos'!O5:O72)/1000</f>
        <v>620.12326666666661</v>
      </c>
      <c r="O16" s="61">
        <f>SUMIF('14 - Investimentos'!$C$5:$C$72,"Indivisível",'14 - Investimentos'!P5:P72)/1000</f>
        <v>116.901</v>
      </c>
      <c r="P16" s="61">
        <f>SUMIF('14 - Investimentos'!$C$5:$C$72,"Indivisível",'14 - Investimentos'!Q5:Q72)/1000</f>
        <v>617.85699999999997</v>
      </c>
      <c r="Q16" s="61">
        <f>SUMIF('14 - Investimentos'!$C$5:$C$72,"Indivisível",'14 - Investimentos'!R5:R72)/1000</f>
        <v>0</v>
      </c>
      <c r="R16" s="61">
        <f>SUMIF('14 - Investimentos'!$C$5:$C$72,"Indivisível",'14 - Investimentos'!S5:S72)/1000</f>
        <v>4896.16867</v>
      </c>
      <c r="S16" s="61">
        <f>SUMIF('14 - Investimentos'!$C$5:$C$72,"Indivisível",'14 - Investimentos'!T5:T72)/1000</f>
        <v>620.41626666666662</v>
      </c>
      <c r="T16" s="61">
        <f>SUMIF('14 - Investimentos'!$C$5:$C$72,"Indivisível",'14 - Investimentos'!U5:U72)/1000</f>
        <v>617.85699999999997</v>
      </c>
      <c r="U16" s="61">
        <f>SUMIF('14 - Investimentos'!$C$5:$C$72,"Indivisível",'14 - Investimentos'!V5:V72)/1000</f>
        <v>116.315</v>
      </c>
      <c r="V16" s="61">
        <f>SUMIF('14 - Investimentos'!$C$5:$C$72,"Indivisível",'14 - Investimentos'!W5:W72)/1000</f>
        <v>0.29299999999999998</v>
      </c>
      <c r="W16" s="61">
        <f>SUMIF('14 - Investimentos'!$C$5:$C$72,"Indivisível",'14 - Investimentos'!X5:X72)/1000</f>
        <v>0.58599999999999997</v>
      </c>
      <c r="X16" s="61">
        <f>SUMIF('14 - Investimentos'!$C$5:$C$72,"Indivisível",'14 - Investimentos'!Y5:Y72)/1000</f>
        <v>1121.3722666666665</v>
      </c>
      <c r="Y16" s="61">
        <f>SUMIF('14 - Investimentos'!$C$5:$C$72,"Indivisível",'14 - Investimentos'!Z5:Z72)/1000</f>
        <v>5012.19067</v>
      </c>
      <c r="Z16" s="61">
        <f>SUMIF('14 - Investimentos'!$C$5:$C$72,"Indivisível",'14 - Investimentos'!AA5:AA72)/1000</f>
        <v>116.608</v>
      </c>
      <c r="AA16" s="61">
        <f>SUMIF('14 - Investimentos'!$C$5:$C$72,"Indivisível",'14 - Investimentos'!AB5:AB72)/1000</f>
        <v>0.58599999999999997</v>
      </c>
      <c r="AB16" s="61">
        <f>SUMIF('14 - Investimentos'!$C$5:$C$72,"Indivisível",'14 - Investimentos'!AC5:AC72)/1000</f>
        <v>501.54199999999997</v>
      </c>
      <c r="AC16" s="61">
        <f>SUMIF('14 - Investimentos'!$C$5:$C$72,"Indivisível",'14 - Investimentos'!AD5:AD72)/1000</f>
        <v>619.8302666666666</v>
      </c>
      <c r="AD16" s="61">
        <f>SUMIF('14 - Investimentos'!$C$5:$C$72,"Indivisível",'14 - Investimentos'!AE5:AE72)/1000</f>
        <v>116.315</v>
      </c>
      <c r="AE16" s="61">
        <f>SUMIF('14 - Investimentos'!$C$5:$C$72,"Indivisível",'14 - Investimentos'!AF5:AF72)/1000</f>
        <v>116.901</v>
      </c>
      <c r="AF16" s="61">
        <f>SUMIF('14 - Investimentos'!$C$5:$C$72,"Indivisível",'14 - Investimentos'!AG5:AG72)/1000</f>
        <v>5397.4176699999998</v>
      </c>
      <c r="AG16" s="61">
        <f>SUMIF('14 - Investimentos'!$C$5:$C$72,"Indivisível",'14 - Investimentos'!AH5:AH72)/1000</f>
        <v>0</v>
      </c>
      <c r="AH16" s="61">
        <f>SUMIF('14 - Investimentos'!$C$5:$C$72,"Indivisível",'14 - Investimentos'!AI5:AI72)/1000</f>
        <v>619.8302666666666</v>
      </c>
      <c r="AI16" s="61">
        <f>SUMIF('14 - Investimentos'!$C$5:$C$72,"Indivisível",'14 - Investimentos'!AJ5:AJ72)/1000</f>
        <v>116.901</v>
      </c>
      <c r="AJ16" s="61">
        <f>SUMIF('14 - Investimentos'!$C$5:$C$72,"Indivisível",'14 - Investimentos'!AK5:AK72)/1000</f>
        <v>617.56399999999996</v>
      </c>
      <c r="AK16" s="61">
        <f>SUMIF('14 - Investimentos'!$C$5:$C$72,"Indivisível",'14 - Investimentos'!AL5:AL72)/1000</f>
        <v>0</v>
      </c>
      <c r="AL16" s="61">
        <f>SUMIF('14 - Investimentos'!$C$5:$C$72,"Indivisível",'14 - Investimentos'!AM5:AM72)/1000</f>
        <v>0</v>
      </c>
    </row>
    <row r="17" spans="2:38" ht="13.15" customHeight="1" x14ac:dyDescent="0.2">
      <c r="B17" s="403" t="s">
        <v>1406</v>
      </c>
      <c r="C17" s="61">
        <f>SUM(D17:AL17)</f>
        <v>93379.172350068955</v>
      </c>
      <c r="D17" s="61">
        <f>D15*'33 - WACC'!$C$25</f>
        <v>0</v>
      </c>
      <c r="E17" s="61">
        <f>E15*'33 - WACC'!$C$25</f>
        <v>650.26422480787824</v>
      </c>
      <c r="F17" s="61">
        <f>F15*'33 - WACC'!$C$25</f>
        <v>704.71602851656985</v>
      </c>
      <c r="G17" s="61">
        <f>G15*'33 - WACC'!$C$25</f>
        <v>761.97172079163693</v>
      </c>
      <c r="H17" s="61">
        <f>H15*'33 - WACC'!$C$25</f>
        <v>811.26906483632808</v>
      </c>
      <c r="I17" s="61">
        <f>I15*'33 - WACC'!$C$25</f>
        <v>909.06007889199418</v>
      </c>
      <c r="J17" s="61">
        <f>J15*'33 - WACC'!$C$25</f>
        <v>1022.5978034733171</v>
      </c>
      <c r="K17" s="61">
        <f>K15*'33 - WACC'!$C$25</f>
        <v>1095.1609365907464</v>
      </c>
      <c r="L17" s="61">
        <f>L15*'33 - WACC'!$C$25</f>
        <v>1655.3716257518529</v>
      </c>
      <c r="M17" s="61">
        <f>M15*'33 - WACC'!$C$25</f>
        <v>1796.3011690385999</v>
      </c>
      <c r="N17" s="61">
        <f>N15*'33 - WACC'!$C$25</f>
        <v>1895.9258425109667</v>
      </c>
      <c r="O17" s="61">
        <f>O15*'33 - WACC'!$C$25</f>
        <v>2054.2889615426061</v>
      </c>
      <c r="P17" s="61">
        <f>P15*'33 - WACC'!$C$25</f>
        <v>2170.8846741171965</v>
      </c>
      <c r="Q17" s="61">
        <f>Q15*'33 - WACC'!$C$25</f>
        <v>2334.5566102387843</v>
      </c>
      <c r="R17" s="61">
        <f>R15*'33 - WACC'!$C$25</f>
        <v>2444.3534355084903</v>
      </c>
      <c r="S17" s="61">
        <f>S15*'33 - WACC'!$C$25</f>
        <v>2998.2054404383734</v>
      </c>
      <c r="T17" s="61">
        <f>T15*'33 - WACC'!$C$25</f>
        <v>3179.1229471879215</v>
      </c>
      <c r="U17" s="61">
        <f>U15*'33 - WACC'!$C$25</f>
        <v>3357.6001159019447</v>
      </c>
      <c r="V17" s="61">
        <f>V15*'33 - WACC'!$C$25</f>
        <v>3486.3247129137922</v>
      </c>
      <c r="W17" s="61">
        <f>W15*'33 - WACC'!$C$25</f>
        <v>3596.0357480765056</v>
      </c>
      <c r="X17" s="61">
        <f>X15*'33 - WACC'!$C$25</f>
        <v>3693.9986343426726</v>
      </c>
      <c r="Y17" s="61">
        <f>Y15*'33 - WACC'!$C$25</f>
        <v>3876.6181574403017</v>
      </c>
      <c r="Z17" s="61">
        <f>Z15*'33 - WACC'!$C$25</f>
        <v>4386.7364643499905</v>
      </c>
      <c r="AA17" s="61">
        <f>AA15*'33 - WACC'!$C$25</f>
        <v>4445.0318201611408</v>
      </c>
      <c r="AB17" s="61">
        <f>AB15*'33 - WACC'!$C$25</f>
        <v>4461.8293038948123</v>
      </c>
      <c r="AC17" s="61">
        <f>AC15*'33 - WACC'!$C$25</f>
        <v>4484.1561139378437</v>
      </c>
      <c r="AD17" s="61">
        <f>AD15*'33 - WACC'!$C$25</f>
        <v>4470.2179184263314</v>
      </c>
      <c r="AE17" s="61">
        <f>AE15*'33 - WACC'!$C$25</f>
        <v>4358.4794180257568</v>
      </c>
      <c r="AF17" s="61">
        <f>AF15*'33 - WACC'!$C$25</f>
        <v>4182.9588476233503</v>
      </c>
      <c r="AG17" s="61">
        <f>AG15*'33 - WACC'!$C$25</f>
        <v>4363.452734589544</v>
      </c>
      <c r="AH17" s="61">
        <f>AH15*'33 - WACC'!$C$25</f>
        <v>3977.2992904773109</v>
      </c>
      <c r="AI17" s="61">
        <f>AI15*'33 - WACC'!$C$25</f>
        <v>3525.87505888036</v>
      </c>
      <c r="AJ17" s="61">
        <f>AJ15*'33 - WACC'!$C$25</f>
        <v>2899.4373887780184</v>
      </c>
      <c r="AK17" s="61">
        <f>AK15*'33 - WACC'!$C$25</f>
        <v>2152.4531250175842</v>
      </c>
      <c r="AL17" s="61">
        <f>AL15*'33 - WACC'!$C$25</f>
        <v>1176.616932988434</v>
      </c>
    </row>
    <row r="18" spans="2:38" ht="13.15" customHeight="1" x14ac:dyDescent="0.2">
      <c r="B18" s="403" t="s">
        <v>1407</v>
      </c>
      <c r="C18" s="61">
        <f>SUM(D18:AL18)</f>
        <v>-129683.67256673558</v>
      </c>
      <c r="D18" s="61">
        <f t="shared" ref="D18:AL18" si="4">-SUM(D15:D17)*D22</f>
        <v>-173.16227392921061</v>
      </c>
      <c r="E18" s="61">
        <f t="shared" si="4"/>
        <v>-195.61527971201085</v>
      </c>
      <c r="F18" s="61">
        <f t="shared" si="4"/>
        <v>-220.66641772317089</v>
      </c>
      <c r="G18" s="61">
        <f t="shared" si="4"/>
        <v>-245.34876720657047</v>
      </c>
      <c r="H18" s="61">
        <f t="shared" si="4"/>
        <v>-287.40622280653031</v>
      </c>
      <c r="I18" s="61">
        <f t="shared" si="4"/>
        <v>-338.37060647033746</v>
      </c>
      <c r="J18" s="61">
        <f t="shared" si="4"/>
        <v>-378.3323349856127</v>
      </c>
      <c r="K18" s="61">
        <f t="shared" si="4"/>
        <v>-597.83109795467385</v>
      </c>
      <c r="L18" s="61">
        <f t="shared" si="4"/>
        <v>-679.17216385211384</v>
      </c>
      <c r="M18" s="61">
        <f t="shared" si="4"/>
        <v>-751.66916935352162</v>
      </c>
      <c r="N18" s="61">
        <f t="shared" si="4"/>
        <v>-855.50482888672093</v>
      </c>
      <c r="O18" s="61">
        <f t="shared" si="4"/>
        <v>-948.60515261688283</v>
      </c>
      <c r="P18" s="61">
        <f t="shared" si="4"/>
        <v>-1072.5308604331005</v>
      </c>
      <c r="Q18" s="61">
        <f t="shared" si="4"/>
        <v>-1183.2627274801123</v>
      </c>
      <c r="R18" s="61">
        <f t="shared" si="4"/>
        <v>-1533.0096964467336</v>
      </c>
      <c r="S18" s="61">
        <f t="shared" si="4"/>
        <v>-1721.5794356817698</v>
      </c>
      <c r="T18" s="61">
        <f t="shared" si="4"/>
        <v>-1925.5262685610414</v>
      </c>
      <c r="U18" s="61">
        <f t="shared" si="4"/>
        <v>-2124.1507603636464</v>
      </c>
      <c r="V18" s="61">
        <f t="shared" si="4"/>
        <v>-2336.2233973797497</v>
      </c>
      <c r="W18" s="61">
        <f t="shared" si="4"/>
        <v>-2569.4147098167227</v>
      </c>
      <c r="X18" s="61">
        <f t="shared" si="4"/>
        <v>-2900.4818384326177</v>
      </c>
      <c r="Y18" s="61">
        <f t="shared" si="4"/>
        <v>-3539.8737850499724</v>
      </c>
      <c r="Z18" s="61">
        <f t="shared" si="4"/>
        <v>-3892.078279068618</v>
      </c>
      <c r="AA18" s="61">
        <f t="shared" si="4"/>
        <v>-4269.4848561996623</v>
      </c>
      <c r="AB18" s="61">
        <f t="shared" si="4"/>
        <v>-4729.259618416505</v>
      </c>
      <c r="AC18" s="61">
        <f t="shared" si="4"/>
        <v>-5250.1377760540672</v>
      </c>
      <c r="AD18" s="61">
        <f t="shared" si="4"/>
        <v>-5758.1865765699686</v>
      </c>
      <c r="AE18" s="61">
        <f t="shared" si="4"/>
        <v>-6315.8321661179607</v>
      </c>
      <c r="AF18" s="61">
        <f t="shared" si="4"/>
        <v>-7687.7761857916357</v>
      </c>
      <c r="AG18" s="61">
        <f t="shared" si="4"/>
        <v>-8412.5324499688122</v>
      </c>
      <c r="AH18" s="61">
        <f t="shared" si="4"/>
        <v>-9330.617570936327</v>
      </c>
      <c r="AI18" s="61">
        <f t="shared" si="4"/>
        <v>-10211.398200247617</v>
      </c>
      <c r="AJ18" s="61">
        <f t="shared" si="4"/>
        <v>-11349.635996125478</v>
      </c>
      <c r="AK18" s="61">
        <f t="shared" si="4"/>
        <v>-12384.754794013648</v>
      </c>
      <c r="AL18" s="61">
        <f t="shared" si="4"/>
        <v>-13514.240302082471</v>
      </c>
    </row>
    <row r="19" spans="2:38" ht="13.15" customHeight="1" x14ac:dyDescent="0.2">
      <c r="B19" s="202" t="s">
        <v>1124</v>
      </c>
      <c r="C19" s="206">
        <f t="shared" ref="C19:AL19" si="5">SUM(C15:C18)</f>
        <v>0</v>
      </c>
      <c r="D19" s="206">
        <f t="shared" si="5"/>
        <v>6818.4596627374558</v>
      </c>
      <c r="E19" s="206">
        <f t="shared" si="5"/>
        <v>7389.4236078333224</v>
      </c>
      <c r="F19" s="206">
        <f t="shared" si="5"/>
        <v>7989.7882186267216</v>
      </c>
      <c r="G19" s="206">
        <f t="shared" si="5"/>
        <v>8506.7041722117865</v>
      </c>
      <c r="H19" s="206">
        <f t="shared" si="5"/>
        <v>9532.1090142415833</v>
      </c>
      <c r="I19" s="206">
        <f t="shared" si="5"/>
        <v>10722.628753329906</v>
      </c>
      <c r="J19" s="206">
        <f t="shared" si="5"/>
        <v>11483.502221817611</v>
      </c>
      <c r="K19" s="206">
        <f t="shared" si="5"/>
        <v>17357.689730453683</v>
      </c>
      <c r="L19" s="206">
        <f t="shared" si="5"/>
        <v>18835.431192353426</v>
      </c>
      <c r="M19" s="206">
        <f t="shared" si="5"/>
        <v>19880.063192038506</v>
      </c>
      <c r="N19" s="206">
        <f t="shared" si="5"/>
        <v>21540.607472329415</v>
      </c>
      <c r="O19" s="206">
        <f t="shared" si="5"/>
        <v>22763.192281255142</v>
      </c>
      <c r="P19" s="206">
        <f t="shared" si="5"/>
        <v>24479.40309493924</v>
      </c>
      <c r="Q19" s="206">
        <f t="shared" si="5"/>
        <v>25630.696977697913</v>
      </c>
      <c r="R19" s="206">
        <f t="shared" si="5"/>
        <v>31438.209386759667</v>
      </c>
      <c r="S19" s="206">
        <f t="shared" si="5"/>
        <v>33335.251658182933</v>
      </c>
      <c r="T19" s="206">
        <f t="shared" si="5"/>
        <v>35206.705336809806</v>
      </c>
      <c r="U19" s="206">
        <f t="shared" si="5"/>
        <v>36556.469692348102</v>
      </c>
      <c r="V19" s="206">
        <f t="shared" si="5"/>
        <v>37706.864007882141</v>
      </c>
      <c r="W19" s="206">
        <f t="shared" si="5"/>
        <v>38734.071046141929</v>
      </c>
      <c r="X19" s="206">
        <f t="shared" si="5"/>
        <v>40648.960108718646</v>
      </c>
      <c r="Y19" s="206">
        <f t="shared" si="5"/>
        <v>45997.895151108969</v>
      </c>
      <c r="Z19" s="206">
        <f t="shared" si="5"/>
        <v>46609.161336390338</v>
      </c>
      <c r="AA19" s="206">
        <f t="shared" si="5"/>
        <v>46785.294300351816</v>
      </c>
      <c r="AB19" s="206">
        <f t="shared" si="5"/>
        <v>47019.405985830119</v>
      </c>
      <c r="AC19" s="206">
        <f t="shared" si="5"/>
        <v>46873.254590380559</v>
      </c>
      <c r="AD19" s="206">
        <f t="shared" si="5"/>
        <v>45701.600932236921</v>
      </c>
      <c r="AE19" s="206">
        <f t="shared" si="5"/>
        <v>43861.14918414472</v>
      </c>
      <c r="AF19" s="206">
        <f t="shared" si="5"/>
        <v>45753.749515976437</v>
      </c>
      <c r="AG19" s="206">
        <f t="shared" si="5"/>
        <v>41704.66980059717</v>
      </c>
      <c r="AH19" s="206">
        <f t="shared" si="5"/>
        <v>36971.181786804824</v>
      </c>
      <c r="AI19" s="206">
        <f t="shared" si="5"/>
        <v>30402.559645437563</v>
      </c>
      <c r="AJ19" s="206">
        <f t="shared" si="5"/>
        <v>22569.925038090099</v>
      </c>
      <c r="AK19" s="206">
        <f t="shared" si="5"/>
        <v>12337.623369094037</v>
      </c>
      <c r="AL19" s="206">
        <f t="shared" si="5"/>
        <v>0</v>
      </c>
    </row>
    <row r="21" spans="2:38" ht="13.15" customHeight="1" x14ac:dyDescent="0.2">
      <c r="B21" s="403" t="s">
        <v>1411</v>
      </c>
      <c r="C21" s="61"/>
      <c r="D21" s="61">
        <f>SUM('30 - Dem. Resultados'!C5:C5)</f>
        <v>34895.1890919871</v>
      </c>
      <c r="E21" s="61">
        <f>SUM('30 - Dem. Resultados'!D5:D5)</f>
        <v>35435.903854764008</v>
      </c>
      <c r="F21" s="61">
        <f>SUM('30 - Dem. Resultados'!E5:E5)</f>
        <v>35976.618617540909</v>
      </c>
      <c r="G21" s="61">
        <f>SUM('30 - Dem. Resultados'!F5:F5)</f>
        <v>36516.850167839897</v>
      </c>
      <c r="H21" s="61">
        <f>SUM('30 - Dem. Resultados'!G5:G5)</f>
        <v>37057.564930616805</v>
      </c>
      <c r="I21" s="61">
        <f>SUM('30 - Dem. Resultados'!H5:H5)</f>
        <v>37598.279693393692</v>
      </c>
      <c r="J21" s="61">
        <f>SUM('30 - Dem. Resultados'!I5:I5)</f>
        <v>38001.27889996735</v>
      </c>
      <c r="K21" s="61">
        <f>SUM('30 - Dem. Resultados'!J5:J5)</f>
        <v>38404.278106541024</v>
      </c>
      <c r="L21" s="61">
        <f>SUM('30 - Dem. Resultados'!K5:K5)</f>
        <v>38807.277313114675</v>
      </c>
      <c r="M21" s="61">
        <f>SUM('30 - Dem. Resultados'!L5:L5)</f>
        <v>39210.276519688348</v>
      </c>
      <c r="N21" s="61">
        <f>SUM('30 - Dem. Resultados'!M5:M5)</f>
        <v>39613.275726262</v>
      </c>
      <c r="O21" s="61">
        <f>SUM('30 - Dem. Resultados'!N5:N5)</f>
        <v>39902.23678804985</v>
      </c>
      <c r="P21" s="61">
        <f>SUM('30 - Dem. Resultados'!O5:O5)</f>
        <v>40191.197849837685</v>
      </c>
      <c r="Q21" s="61">
        <f>SUM('30 - Dem. Resultados'!P5:P5)</f>
        <v>40480.15891162552</v>
      </c>
      <c r="R21" s="61">
        <f>SUM('30 - Dem. Resultados'!Q5:Q5)</f>
        <v>40769.119973413362</v>
      </c>
      <c r="S21" s="61">
        <f>SUM('30 - Dem. Resultados'!R5:R5)</f>
        <v>41058.08103520119</v>
      </c>
      <c r="T21" s="61">
        <f>SUM('30 - Dem. Resultados'!S5:S5)</f>
        <v>41226.238977512505</v>
      </c>
      <c r="U21" s="61">
        <f>SUM('30 - Dem. Resultados'!T5:T5)</f>
        <v>41394.396919823812</v>
      </c>
      <c r="V21" s="61">
        <f>SUM('30 - Dem. Resultados'!U5:U5)</f>
        <v>41563.038074613047</v>
      </c>
      <c r="W21" s="61">
        <f>SUM('30 - Dem. Resultados'!V5:V5)</f>
        <v>41731.196016924354</v>
      </c>
      <c r="X21" s="61">
        <f>SUM('30 - Dem. Resultados'!W5:W5)</f>
        <v>41899.353959235676</v>
      </c>
      <c r="Y21" s="61">
        <f>SUM('30 - Dem. Resultados'!X5:X5)</f>
        <v>41960.238731451827</v>
      </c>
      <c r="Z21" s="61">
        <f>SUM('30 - Dem. Resultados'!Y5:Y5)</f>
        <v>42021.123503667994</v>
      </c>
      <c r="AA21" s="61">
        <f>SUM('30 - Dem. Resultados'!Z5:Z5)</f>
        <v>42082.00827588416</v>
      </c>
      <c r="AB21" s="61">
        <f>SUM('30 - Dem. Resultados'!AA5:AA5)</f>
        <v>42142.893048100341</v>
      </c>
      <c r="AC21" s="61">
        <f>SUM('30 - Dem. Resultados'!AB5:AB5)</f>
        <v>42203.294607838594</v>
      </c>
      <c r="AD21" s="61">
        <f>SUM('30 - Dem. Resultados'!AC5:AC5)</f>
        <v>42161.738334738679</v>
      </c>
      <c r="AE21" s="61">
        <f>SUM('30 - Dem. Resultados'!AD5:AD5)</f>
        <v>42120.182061638763</v>
      </c>
      <c r="AF21" s="61">
        <f>SUM('30 - Dem. Resultados'!AE5:AE5)</f>
        <v>42078.625788538833</v>
      </c>
      <c r="AG21" s="61">
        <f>SUM('30 - Dem. Resultados'!AF5:AF5)</f>
        <v>42036.58630296099</v>
      </c>
      <c r="AH21" s="61">
        <f>SUM('30 - Dem. Resultados'!AG5:AG5)</f>
        <v>41995.030029861067</v>
      </c>
      <c r="AI21" s="61">
        <f>SUM('30 - Dem. Resultados'!AH5:AH5)</f>
        <v>41837.019549585792</v>
      </c>
      <c r="AJ21" s="61">
        <f>SUM('30 - Dem. Resultados'!AI5:AI5)</f>
        <v>41679.009069310487</v>
      </c>
      <c r="AK21" s="61">
        <f>SUM('30 - Dem. Resultados'!AJ5:AJ5)</f>
        <v>41520.515376557312</v>
      </c>
      <c r="AL21" s="61">
        <f>SUM('30 - Dem. Resultados'!AK5:AK5)</f>
        <v>41362.504896282022</v>
      </c>
    </row>
    <row r="22" spans="2:38" ht="13.15" customHeight="1" x14ac:dyDescent="0.2">
      <c r="B22" s="403" t="s">
        <v>1409</v>
      </c>
      <c r="C22" s="115"/>
      <c r="D22" s="115">
        <f>D21/SUM(D$21:$AL21)</f>
        <v>2.4767110621511618E-2</v>
      </c>
      <c r="E22" s="115">
        <f>E21/SUM(E$21:$AL21)</f>
        <v>2.578962120197063E-2</v>
      </c>
      <c r="F22" s="115">
        <f>F21/SUM(F$21:$AL21)</f>
        <v>2.68762726909447E-2</v>
      </c>
      <c r="G22" s="115">
        <f>G21/SUM(G$21:$AL21)</f>
        <v>2.8033281894530658E-2</v>
      </c>
      <c r="H22" s="115">
        <f>H21/SUM(H$21:$AL21)</f>
        <v>2.9268880985302968E-2</v>
      </c>
      <c r="I22" s="115">
        <f>I21/SUM(I$21:$AL21)</f>
        <v>3.0591323212629518E-2</v>
      </c>
      <c r="J22" s="115">
        <f>J21/SUM(J$21:$AL21)</f>
        <v>3.1894925963928941E-2</v>
      </c>
      <c r="K22" s="115">
        <f>K21/SUM(K$21:$AL21)</f>
        <v>3.3295113167021835E-2</v>
      </c>
      <c r="L22" s="115">
        <f>L21/SUM(L$21:$AL21)</f>
        <v>3.4803277907062391E-2</v>
      </c>
      <c r="M22" s="115">
        <f>M21/SUM(M$21:$AL21)</f>
        <v>3.6432673523824559E-2</v>
      </c>
      <c r="N22" s="115">
        <f>N21/SUM(N$21:$AL21)</f>
        <v>3.8198809569295916E-2</v>
      </c>
      <c r="O22" s="115">
        <f>O21/SUM(O$21:$AL21)</f>
        <v>4.0005619787465439E-2</v>
      </c>
      <c r="P22" s="115">
        <f>P21/SUM(P$21:$AL21)</f>
        <v>4.1974547300659366E-2</v>
      </c>
      <c r="Q22" s="115">
        <f>Q21/SUM(Q$21:$AL21)</f>
        <v>4.4128608399885576E-2</v>
      </c>
      <c r="R22" s="115">
        <f>R21/SUM(R$21:$AL21)</f>
        <v>4.6495390194036187E-2</v>
      </c>
      <c r="S22" s="115">
        <f>S21/SUM(S$21:$AL21)</f>
        <v>4.9108244583551744E-2</v>
      </c>
      <c r="T22" s="115">
        <f>T21/SUM(T$21:$AL21)</f>
        <v>5.1855926382903719E-2</v>
      </c>
      <c r="U22" s="115">
        <f>U21/SUM(U$21:$AL21)</f>
        <v>5.4915116032341983E-2</v>
      </c>
      <c r="V22" s="115">
        <f>V21/SUM(V$21:$AL21)</f>
        <v>5.8342739003505423E-2</v>
      </c>
      <c r="W22" s="115">
        <f>W21/SUM(W$21:$AL21)</f>
        <v>6.220818080580634E-2</v>
      </c>
      <c r="X22" s="115">
        <f>X21/SUM(X$21:$AL21)</f>
        <v>6.6602043763326554E-2</v>
      </c>
      <c r="Y22" s="115">
        <f>Y21/SUM(Y$21:$AL21)</f>
        <v>7.1458078574590869E-2</v>
      </c>
      <c r="Z22" s="115">
        <f>Z21/SUM(Z$21:$AL21)</f>
        <v>7.706896521164229E-2</v>
      </c>
      <c r="AA22" s="115">
        <f>AA21/SUM(AA$21:$AL21)</f>
        <v>8.3625567022980477E-2</v>
      </c>
      <c r="AB22" s="115">
        <f>AB21/SUM(AB$21:$AL21)</f>
        <v>9.1389015797702228E-2</v>
      </c>
      <c r="AC22" s="115">
        <f>AC21/SUM(AC$21:$AL21)</f>
        <v>0.10072517420095906</v>
      </c>
      <c r="AD22" s="115">
        <f>AD21/SUM(AD$21:$AL21)</f>
        <v>0.11189681993118424</v>
      </c>
      <c r="AE22" s="115">
        <f>AE21/SUM(AE$21:$AL21)</f>
        <v>0.12587110655441805</v>
      </c>
      <c r="AF22" s="115">
        <f>AF21/SUM(AF$21:$AL21)</f>
        <v>0.1438539803053806</v>
      </c>
      <c r="AG22" s="115">
        <f>AG21/SUM(AG$21:$AL21)</f>
        <v>0.1678571842041284</v>
      </c>
      <c r="AH22" s="115">
        <f>AH21/SUM(AH$21:$AL21)</f>
        <v>0.20151738594099261</v>
      </c>
      <c r="AI22" s="115">
        <f>AI21/SUM(AI$21:$AL21)</f>
        <v>0.25142583343013131</v>
      </c>
      <c r="AJ22" s="115">
        <f>AJ21/SUM(AJ$21:$AL21)</f>
        <v>0.33460444799615163</v>
      </c>
      <c r="AK22" s="115">
        <f>AK21/SUM(AK$21:$AL21)</f>
        <v>0.50095321381722779</v>
      </c>
      <c r="AL22" s="115">
        <f>AL21/SUM(AL$21:$AL21)</f>
        <v>1</v>
      </c>
    </row>
    <row r="24" spans="2:38" ht="13.15" customHeight="1" x14ac:dyDescent="0.2">
      <c r="C24" s="61"/>
    </row>
    <row r="25" spans="2:38" ht="13.15" customHeight="1" x14ac:dyDescent="0.2">
      <c r="B25" s="204" t="s">
        <v>1412</v>
      </c>
      <c r="C25" s="205" t="s">
        <v>71</v>
      </c>
      <c r="D25" s="205" t="s">
        <v>708</v>
      </c>
      <c r="E25" s="205" t="s">
        <v>709</v>
      </c>
      <c r="F25" s="205" t="s">
        <v>710</v>
      </c>
      <c r="G25" s="205" t="s">
        <v>711</v>
      </c>
      <c r="H25" s="205" t="s">
        <v>712</v>
      </c>
      <c r="I25" s="205" t="s">
        <v>713</v>
      </c>
      <c r="J25" s="205" t="s">
        <v>714</v>
      </c>
      <c r="K25" s="205" t="s">
        <v>715</v>
      </c>
      <c r="L25" s="205" t="s">
        <v>716</v>
      </c>
      <c r="M25" s="205" t="s">
        <v>717</v>
      </c>
      <c r="N25" s="205" t="s">
        <v>718</v>
      </c>
      <c r="O25" s="205" t="s">
        <v>719</v>
      </c>
      <c r="P25" s="205" t="s">
        <v>720</v>
      </c>
      <c r="Q25" s="205" t="s">
        <v>721</v>
      </c>
      <c r="R25" s="205" t="s">
        <v>722</v>
      </c>
      <c r="S25" s="205" t="s">
        <v>723</v>
      </c>
      <c r="T25" s="205" t="s">
        <v>724</v>
      </c>
      <c r="U25" s="205" t="s">
        <v>725</v>
      </c>
      <c r="V25" s="205" t="s">
        <v>726</v>
      </c>
      <c r="W25" s="205" t="s">
        <v>727</v>
      </c>
      <c r="X25" s="205" t="s">
        <v>728</v>
      </c>
      <c r="Y25" s="205" t="s">
        <v>729</v>
      </c>
      <c r="Z25" s="205" t="s">
        <v>730</v>
      </c>
      <c r="AA25" s="205" t="s">
        <v>731</v>
      </c>
      <c r="AB25" s="205" t="s">
        <v>732</v>
      </c>
      <c r="AC25" s="205" t="s">
        <v>733</v>
      </c>
      <c r="AD25" s="205" t="s">
        <v>734</v>
      </c>
      <c r="AE25" s="205" t="s">
        <v>735</v>
      </c>
      <c r="AF25" s="205" t="s">
        <v>736</v>
      </c>
      <c r="AG25" s="205" t="s">
        <v>737</v>
      </c>
      <c r="AH25" s="205" t="s">
        <v>738</v>
      </c>
      <c r="AI25" s="205" t="s">
        <v>739</v>
      </c>
      <c r="AJ25" s="205" t="s">
        <v>740</v>
      </c>
      <c r="AK25" s="205" t="s">
        <v>741</v>
      </c>
      <c r="AL25" s="205" t="s">
        <v>742</v>
      </c>
    </row>
    <row r="26" spans="2:38" ht="13.15" customHeight="1" x14ac:dyDescent="0.2">
      <c r="B26" s="403" t="s">
        <v>1413</v>
      </c>
      <c r="D26" s="223">
        <f>SUM(D6,D17)*34%</f>
        <v>0</v>
      </c>
      <c r="E26" s="223">
        <f t="shared" ref="E26:AL26" si="6">SUM(E6,E17)*34%</f>
        <v>779.17139936265232</v>
      </c>
      <c r="F26" s="223">
        <f t="shared" si="6"/>
        <v>835.69702080751074</v>
      </c>
      <c r="G26" s="223">
        <f t="shared" si="6"/>
        <v>915.13963917107651</v>
      </c>
      <c r="H26" s="223">
        <f t="shared" si="6"/>
        <v>972.01146129965923</v>
      </c>
      <c r="I26" s="223">
        <f t="shared" si="6"/>
        <v>1074.4508505415968</v>
      </c>
      <c r="J26" s="223">
        <f t="shared" si="6"/>
        <v>1205.6711700130506</v>
      </c>
      <c r="K26" s="223">
        <f t="shared" si="6"/>
        <v>1282.5139280873236</v>
      </c>
      <c r="L26" s="223">
        <f t="shared" si="6"/>
        <v>2066.7350426563594</v>
      </c>
      <c r="M26" s="223">
        <f t="shared" si="6"/>
        <v>2204.4285934163358</v>
      </c>
      <c r="N26" s="223">
        <f t="shared" si="6"/>
        <v>2343.54705836529</v>
      </c>
      <c r="O26" s="223">
        <f t="shared" si="6"/>
        <v>2531.5696789250201</v>
      </c>
      <c r="P26" s="223">
        <f t="shared" si="6"/>
        <v>2665.1023001056074</v>
      </c>
      <c r="Q26" s="223">
        <f t="shared" si="6"/>
        <v>2868.4284814831658</v>
      </c>
      <c r="R26" s="223">
        <f t="shared" si="6"/>
        <v>3000.8505154960449</v>
      </c>
      <c r="S26" s="223">
        <f t="shared" si="6"/>
        <v>3815.9411034086461</v>
      </c>
      <c r="T26" s="223">
        <f t="shared" si="6"/>
        <v>4011.6331736911397</v>
      </c>
      <c r="U26" s="223">
        <f t="shared" si="6"/>
        <v>4192.8021493013684</v>
      </c>
      <c r="V26" s="223">
        <f t="shared" si="6"/>
        <v>4364.7204847485809</v>
      </c>
      <c r="W26" s="223">
        <f t="shared" si="6"/>
        <v>4500.3753395189206</v>
      </c>
      <c r="X26" s="223">
        <f t="shared" si="6"/>
        <v>4666.4946859151996</v>
      </c>
      <c r="Y26" s="223">
        <f t="shared" si="6"/>
        <v>4857.2263765086664</v>
      </c>
      <c r="Z26" s="223">
        <f t="shared" si="6"/>
        <v>5594.9668154104038</v>
      </c>
      <c r="AA26" s="223">
        <f t="shared" si="6"/>
        <v>5682.1850220726728</v>
      </c>
      <c r="AB26" s="223">
        <f t="shared" si="6"/>
        <v>5704.9446843623446</v>
      </c>
      <c r="AC26" s="223">
        <f t="shared" si="6"/>
        <v>5720.6373815618554</v>
      </c>
      <c r="AD26" s="223">
        <f t="shared" si="6"/>
        <v>5676.5004697954046</v>
      </c>
      <c r="AE26" s="223">
        <f t="shared" si="6"/>
        <v>5555.4987243377982</v>
      </c>
      <c r="AF26" s="223">
        <f t="shared" si="6"/>
        <v>5347.227280916969</v>
      </c>
      <c r="AG26" s="223">
        <f t="shared" si="6"/>
        <v>5637.2981849054622</v>
      </c>
      <c r="AH26" s="223">
        <f t="shared" si="6"/>
        <v>5161.5099617851192</v>
      </c>
      <c r="AI26" s="223">
        <f t="shared" si="6"/>
        <v>4575.631224442709</v>
      </c>
      <c r="AJ26" s="223">
        <f t="shared" si="6"/>
        <v>3762.1050662870502</v>
      </c>
      <c r="AK26" s="223">
        <f t="shared" si="6"/>
        <v>2780.0635828894751</v>
      </c>
      <c r="AL26" s="223">
        <f t="shared" si="6"/>
        <v>1535.5746013944204</v>
      </c>
    </row>
    <row r="27" spans="2:38" ht="13.15" customHeight="1" x14ac:dyDescent="0.2">
      <c r="B27" s="403" t="s">
        <v>1414</v>
      </c>
      <c r="D27" s="223">
        <f>-D26*D31</f>
        <v>0</v>
      </c>
      <c r="E27" s="223">
        <f>-(D28+E26)*E31</f>
        <v>-20.88055863276379</v>
      </c>
      <c r="F27" s="223">
        <f t="shared" ref="F27:AL27" si="7">-(E28+F26)*F31</f>
        <v>-44.357633543104292</v>
      </c>
      <c r="G27" s="223">
        <f t="shared" si="7"/>
        <v>-71.29219051415491</v>
      </c>
      <c r="H27" s="223">
        <f t="shared" si="7"/>
        <v>-101.28459197360536</v>
      </c>
      <c r="I27" s="223">
        <f t="shared" si="7"/>
        <v>-136.00597594890371</v>
      </c>
      <c r="J27" s="223">
        <f t="shared" si="7"/>
        <v>-176.34973802818453</v>
      </c>
      <c r="K27" s="223">
        <f t="shared" si="7"/>
        <v>-221.22927190623639</v>
      </c>
      <c r="L27" s="223">
        <f t="shared" si="7"/>
        <v>-296.07506961535006</v>
      </c>
      <c r="M27" s="223">
        <f t="shared" si="7"/>
        <v>-379.80553143894838</v>
      </c>
      <c r="N27" s="223">
        <f t="shared" si="7"/>
        <v>-473.27243164509497</v>
      </c>
      <c r="O27" s="223">
        <f t="shared" si="7"/>
        <v>-578.17399361456455</v>
      </c>
      <c r="P27" s="223">
        <f t="shared" si="7"/>
        <v>-694.14297683709515</v>
      </c>
      <c r="Q27" s="223">
        <f t="shared" si="7"/>
        <v>-825.35346235164059</v>
      </c>
      <c r="R27" s="223">
        <f t="shared" si="7"/>
        <v>-970.04907130436868</v>
      </c>
      <c r="S27" s="223">
        <f t="shared" si="7"/>
        <v>-1163.3407021051637</v>
      </c>
      <c r="T27" s="223">
        <f t="shared" si="7"/>
        <v>-1375.6654242243073</v>
      </c>
      <c r="U27" s="223">
        <f t="shared" si="7"/>
        <v>-1610.7132609092009</v>
      </c>
      <c r="V27" s="223">
        <f t="shared" si="7"/>
        <v>-1870.6982421926127</v>
      </c>
      <c r="W27" s="223">
        <f t="shared" si="7"/>
        <v>-2156.5176208525213</v>
      </c>
      <c r="X27" s="223">
        <f t="shared" si="7"/>
        <v>-2473.7227371926629</v>
      </c>
      <c r="Y27" s="223">
        <f t="shared" si="7"/>
        <v>-2823.3913154841925</v>
      </c>
      <c r="Z27" s="223">
        <f t="shared" si="7"/>
        <v>-3257.3547921038662</v>
      </c>
      <c r="AA27" s="223">
        <f t="shared" si="7"/>
        <v>-3735.5223529831237</v>
      </c>
      <c r="AB27" s="223">
        <f t="shared" si="7"/>
        <v>-4260.0920305171185</v>
      </c>
      <c r="AC27" s="223">
        <f t="shared" si="7"/>
        <v>-4839.6349619298835</v>
      </c>
      <c r="AD27" s="223">
        <f t="shared" si="7"/>
        <v>-5470.1272143690294</v>
      </c>
      <c r="AE27" s="223">
        <f t="shared" si="7"/>
        <v>-6164.1539528031453</v>
      </c>
      <c r="AF27" s="223">
        <f t="shared" si="7"/>
        <v>-6927.4869465171478</v>
      </c>
      <c r="AG27" s="223">
        <f t="shared" si="7"/>
        <v>-7866.8728613711955</v>
      </c>
      <c r="AH27" s="223">
        <f t="shared" si="7"/>
        <v>-8899.2017392850594</v>
      </c>
      <c r="AI27" s="223">
        <f t="shared" si="7"/>
        <v>-10023.439598666253</v>
      </c>
      <c r="AJ27" s="223">
        <f t="shared" si="7"/>
        <v>-11253.375977821042</v>
      </c>
      <c r="AK27" s="223">
        <f t="shared" si="7"/>
        <v>-12614.194413466934</v>
      </c>
      <c r="AL27" s="223">
        <f t="shared" si="7"/>
        <v>-14114.874810836443</v>
      </c>
    </row>
    <row r="28" spans="2:38" ht="13.15" customHeight="1" x14ac:dyDescent="0.2">
      <c r="B28" s="202" t="s">
        <v>1124</v>
      </c>
      <c r="C28" s="206">
        <f>SUM(C26:C27)</f>
        <v>0</v>
      </c>
      <c r="D28" s="224">
        <f>SUM(D26:D27)</f>
        <v>0</v>
      </c>
      <c r="E28" s="224">
        <f>D28+SUM(E26:E27)</f>
        <v>758.29084072988849</v>
      </c>
      <c r="F28" s="224">
        <f t="shared" ref="F28:AL28" si="8">E28+SUM(F26:F27)</f>
        <v>1549.630227994295</v>
      </c>
      <c r="G28" s="224">
        <f t="shared" si="8"/>
        <v>2393.4776766512168</v>
      </c>
      <c r="H28" s="224">
        <f t="shared" si="8"/>
        <v>3264.2045459772708</v>
      </c>
      <c r="I28" s="224">
        <f t="shared" si="8"/>
        <v>4202.6494205699637</v>
      </c>
      <c r="J28" s="224">
        <f t="shared" si="8"/>
        <v>5231.9708525548303</v>
      </c>
      <c r="K28" s="224">
        <f t="shared" si="8"/>
        <v>6293.2555087359178</v>
      </c>
      <c r="L28" s="224">
        <f t="shared" si="8"/>
        <v>8063.9154817769268</v>
      </c>
      <c r="M28" s="224">
        <f t="shared" si="8"/>
        <v>9888.5385437543137</v>
      </c>
      <c r="N28" s="224">
        <f t="shared" si="8"/>
        <v>11758.813170474508</v>
      </c>
      <c r="O28" s="224">
        <f t="shared" si="8"/>
        <v>13712.208855784964</v>
      </c>
      <c r="P28" s="224">
        <f t="shared" si="8"/>
        <v>15683.168179053477</v>
      </c>
      <c r="Q28" s="224">
        <f t="shared" si="8"/>
        <v>17726.243198185002</v>
      </c>
      <c r="R28" s="224">
        <f t="shared" si="8"/>
        <v>19757.044642376677</v>
      </c>
      <c r="S28" s="224">
        <f t="shared" si="8"/>
        <v>22409.645043680161</v>
      </c>
      <c r="T28" s="224">
        <f t="shared" si="8"/>
        <v>25045.612793146993</v>
      </c>
      <c r="U28" s="224">
        <f t="shared" si="8"/>
        <v>27627.701681539162</v>
      </c>
      <c r="V28" s="224">
        <f t="shared" si="8"/>
        <v>30121.723924095131</v>
      </c>
      <c r="W28" s="224">
        <f t="shared" si="8"/>
        <v>32465.581642761532</v>
      </c>
      <c r="X28" s="224">
        <f t="shared" si="8"/>
        <v>34658.353591484069</v>
      </c>
      <c r="Y28" s="224">
        <f t="shared" si="8"/>
        <v>36692.188652508543</v>
      </c>
      <c r="Z28" s="224">
        <f t="shared" si="8"/>
        <v>39029.80067581508</v>
      </c>
      <c r="AA28" s="224">
        <f t="shared" si="8"/>
        <v>40976.463344904631</v>
      </c>
      <c r="AB28" s="224">
        <f t="shared" si="8"/>
        <v>42421.315998749858</v>
      </c>
      <c r="AC28" s="224">
        <f t="shared" si="8"/>
        <v>43302.31841838183</v>
      </c>
      <c r="AD28" s="224">
        <f t="shared" si="8"/>
        <v>43508.691673808207</v>
      </c>
      <c r="AE28" s="224">
        <f t="shared" si="8"/>
        <v>42900.036445342863</v>
      </c>
      <c r="AF28" s="224">
        <f t="shared" si="8"/>
        <v>41319.776779742686</v>
      </c>
      <c r="AG28" s="224">
        <f t="shared" si="8"/>
        <v>39090.202103276955</v>
      </c>
      <c r="AH28" s="224">
        <f t="shared" si="8"/>
        <v>35352.510325777017</v>
      </c>
      <c r="AI28" s="224">
        <f t="shared" si="8"/>
        <v>29904.701951553474</v>
      </c>
      <c r="AJ28" s="224">
        <f t="shared" si="8"/>
        <v>22413.431040019481</v>
      </c>
      <c r="AK28" s="224">
        <f t="shared" si="8"/>
        <v>12579.300209442023</v>
      </c>
      <c r="AL28" s="224">
        <f t="shared" si="8"/>
        <v>0</v>
      </c>
    </row>
    <row r="30" spans="2:38" ht="13.15" customHeight="1" x14ac:dyDescent="0.2">
      <c r="B30" s="403" t="s">
        <v>1415</v>
      </c>
      <c r="C30" s="61"/>
      <c r="D30" s="61">
        <f>'30 - Dem. Resultados'!C3</f>
        <v>50495.1890919871</v>
      </c>
      <c r="E30" s="61">
        <f>'30 - Dem. Resultados'!D3</f>
        <v>51035.903854764008</v>
      </c>
      <c r="F30" s="61">
        <f>'30 - Dem. Resultados'!E3</f>
        <v>51576.618617540909</v>
      </c>
      <c r="G30" s="61">
        <f>'30 - Dem. Resultados'!F3</f>
        <v>52116.850167839897</v>
      </c>
      <c r="H30" s="61">
        <f>'30 - Dem. Resultados'!G3</f>
        <v>52657.564930616805</v>
      </c>
      <c r="I30" s="61">
        <f>'30 - Dem. Resultados'!H3</f>
        <v>53198.279693393692</v>
      </c>
      <c r="J30" s="61">
        <f>'30 - Dem. Resultados'!I3</f>
        <v>53601.27889996735</v>
      </c>
      <c r="K30" s="61">
        <f>'30 - Dem. Resultados'!J3</f>
        <v>54004.278106541024</v>
      </c>
      <c r="L30" s="61">
        <f>'30 - Dem. Resultados'!K3</f>
        <v>54407.277313114675</v>
      </c>
      <c r="M30" s="61">
        <f>'30 - Dem. Resultados'!L3</f>
        <v>54810.276519688348</v>
      </c>
      <c r="N30" s="61">
        <f>'30 - Dem. Resultados'!M3</f>
        <v>55213.275726262</v>
      </c>
      <c r="O30" s="61">
        <f>'30 - Dem. Resultados'!N3</f>
        <v>55502.23678804985</v>
      </c>
      <c r="P30" s="61">
        <f>'30 - Dem. Resultados'!O3</f>
        <v>55791.197849837685</v>
      </c>
      <c r="Q30" s="61">
        <f>'30 - Dem. Resultados'!P3</f>
        <v>56080.15891162552</v>
      </c>
      <c r="R30" s="61">
        <f>'30 - Dem. Resultados'!Q3</f>
        <v>56369.119973413362</v>
      </c>
      <c r="S30" s="61">
        <f>'30 - Dem. Resultados'!R3</f>
        <v>56658.08103520119</v>
      </c>
      <c r="T30" s="61">
        <f>'30 - Dem. Resultados'!S3</f>
        <v>56826.238977512505</v>
      </c>
      <c r="U30" s="61">
        <f>'30 - Dem. Resultados'!T3</f>
        <v>56994.396919823812</v>
      </c>
      <c r="V30" s="61">
        <f>'30 - Dem. Resultados'!U3</f>
        <v>57163.038074613047</v>
      </c>
      <c r="W30" s="61">
        <f>'30 - Dem. Resultados'!V3</f>
        <v>57331.196016924354</v>
      </c>
      <c r="X30" s="61">
        <f>'30 - Dem. Resultados'!W3</f>
        <v>57499.353959235676</v>
      </c>
      <c r="Y30" s="61">
        <f>'30 - Dem. Resultados'!X3</f>
        <v>57560.238731451827</v>
      </c>
      <c r="Z30" s="61">
        <f>'30 - Dem. Resultados'!Y3</f>
        <v>57621.123503667994</v>
      </c>
      <c r="AA30" s="61">
        <f>'30 - Dem. Resultados'!Z3</f>
        <v>57682.00827588416</v>
      </c>
      <c r="AB30" s="61">
        <f>'30 - Dem. Resultados'!AA3</f>
        <v>57742.893048100341</v>
      </c>
      <c r="AC30" s="61">
        <f>'30 - Dem. Resultados'!AB3</f>
        <v>57803.294607838594</v>
      </c>
      <c r="AD30" s="61">
        <f>'30 - Dem. Resultados'!AC3</f>
        <v>57761.738334738679</v>
      </c>
      <c r="AE30" s="61">
        <f>'30 - Dem. Resultados'!AD3</f>
        <v>57720.182061638763</v>
      </c>
      <c r="AF30" s="61">
        <f>'30 - Dem. Resultados'!AE3</f>
        <v>57678.625788538833</v>
      </c>
      <c r="AG30" s="61">
        <f>'30 - Dem. Resultados'!AF3</f>
        <v>57636.58630296099</v>
      </c>
      <c r="AH30" s="61">
        <f>'30 - Dem. Resultados'!AG3</f>
        <v>57595.030029861067</v>
      </c>
      <c r="AI30" s="61">
        <f>'30 - Dem. Resultados'!AH3</f>
        <v>57437.019549585792</v>
      </c>
      <c r="AJ30" s="61">
        <f>'30 - Dem. Resultados'!AI3</f>
        <v>57279.009069310487</v>
      </c>
      <c r="AK30" s="61">
        <f>'30 - Dem. Resultados'!AJ3</f>
        <v>57120.515376557312</v>
      </c>
      <c r="AL30" s="61">
        <f>'30 - Dem. Resultados'!AK3</f>
        <v>56962.504896282022</v>
      </c>
    </row>
    <row r="31" spans="2:38" ht="13.15" customHeight="1" x14ac:dyDescent="0.2">
      <c r="B31" s="403" t="s">
        <v>1409</v>
      </c>
      <c r="C31" s="115"/>
      <c r="D31" s="115">
        <f>D30/SUM(D$30:$AL30)</f>
        <v>2.5829631969223509E-2</v>
      </c>
      <c r="E31" s="115">
        <f>E30/SUM(E$30:$AL30)</f>
        <v>2.6798415149534103E-2</v>
      </c>
      <c r="F31" s="115">
        <f>F30/SUM(F$30:$AL30)</f>
        <v>2.7828087411105762E-2</v>
      </c>
      <c r="G31" s="115">
        <f>G30/SUM(G$30:$AL30)</f>
        <v>2.8924481536341185E-2</v>
      </c>
      <c r="H31" s="115">
        <f>H30/SUM(H$30:$AL30)</f>
        <v>3.0095058347231467E-2</v>
      </c>
      <c r="I31" s="115">
        <f>I30/SUM(I$30:$AL30)</f>
        <v>3.1347494446788395E-2</v>
      </c>
      <c r="J31" s="115">
        <f>J30/SUM(J$30:$AL30)</f>
        <v>3.2607116215567042E-2</v>
      </c>
      <c r="K31" s="115">
        <f>K30/SUM(K$30:$AL30)</f>
        <v>3.3959596093250694E-2</v>
      </c>
      <c r="L31" s="115">
        <f>L30/SUM(L$30:$AL30)</f>
        <v>3.5415718211074004E-2</v>
      </c>
      <c r="M31" s="115">
        <f>M30/SUM(M$30:$AL30)</f>
        <v>3.6988002024250434E-2</v>
      </c>
      <c r="N31" s="115">
        <f>N30/SUM(N$30:$AL30)</f>
        <v>3.8691066024185219E-2</v>
      </c>
      <c r="O31" s="115">
        <f>O30/SUM(O$30:$AL30)</f>
        <v>4.0458957587609978E-2</v>
      </c>
      <c r="P31" s="115">
        <f>P30/SUM(P$30:$AL30)</f>
        <v>4.2384428690995873E-2</v>
      </c>
      <c r="Q31" s="115">
        <f>Q30/SUM(Q$30:$AL30)</f>
        <v>4.4489618734938882E-2</v>
      </c>
      <c r="R31" s="115">
        <f>R30/SUM(R$30:$AL30)</f>
        <v>4.68010172918783E-2</v>
      </c>
      <c r="S31" s="115">
        <f>S30/SUM(S$30:$AL30)</f>
        <v>4.9350587772410651E-2</v>
      </c>
      <c r="T31" s="115">
        <f>T30/SUM(T$30:$AL30)</f>
        <v>5.206657349831937E-2</v>
      </c>
      <c r="U31" s="115">
        <f>U30/SUM(U$30:$AL30)</f>
        <v>5.5088939126134558E-2</v>
      </c>
      <c r="V31" s="115">
        <f>V30/SUM(V$30:$AL30)</f>
        <v>5.8473166941510141E-2</v>
      </c>
      <c r="W31" s="115">
        <f>W30/SUM(W$30:$AL30)</f>
        <v>6.2287315521589538E-2</v>
      </c>
      <c r="X31" s="115">
        <f>X30/SUM(X$30:$AL30)</f>
        <v>6.6619564047438726E-2</v>
      </c>
      <c r="Y31" s="115">
        <f>Y30/SUM(Y$30:$AL30)</f>
        <v>7.1450079127552066E-2</v>
      </c>
      <c r="Z31" s="115">
        <f>Z30/SUM(Z$30:$AL30)</f>
        <v>7.7029413685085799E-2</v>
      </c>
      <c r="AA31" s="115">
        <f>AA30/SUM(AA$30:$AL30)</f>
        <v>8.3546330915014455E-2</v>
      </c>
      <c r="AB31" s="115">
        <f>AB30/SUM(AB$30:$AL30)</f>
        <v>9.1258858941149504E-2</v>
      </c>
      <c r="AC31" s="115">
        <f>AC30/SUM(AC$30:$AL30)</f>
        <v>0.10052842940745974</v>
      </c>
      <c r="AD31" s="115">
        <f>AD30/SUM(AD$30:$AL30)</f>
        <v>0.11168352644145606</v>
      </c>
      <c r="AE31" s="115">
        <f>AE30/SUM(AE$30:$AL30)</f>
        <v>0.12563447807417752</v>
      </c>
      <c r="AF31" s="115">
        <f>AF30/SUM(AF$30:$AL30)</f>
        <v>0.14358300163552451</v>
      </c>
      <c r="AG31" s="115">
        <f>AG30/SUM(AG$30:$AL30)</f>
        <v>0.16753328156180528</v>
      </c>
      <c r="AH31" s="115">
        <f>AH30/SUM(AH$30:$AL30)</f>
        <v>0.20110412284615806</v>
      </c>
      <c r="AI31" s="115">
        <f>AI30/SUM(AI$30:$AL30)</f>
        <v>0.25103696815087789</v>
      </c>
      <c r="AJ31" s="115">
        <f>AJ30/SUM(AJ$30:$AL30)</f>
        <v>0.33425729894307221</v>
      </c>
      <c r="AK31" s="115">
        <f>AK30/SUM(AK$30:$AL30)</f>
        <v>0.50069252409296927</v>
      </c>
      <c r="AL31" s="115">
        <f>AL30/SUM(AL$30:$AL30)</f>
        <v>1</v>
      </c>
    </row>
  </sheetData>
  <phoneticPr fontId="8" type="noConversion"/>
  <pageMargins left="0.511811024" right="0.511811024" top="0.78740157499999996" bottom="0.78740157499999996" header="0.31496062000000002" footer="0.31496062000000002"/>
  <pageSetup paperSize="9" scale="4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Planilha28"/>
  <dimension ref="B2:AK60"/>
  <sheetViews>
    <sheetView showGridLines="0" zoomScale="85" zoomScaleNormal="85" workbookViewId="0">
      <selection activeCell="B4" sqref="B4"/>
    </sheetView>
  </sheetViews>
  <sheetFormatPr defaultRowHeight="13.15" customHeight="1" x14ac:dyDescent="0.2"/>
  <cols>
    <col min="1" max="1" width="3" customWidth="1"/>
    <col min="2" max="2" width="14.7109375" bestFit="1" customWidth="1"/>
    <col min="3" max="3" width="10.28515625" bestFit="1" customWidth="1"/>
  </cols>
  <sheetData>
    <row r="2" spans="2:37" ht="13.15" customHeight="1" x14ac:dyDescent="0.2">
      <c r="B2" s="205" t="s">
        <v>1416</v>
      </c>
      <c r="C2" s="205" t="s">
        <v>708</v>
      </c>
      <c r="D2" s="205" t="s">
        <v>709</v>
      </c>
      <c r="E2" s="205" t="s">
        <v>710</v>
      </c>
      <c r="F2" s="205" t="s">
        <v>711</v>
      </c>
      <c r="G2" s="205" t="s">
        <v>712</v>
      </c>
      <c r="H2" s="205" t="s">
        <v>713</v>
      </c>
      <c r="I2" s="205" t="s">
        <v>714</v>
      </c>
      <c r="J2" s="205" t="s">
        <v>715</v>
      </c>
      <c r="K2" s="205" t="s">
        <v>716</v>
      </c>
      <c r="L2" s="205" t="s">
        <v>717</v>
      </c>
      <c r="M2" s="205" t="s">
        <v>718</v>
      </c>
      <c r="N2" s="205" t="s">
        <v>719</v>
      </c>
      <c r="O2" s="205" t="s">
        <v>720</v>
      </c>
      <c r="P2" s="205" t="s">
        <v>721</v>
      </c>
      <c r="Q2" s="205" t="s">
        <v>722</v>
      </c>
      <c r="R2" s="205" t="s">
        <v>723</v>
      </c>
      <c r="S2" s="205" t="s">
        <v>724</v>
      </c>
      <c r="T2" s="205" t="s">
        <v>725</v>
      </c>
      <c r="U2" s="205" t="s">
        <v>726</v>
      </c>
      <c r="V2" s="205" t="s">
        <v>727</v>
      </c>
      <c r="W2" s="205" t="s">
        <v>728</v>
      </c>
      <c r="X2" s="205" t="s">
        <v>729</v>
      </c>
      <c r="Y2" s="205" t="s">
        <v>730</v>
      </c>
      <c r="Z2" s="205" t="s">
        <v>731</v>
      </c>
      <c r="AA2" s="205" t="s">
        <v>732</v>
      </c>
      <c r="AB2" s="205" t="s">
        <v>733</v>
      </c>
      <c r="AC2" s="205" t="s">
        <v>734</v>
      </c>
      <c r="AD2" s="205" t="s">
        <v>735</v>
      </c>
      <c r="AE2" s="205" t="s">
        <v>736</v>
      </c>
      <c r="AF2" s="205" t="s">
        <v>737</v>
      </c>
      <c r="AG2" s="205" t="s">
        <v>738</v>
      </c>
      <c r="AH2" s="205" t="s">
        <v>739</v>
      </c>
      <c r="AI2" s="205" t="s">
        <v>740</v>
      </c>
      <c r="AJ2" s="205" t="s">
        <v>741</v>
      </c>
      <c r="AK2" s="205" t="s">
        <v>742</v>
      </c>
    </row>
    <row r="3" spans="2:37" ht="13.15" customHeight="1" x14ac:dyDescent="0.2">
      <c r="B3" s="403" t="s">
        <v>1417</v>
      </c>
      <c r="C3" s="223">
        <f>C8/2</f>
        <v>8039.4513074999995</v>
      </c>
      <c r="D3" s="223">
        <f>C3</f>
        <v>8039.4513074999995</v>
      </c>
      <c r="E3" s="223">
        <v>0</v>
      </c>
      <c r="F3" s="223">
        <v>0</v>
      </c>
      <c r="G3" s="223">
        <v>0</v>
      </c>
      <c r="H3" s="223">
        <v>0</v>
      </c>
      <c r="I3" s="223">
        <v>0</v>
      </c>
      <c r="J3" s="223">
        <v>0</v>
      </c>
      <c r="K3" s="223">
        <v>0</v>
      </c>
      <c r="L3" s="223">
        <v>0</v>
      </c>
      <c r="M3" s="223">
        <v>0</v>
      </c>
      <c r="N3" s="223">
        <v>0</v>
      </c>
      <c r="O3" s="223">
        <v>0</v>
      </c>
      <c r="P3" s="223">
        <v>0</v>
      </c>
      <c r="Q3" s="223">
        <v>0</v>
      </c>
      <c r="R3" s="223">
        <v>0</v>
      </c>
      <c r="S3" s="223">
        <v>0</v>
      </c>
      <c r="T3" s="223">
        <v>0</v>
      </c>
      <c r="U3" s="223">
        <v>0</v>
      </c>
      <c r="V3" s="223">
        <v>0</v>
      </c>
      <c r="W3" s="223">
        <v>0</v>
      </c>
      <c r="X3" s="223">
        <v>0</v>
      </c>
      <c r="Y3" s="223">
        <v>0</v>
      </c>
      <c r="Z3" s="223">
        <v>0</v>
      </c>
      <c r="AA3" s="223">
        <v>0</v>
      </c>
      <c r="AB3" s="223">
        <v>0</v>
      </c>
      <c r="AC3" s="223">
        <v>0</v>
      </c>
      <c r="AD3" s="223">
        <v>0</v>
      </c>
      <c r="AE3" s="223">
        <v>0</v>
      </c>
      <c r="AF3" s="223">
        <v>0</v>
      </c>
      <c r="AG3" s="223">
        <v>0</v>
      </c>
      <c r="AH3" s="223">
        <v>0</v>
      </c>
      <c r="AI3" s="223">
        <v>0</v>
      </c>
      <c r="AJ3" s="223">
        <v>0</v>
      </c>
      <c r="AK3" s="223">
        <v>0</v>
      </c>
    </row>
    <row r="4" spans="2:37" ht="13.15" customHeight="1" x14ac:dyDescent="0.2">
      <c r="B4" s="403" t="s">
        <v>1418</v>
      </c>
      <c r="C4" s="223">
        <f>C3*$C$11</f>
        <v>952.67497993874986</v>
      </c>
      <c r="D4" s="223">
        <f t="shared" ref="D4:L4" si="0">(C6+D3)*$C$11</f>
        <v>1905.3499598774997</v>
      </c>
      <c r="E4" s="223">
        <f t="shared" si="0"/>
        <v>1905.3499598774997</v>
      </c>
      <c r="F4" s="223">
        <f t="shared" si="0"/>
        <v>1667.1812148928122</v>
      </c>
      <c r="G4" s="223">
        <f t="shared" si="0"/>
        <v>1429.0124699081248</v>
      </c>
      <c r="H4" s="223">
        <f t="shared" si="0"/>
        <v>1190.8437249234373</v>
      </c>
      <c r="I4" s="223">
        <f t="shared" si="0"/>
        <v>952.67497993874986</v>
      </c>
      <c r="J4" s="223">
        <f t="shared" si="0"/>
        <v>714.50623495406239</v>
      </c>
      <c r="K4" s="223">
        <f t="shared" si="0"/>
        <v>476.33748996937493</v>
      </c>
      <c r="L4" s="223">
        <f t="shared" si="0"/>
        <v>238.16874498468746</v>
      </c>
      <c r="M4" s="223">
        <v>0</v>
      </c>
      <c r="N4" s="223">
        <v>0</v>
      </c>
      <c r="O4" s="223">
        <v>0</v>
      </c>
      <c r="P4" s="223">
        <v>0</v>
      </c>
      <c r="Q4" s="223">
        <v>0</v>
      </c>
      <c r="R4" s="223">
        <v>0</v>
      </c>
      <c r="S4" s="223">
        <v>0</v>
      </c>
      <c r="T4" s="223">
        <v>0</v>
      </c>
      <c r="U4" s="223">
        <v>0</v>
      </c>
      <c r="V4" s="223">
        <v>0</v>
      </c>
      <c r="W4" s="223">
        <v>0</v>
      </c>
      <c r="X4" s="223">
        <v>0</v>
      </c>
      <c r="Y4" s="223">
        <v>0</v>
      </c>
      <c r="Z4" s="223">
        <v>0</v>
      </c>
      <c r="AA4" s="223">
        <v>0</v>
      </c>
      <c r="AB4" s="223">
        <v>0</v>
      </c>
      <c r="AC4" s="223">
        <v>0</v>
      </c>
      <c r="AD4" s="223">
        <v>0</v>
      </c>
      <c r="AE4" s="223">
        <v>0</v>
      </c>
      <c r="AF4" s="223">
        <v>0</v>
      </c>
      <c r="AG4" s="223">
        <v>0</v>
      </c>
      <c r="AH4" s="223">
        <v>0</v>
      </c>
      <c r="AI4" s="223">
        <v>0</v>
      </c>
      <c r="AJ4" s="223">
        <v>0</v>
      </c>
      <c r="AK4" s="223">
        <v>0</v>
      </c>
    </row>
    <row r="5" spans="2:37" ht="13.15" customHeight="1" x14ac:dyDescent="0.2">
      <c r="B5" s="403" t="s">
        <v>1407</v>
      </c>
      <c r="C5" s="223">
        <f>-C4</f>
        <v>-952.67497993874986</v>
      </c>
      <c r="D5" s="223">
        <f>-D4</f>
        <v>-1905.3499598774997</v>
      </c>
      <c r="E5" s="223">
        <f>-($D$6/$C$10)*12-E4</f>
        <v>-3915.2127867524996</v>
      </c>
      <c r="F5" s="223">
        <f t="shared" ref="F5:L5" si="1">-($D$6/$C$10)*12-F4</f>
        <v>-3677.0440417678119</v>
      </c>
      <c r="G5" s="223">
        <f t="shared" si="1"/>
        <v>-3438.8752967831247</v>
      </c>
      <c r="H5" s="223">
        <f t="shared" si="1"/>
        <v>-3200.7065517984374</v>
      </c>
      <c r="I5" s="223">
        <f t="shared" si="1"/>
        <v>-2962.5378068137497</v>
      </c>
      <c r="J5" s="223">
        <f t="shared" si="1"/>
        <v>-2724.369061829062</v>
      </c>
      <c r="K5" s="223">
        <f t="shared" si="1"/>
        <v>-2486.2003168443748</v>
      </c>
      <c r="L5" s="223">
        <f t="shared" si="1"/>
        <v>-2248.0315718596876</v>
      </c>
      <c r="M5" s="223">
        <v>0</v>
      </c>
      <c r="N5" s="223">
        <v>0</v>
      </c>
      <c r="O5" s="223">
        <v>0</v>
      </c>
      <c r="P5" s="223">
        <v>0</v>
      </c>
      <c r="Q5" s="223">
        <v>0</v>
      </c>
      <c r="R5" s="223">
        <v>0</v>
      </c>
      <c r="S5" s="223">
        <v>0</v>
      </c>
      <c r="T5" s="223">
        <v>0</v>
      </c>
      <c r="U5" s="223">
        <v>0</v>
      </c>
      <c r="V5" s="223">
        <v>0</v>
      </c>
      <c r="W5" s="223">
        <v>0</v>
      </c>
      <c r="X5" s="223">
        <v>0</v>
      </c>
      <c r="Y5" s="223">
        <v>0</v>
      </c>
      <c r="Z5" s="223">
        <v>0</v>
      </c>
      <c r="AA5" s="223">
        <v>0</v>
      </c>
      <c r="AB5" s="223">
        <v>0</v>
      </c>
      <c r="AC5" s="223">
        <v>0</v>
      </c>
      <c r="AD5" s="223">
        <v>0</v>
      </c>
      <c r="AE5" s="223">
        <v>0</v>
      </c>
      <c r="AF5" s="223">
        <v>0</v>
      </c>
      <c r="AG5" s="223">
        <v>0</v>
      </c>
      <c r="AH5" s="223">
        <v>0</v>
      </c>
      <c r="AI5" s="223">
        <v>0</v>
      </c>
      <c r="AJ5" s="223">
        <v>0</v>
      </c>
      <c r="AK5" s="223">
        <v>0</v>
      </c>
    </row>
    <row r="6" spans="2:37" ht="13.15" customHeight="1" x14ac:dyDescent="0.2">
      <c r="B6" s="224" t="s">
        <v>1419</v>
      </c>
      <c r="C6" s="224">
        <f>SUM(C3:C5)</f>
        <v>8039.4513075000004</v>
      </c>
      <c r="D6" s="224">
        <f t="shared" ref="D6:M6" si="2">C6+SUM(D3:D5)</f>
        <v>16078.902614999999</v>
      </c>
      <c r="E6" s="224">
        <f t="shared" si="2"/>
        <v>14069.039788124999</v>
      </c>
      <c r="F6" s="224">
        <f t="shared" si="2"/>
        <v>12059.176961249999</v>
      </c>
      <c r="G6" s="224">
        <f t="shared" si="2"/>
        <v>10049.314134374999</v>
      </c>
      <c r="H6" s="224">
        <f t="shared" si="2"/>
        <v>8039.4513074999995</v>
      </c>
      <c r="I6" s="224">
        <f t="shared" si="2"/>
        <v>6029.5884806249996</v>
      </c>
      <c r="J6" s="224">
        <f t="shared" si="2"/>
        <v>4019.7256537499998</v>
      </c>
      <c r="K6" s="224">
        <f t="shared" si="2"/>
        <v>2009.8628268749999</v>
      </c>
      <c r="L6" s="224">
        <f t="shared" si="2"/>
        <v>0</v>
      </c>
      <c r="M6" s="224">
        <f t="shared" si="2"/>
        <v>0</v>
      </c>
      <c r="N6" s="224">
        <f t="shared" ref="N6:AK6" si="3">M6+SUM(N3:N5)</f>
        <v>0</v>
      </c>
      <c r="O6" s="224">
        <f t="shared" si="3"/>
        <v>0</v>
      </c>
      <c r="P6" s="224">
        <f t="shared" si="3"/>
        <v>0</v>
      </c>
      <c r="Q6" s="224">
        <f t="shared" si="3"/>
        <v>0</v>
      </c>
      <c r="R6" s="224">
        <f t="shared" si="3"/>
        <v>0</v>
      </c>
      <c r="S6" s="224">
        <f t="shared" si="3"/>
        <v>0</v>
      </c>
      <c r="T6" s="224">
        <f t="shared" si="3"/>
        <v>0</v>
      </c>
      <c r="U6" s="224">
        <f t="shared" si="3"/>
        <v>0</v>
      </c>
      <c r="V6" s="224">
        <f t="shared" si="3"/>
        <v>0</v>
      </c>
      <c r="W6" s="224">
        <f t="shared" si="3"/>
        <v>0</v>
      </c>
      <c r="X6" s="224">
        <f t="shared" si="3"/>
        <v>0</v>
      </c>
      <c r="Y6" s="224">
        <f t="shared" si="3"/>
        <v>0</v>
      </c>
      <c r="Z6" s="224">
        <f t="shared" si="3"/>
        <v>0</v>
      </c>
      <c r="AA6" s="224">
        <f t="shared" si="3"/>
        <v>0</v>
      </c>
      <c r="AB6" s="224">
        <f t="shared" si="3"/>
        <v>0</v>
      </c>
      <c r="AC6" s="224">
        <f t="shared" si="3"/>
        <v>0</v>
      </c>
      <c r="AD6" s="224">
        <f t="shared" si="3"/>
        <v>0</v>
      </c>
      <c r="AE6" s="224">
        <f t="shared" si="3"/>
        <v>0</v>
      </c>
      <c r="AF6" s="224">
        <f t="shared" si="3"/>
        <v>0</v>
      </c>
      <c r="AG6" s="224">
        <f t="shared" si="3"/>
        <v>0</v>
      </c>
      <c r="AH6" s="224">
        <f t="shared" si="3"/>
        <v>0</v>
      </c>
      <c r="AI6" s="224">
        <f t="shared" si="3"/>
        <v>0</v>
      </c>
      <c r="AJ6" s="224">
        <f t="shared" si="3"/>
        <v>0</v>
      </c>
      <c r="AK6" s="224">
        <f t="shared" si="3"/>
        <v>0</v>
      </c>
    </row>
    <row r="8" spans="2:37" ht="13.15" customHeight="1" x14ac:dyDescent="0.2">
      <c r="B8" s="403" t="s">
        <v>4</v>
      </c>
      <c r="C8" s="222">
        <f>C56*C52</f>
        <v>16078.902614999999</v>
      </c>
    </row>
    <row r="9" spans="2:37" ht="13.15" customHeight="1" x14ac:dyDescent="0.2">
      <c r="B9" s="403" t="s">
        <v>1420</v>
      </c>
      <c r="C9" s="222">
        <v>24</v>
      </c>
    </row>
    <row r="10" spans="2:37" ht="13.15" customHeight="1" x14ac:dyDescent="0.2">
      <c r="B10" s="403" t="s">
        <v>1421</v>
      </c>
      <c r="C10" s="222">
        <f>120-C9</f>
        <v>96</v>
      </c>
    </row>
    <row r="11" spans="2:37" ht="13.15" customHeight="1" x14ac:dyDescent="0.2">
      <c r="B11" s="403" t="s">
        <v>1422</v>
      </c>
      <c r="C11" s="220">
        <f>'33 - WACC'!$C$16</f>
        <v>0.11849999999999999</v>
      </c>
    </row>
    <row r="13" spans="2:37" ht="13.15" customHeight="1" x14ac:dyDescent="0.2">
      <c r="B13" s="205" t="s">
        <v>1423</v>
      </c>
      <c r="C13" s="205" t="s">
        <v>708</v>
      </c>
      <c r="D13" s="205" t="s">
        <v>709</v>
      </c>
      <c r="E13" s="205" t="s">
        <v>710</v>
      </c>
      <c r="F13" s="205" t="s">
        <v>711</v>
      </c>
      <c r="G13" s="205" t="s">
        <v>712</v>
      </c>
      <c r="H13" s="205" t="s">
        <v>713</v>
      </c>
      <c r="I13" s="205" t="s">
        <v>714</v>
      </c>
      <c r="J13" s="205" t="s">
        <v>715</v>
      </c>
      <c r="K13" s="205" t="s">
        <v>716</v>
      </c>
      <c r="L13" s="205" t="s">
        <v>717</v>
      </c>
      <c r="M13" s="205" t="s">
        <v>718</v>
      </c>
      <c r="N13" s="205" t="s">
        <v>719</v>
      </c>
      <c r="O13" s="205" t="s">
        <v>720</v>
      </c>
      <c r="P13" s="205" t="s">
        <v>721</v>
      </c>
      <c r="Q13" s="205" t="s">
        <v>722</v>
      </c>
      <c r="R13" s="205" t="s">
        <v>723</v>
      </c>
      <c r="S13" s="205" t="s">
        <v>724</v>
      </c>
      <c r="T13" s="205" t="s">
        <v>725</v>
      </c>
      <c r="U13" s="205" t="s">
        <v>726</v>
      </c>
      <c r="V13" s="205" t="s">
        <v>727</v>
      </c>
      <c r="W13" s="205" t="s">
        <v>728</v>
      </c>
      <c r="X13" s="205" t="s">
        <v>729</v>
      </c>
      <c r="Y13" s="205" t="s">
        <v>730</v>
      </c>
      <c r="Z13" s="205" t="s">
        <v>731</v>
      </c>
      <c r="AA13" s="205" t="s">
        <v>732</v>
      </c>
      <c r="AB13" s="205" t="s">
        <v>733</v>
      </c>
      <c r="AC13" s="205" t="s">
        <v>734</v>
      </c>
      <c r="AD13" s="205" t="s">
        <v>735</v>
      </c>
      <c r="AE13" s="205" t="s">
        <v>736</v>
      </c>
      <c r="AF13" s="205" t="s">
        <v>737</v>
      </c>
      <c r="AG13" s="205" t="s">
        <v>738</v>
      </c>
      <c r="AH13" s="205" t="s">
        <v>739</v>
      </c>
      <c r="AI13" s="205" t="s">
        <v>740</v>
      </c>
      <c r="AJ13" s="205" t="s">
        <v>741</v>
      </c>
      <c r="AK13" s="205" t="s">
        <v>742</v>
      </c>
    </row>
    <row r="14" spans="2:37" ht="13.15" customHeight="1" x14ac:dyDescent="0.2">
      <c r="B14" s="403" t="s">
        <v>1417</v>
      </c>
      <c r="C14" s="223">
        <v>0</v>
      </c>
      <c r="D14" s="223">
        <v>0</v>
      </c>
      <c r="E14" s="223">
        <v>0</v>
      </c>
      <c r="F14" s="223">
        <v>0</v>
      </c>
      <c r="G14" s="223">
        <v>0</v>
      </c>
      <c r="H14" s="223">
        <v>0</v>
      </c>
      <c r="I14" s="223">
        <v>0</v>
      </c>
      <c r="J14" s="223">
        <v>0</v>
      </c>
      <c r="K14" s="223">
        <v>0</v>
      </c>
      <c r="L14" s="223">
        <v>0</v>
      </c>
      <c r="M14" s="223">
        <f>C19/2</f>
        <v>4720.7518802999994</v>
      </c>
      <c r="N14" s="223">
        <f>M14</f>
        <v>4720.7518802999994</v>
      </c>
      <c r="O14" s="223">
        <v>0</v>
      </c>
      <c r="P14" s="223">
        <v>0</v>
      </c>
      <c r="Q14" s="223">
        <v>0</v>
      </c>
      <c r="R14" s="223">
        <v>0</v>
      </c>
      <c r="S14" s="223">
        <v>0</v>
      </c>
      <c r="T14" s="223">
        <v>0</v>
      </c>
      <c r="U14" s="223">
        <v>0</v>
      </c>
      <c r="V14" s="223">
        <v>0</v>
      </c>
      <c r="W14" s="223">
        <v>0</v>
      </c>
      <c r="X14" s="223">
        <v>0</v>
      </c>
      <c r="Y14" s="223">
        <v>0</v>
      </c>
      <c r="Z14" s="223">
        <v>0</v>
      </c>
      <c r="AA14" s="223">
        <v>0</v>
      </c>
      <c r="AB14" s="223">
        <v>0</v>
      </c>
      <c r="AC14" s="223">
        <v>0</v>
      </c>
      <c r="AD14" s="223">
        <v>0</v>
      </c>
      <c r="AE14" s="223">
        <v>0</v>
      </c>
      <c r="AF14" s="223">
        <v>0</v>
      </c>
      <c r="AG14" s="223">
        <v>0</v>
      </c>
      <c r="AH14" s="223">
        <v>0</v>
      </c>
      <c r="AI14" s="223">
        <v>0</v>
      </c>
      <c r="AJ14" s="223">
        <v>0</v>
      </c>
      <c r="AK14" s="223">
        <v>0</v>
      </c>
    </row>
    <row r="15" spans="2:37" ht="13.15" customHeight="1" x14ac:dyDescent="0.2">
      <c r="B15" s="403" t="s">
        <v>1418</v>
      </c>
      <c r="C15" s="223">
        <v>0</v>
      </c>
      <c r="D15" s="223">
        <v>0</v>
      </c>
      <c r="E15" s="223">
        <v>0</v>
      </c>
      <c r="F15" s="223">
        <v>0</v>
      </c>
      <c r="G15" s="223">
        <v>0</v>
      </c>
      <c r="H15" s="223">
        <v>0</v>
      </c>
      <c r="I15" s="223">
        <v>0</v>
      </c>
      <c r="J15" s="223">
        <v>0</v>
      </c>
      <c r="K15" s="223">
        <v>0</v>
      </c>
      <c r="L15" s="223">
        <v>0</v>
      </c>
      <c r="M15" s="223">
        <f>(L17+M14)*$C$22</f>
        <v>559.4090978155499</v>
      </c>
      <c r="N15" s="223">
        <f t="shared" ref="N15:V15" si="4">(M17+N14)*$C$22</f>
        <v>1118.8181956310998</v>
      </c>
      <c r="O15" s="223">
        <f t="shared" si="4"/>
        <v>1118.8181956310998</v>
      </c>
      <c r="P15" s="223">
        <f t="shared" si="4"/>
        <v>978.96592117721229</v>
      </c>
      <c r="Q15" s="223">
        <f t="shared" si="4"/>
        <v>839.1136467233249</v>
      </c>
      <c r="R15" s="223">
        <f t="shared" si="4"/>
        <v>699.2613722694374</v>
      </c>
      <c r="S15" s="223">
        <f t="shared" si="4"/>
        <v>559.40909781555001</v>
      </c>
      <c r="T15" s="223">
        <f t="shared" si="4"/>
        <v>419.55682336166257</v>
      </c>
      <c r="U15" s="223">
        <f t="shared" si="4"/>
        <v>279.70454890777512</v>
      </c>
      <c r="V15" s="223">
        <f t="shared" si="4"/>
        <v>139.85227445388762</v>
      </c>
      <c r="W15" s="223">
        <v>0</v>
      </c>
      <c r="X15" s="223">
        <v>0</v>
      </c>
      <c r="Y15" s="223">
        <v>0</v>
      </c>
      <c r="Z15" s="223">
        <v>0</v>
      </c>
      <c r="AA15" s="223">
        <v>0</v>
      </c>
      <c r="AB15" s="223">
        <v>0</v>
      </c>
      <c r="AC15" s="223">
        <v>0</v>
      </c>
      <c r="AD15" s="223">
        <v>0</v>
      </c>
      <c r="AE15" s="223">
        <v>0</v>
      </c>
      <c r="AF15" s="223">
        <v>0</v>
      </c>
      <c r="AG15" s="223">
        <v>0</v>
      </c>
      <c r="AH15" s="223">
        <v>0</v>
      </c>
      <c r="AI15" s="223">
        <v>0</v>
      </c>
      <c r="AJ15" s="223">
        <v>0</v>
      </c>
      <c r="AK15" s="223">
        <v>0</v>
      </c>
    </row>
    <row r="16" spans="2:37" ht="13.15" customHeight="1" x14ac:dyDescent="0.2">
      <c r="B16" s="403" t="s">
        <v>1407</v>
      </c>
      <c r="C16" s="223">
        <v>0</v>
      </c>
      <c r="D16" s="223">
        <v>0</v>
      </c>
      <c r="E16" s="223">
        <v>0</v>
      </c>
      <c r="F16" s="223">
        <v>0</v>
      </c>
      <c r="G16" s="223">
        <v>0</v>
      </c>
      <c r="H16" s="223">
        <v>0</v>
      </c>
      <c r="I16" s="223">
        <v>0</v>
      </c>
      <c r="J16" s="223">
        <v>0</v>
      </c>
      <c r="K16" s="223">
        <v>0</v>
      </c>
      <c r="L16" s="223">
        <v>0</v>
      </c>
      <c r="M16" s="223">
        <f>-M15</f>
        <v>-559.4090978155499</v>
      </c>
      <c r="N16" s="223">
        <f>-N15</f>
        <v>-1118.8181956310998</v>
      </c>
      <c r="O16" s="223">
        <f>-($N$17/$C$21)*12-O15</f>
        <v>-2299.0061657060996</v>
      </c>
      <c r="P16" s="223">
        <f t="shared" ref="P16:V16" si="5">-($N$17/$C$21)*12-P15</f>
        <v>-2159.1538912522119</v>
      </c>
      <c r="Q16" s="223">
        <f t="shared" si="5"/>
        <v>-2019.3016167983246</v>
      </c>
      <c r="R16" s="223">
        <f t="shared" si="5"/>
        <v>-1879.4493423444374</v>
      </c>
      <c r="S16" s="223">
        <f t="shared" si="5"/>
        <v>-1739.5970678905499</v>
      </c>
      <c r="T16" s="223">
        <f t="shared" si="5"/>
        <v>-1599.7447934366623</v>
      </c>
      <c r="U16" s="223">
        <f t="shared" si="5"/>
        <v>-1459.8925189827751</v>
      </c>
      <c r="V16" s="223">
        <f t="shared" si="5"/>
        <v>-1320.0402445288873</v>
      </c>
      <c r="W16" s="223">
        <v>0</v>
      </c>
      <c r="X16" s="223">
        <v>0</v>
      </c>
      <c r="Y16" s="223">
        <v>0</v>
      </c>
      <c r="Z16" s="223">
        <v>0</v>
      </c>
      <c r="AA16" s="223">
        <v>0</v>
      </c>
      <c r="AB16" s="223">
        <v>0</v>
      </c>
      <c r="AC16" s="223">
        <v>0</v>
      </c>
      <c r="AD16" s="223">
        <v>0</v>
      </c>
      <c r="AE16" s="223">
        <v>0</v>
      </c>
      <c r="AF16" s="223">
        <v>0</v>
      </c>
      <c r="AG16" s="223">
        <v>0</v>
      </c>
      <c r="AH16" s="223">
        <v>0</v>
      </c>
      <c r="AI16" s="223">
        <v>0</v>
      </c>
      <c r="AJ16" s="223">
        <v>0</v>
      </c>
      <c r="AK16" s="223">
        <v>0</v>
      </c>
    </row>
    <row r="17" spans="2:37" ht="13.15" customHeight="1" x14ac:dyDescent="0.2">
      <c r="B17" s="224" t="s">
        <v>1419</v>
      </c>
      <c r="C17" s="224">
        <f>SUM(C14:C16)</f>
        <v>0</v>
      </c>
      <c r="D17" s="224">
        <f t="shared" ref="D17:K17" si="6">C17+SUM(D14:D16)</f>
        <v>0</v>
      </c>
      <c r="E17" s="224">
        <f t="shared" si="6"/>
        <v>0</v>
      </c>
      <c r="F17" s="224">
        <f t="shared" si="6"/>
        <v>0</v>
      </c>
      <c r="G17" s="224">
        <f t="shared" si="6"/>
        <v>0</v>
      </c>
      <c r="H17" s="224">
        <f t="shared" si="6"/>
        <v>0</v>
      </c>
      <c r="I17" s="224">
        <f t="shared" si="6"/>
        <v>0</v>
      </c>
      <c r="J17" s="224">
        <f t="shared" si="6"/>
        <v>0</v>
      </c>
      <c r="K17" s="224">
        <f t="shared" si="6"/>
        <v>0</v>
      </c>
      <c r="L17" s="224">
        <f t="shared" ref="L17:AK17" si="7">K17+SUM(L14:L16)</f>
        <v>0</v>
      </c>
      <c r="M17" s="224">
        <f>L17+SUM(M14:M16)</f>
        <v>4720.7518802999994</v>
      </c>
      <c r="N17" s="224">
        <f t="shared" si="7"/>
        <v>9441.5037605999987</v>
      </c>
      <c r="O17" s="224">
        <f>N17+SUM(O14:O16)</f>
        <v>8261.3157905249991</v>
      </c>
      <c r="P17" s="224">
        <f t="shared" si="7"/>
        <v>7081.1278204499995</v>
      </c>
      <c r="Q17" s="224">
        <f t="shared" si="7"/>
        <v>5900.9398503749999</v>
      </c>
      <c r="R17" s="224">
        <f t="shared" si="7"/>
        <v>4720.7518803000003</v>
      </c>
      <c r="S17" s="224">
        <f t="shared" si="7"/>
        <v>3540.5639102250007</v>
      </c>
      <c r="T17" s="224">
        <f t="shared" si="7"/>
        <v>2360.375940150001</v>
      </c>
      <c r="U17" s="224">
        <f t="shared" si="7"/>
        <v>1180.187970075001</v>
      </c>
      <c r="V17" s="224">
        <f t="shared" si="7"/>
        <v>0</v>
      </c>
      <c r="W17" s="224">
        <f t="shared" si="7"/>
        <v>0</v>
      </c>
      <c r="X17" s="224">
        <f t="shared" si="7"/>
        <v>0</v>
      </c>
      <c r="Y17" s="224">
        <f t="shared" si="7"/>
        <v>0</v>
      </c>
      <c r="Z17" s="224">
        <f t="shared" si="7"/>
        <v>0</v>
      </c>
      <c r="AA17" s="224">
        <f t="shared" si="7"/>
        <v>0</v>
      </c>
      <c r="AB17" s="224">
        <f t="shared" si="7"/>
        <v>0</v>
      </c>
      <c r="AC17" s="224">
        <f t="shared" si="7"/>
        <v>0</v>
      </c>
      <c r="AD17" s="224">
        <f t="shared" si="7"/>
        <v>0</v>
      </c>
      <c r="AE17" s="224">
        <f t="shared" si="7"/>
        <v>0</v>
      </c>
      <c r="AF17" s="224">
        <f t="shared" si="7"/>
        <v>0</v>
      </c>
      <c r="AG17" s="224">
        <f t="shared" si="7"/>
        <v>0</v>
      </c>
      <c r="AH17" s="224">
        <f t="shared" si="7"/>
        <v>0</v>
      </c>
      <c r="AI17" s="224">
        <f t="shared" si="7"/>
        <v>0</v>
      </c>
      <c r="AJ17" s="224">
        <f t="shared" si="7"/>
        <v>0</v>
      </c>
      <c r="AK17" s="224">
        <f t="shared" si="7"/>
        <v>0</v>
      </c>
    </row>
    <row r="19" spans="2:37" ht="13.15" customHeight="1" x14ac:dyDescent="0.2">
      <c r="B19" s="403" t="s">
        <v>4</v>
      </c>
      <c r="C19" s="222">
        <f>C57*C52</f>
        <v>9441.5037605999987</v>
      </c>
    </row>
    <row r="20" spans="2:37" ht="13.15" customHeight="1" x14ac:dyDescent="0.2">
      <c r="B20" s="403" t="s">
        <v>1420</v>
      </c>
      <c r="C20" s="222">
        <v>24</v>
      </c>
    </row>
    <row r="21" spans="2:37" ht="13.15" customHeight="1" x14ac:dyDescent="0.2">
      <c r="B21" s="403" t="s">
        <v>1421</v>
      </c>
      <c r="C21" s="222">
        <f>120-C20</f>
        <v>96</v>
      </c>
    </row>
    <row r="22" spans="2:37" ht="13.15" customHeight="1" x14ac:dyDescent="0.2">
      <c r="B22" s="403" t="s">
        <v>1422</v>
      </c>
      <c r="C22" s="220">
        <f>'33 - WACC'!$C$16</f>
        <v>0.11849999999999999</v>
      </c>
    </row>
    <row r="24" spans="2:37" ht="13.15" customHeight="1" x14ac:dyDescent="0.2">
      <c r="B24" s="205" t="s">
        <v>1424</v>
      </c>
      <c r="C24" s="205" t="s">
        <v>708</v>
      </c>
      <c r="D24" s="205" t="s">
        <v>709</v>
      </c>
      <c r="E24" s="205" t="s">
        <v>710</v>
      </c>
      <c r="F24" s="205" t="s">
        <v>711</v>
      </c>
      <c r="G24" s="205" t="s">
        <v>712</v>
      </c>
      <c r="H24" s="205" t="s">
        <v>713</v>
      </c>
      <c r="I24" s="205" t="s">
        <v>714</v>
      </c>
      <c r="J24" s="205" t="s">
        <v>715</v>
      </c>
      <c r="K24" s="205" t="s">
        <v>716</v>
      </c>
      <c r="L24" s="205" t="s">
        <v>717</v>
      </c>
      <c r="M24" s="205" t="s">
        <v>718</v>
      </c>
      <c r="N24" s="205" t="s">
        <v>719</v>
      </c>
      <c r="O24" s="205" t="s">
        <v>720</v>
      </c>
      <c r="P24" s="205" t="s">
        <v>721</v>
      </c>
      <c r="Q24" s="205" t="s">
        <v>722</v>
      </c>
      <c r="R24" s="205" t="s">
        <v>723</v>
      </c>
      <c r="S24" s="205" t="s">
        <v>724</v>
      </c>
      <c r="T24" s="205" t="s">
        <v>725</v>
      </c>
      <c r="U24" s="205" t="s">
        <v>726</v>
      </c>
      <c r="V24" s="205" t="s">
        <v>727</v>
      </c>
      <c r="W24" s="205" t="s">
        <v>728</v>
      </c>
      <c r="X24" s="205" t="s">
        <v>729</v>
      </c>
      <c r="Y24" s="205" t="s">
        <v>730</v>
      </c>
      <c r="Z24" s="205" t="s">
        <v>731</v>
      </c>
      <c r="AA24" s="205" t="s">
        <v>732</v>
      </c>
      <c r="AB24" s="205" t="s">
        <v>733</v>
      </c>
      <c r="AC24" s="205" t="s">
        <v>734</v>
      </c>
      <c r="AD24" s="205" t="s">
        <v>735</v>
      </c>
      <c r="AE24" s="205" t="s">
        <v>736</v>
      </c>
      <c r="AF24" s="205" t="s">
        <v>737</v>
      </c>
      <c r="AG24" s="205" t="s">
        <v>738</v>
      </c>
      <c r="AH24" s="205" t="s">
        <v>739</v>
      </c>
      <c r="AI24" s="205" t="s">
        <v>740</v>
      </c>
      <c r="AJ24" s="205" t="s">
        <v>741</v>
      </c>
      <c r="AK24" s="205" t="s">
        <v>742</v>
      </c>
    </row>
    <row r="25" spans="2:37" ht="13.15" customHeight="1" x14ac:dyDescent="0.2">
      <c r="B25" s="403" t="s">
        <v>1417</v>
      </c>
      <c r="C25" s="223">
        <v>0</v>
      </c>
      <c r="D25" s="223">
        <v>0</v>
      </c>
      <c r="E25" s="223">
        <v>0</v>
      </c>
      <c r="F25" s="223">
        <v>0</v>
      </c>
      <c r="G25" s="223">
        <v>0</v>
      </c>
      <c r="H25" s="223">
        <v>0</v>
      </c>
      <c r="I25" s="223">
        <v>0</v>
      </c>
      <c r="J25" s="223">
        <v>0</v>
      </c>
      <c r="K25" s="223">
        <v>0</v>
      </c>
      <c r="L25" s="223">
        <v>0</v>
      </c>
      <c r="M25" s="223">
        <v>0</v>
      </c>
      <c r="N25" s="223">
        <v>0</v>
      </c>
      <c r="O25" s="223">
        <v>0</v>
      </c>
      <c r="P25" s="223">
        <v>0</v>
      </c>
      <c r="Q25" s="223">
        <v>0</v>
      </c>
      <c r="R25" s="223">
        <v>0</v>
      </c>
      <c r="S25" s="223">
        <v>0</v>
      </c>
      <c r="T25" s="223">
        <v>0</v>
      </c>
      <c r="U25" s="223">
        <v>0</v>
      </c>
      <c r="V25" s="223">
        <v>0</v>
      </c>
      <c r="W25" s="223">
        <f>C30/2</f>
        <v>7937.0866307999995</v>
      </c>
      <c r="X25" s="223">
        <f>W25</f>
        <v>7937.0866307999995</v>
      </c>
      <c r="Y25" s="223">
        <v>0</v>
      </c>
      <c r="Z25" s="223">
        <v>0</v>
      </c>
      <c r="AA25" s="223">
        <v>0</v>
      </c>
      <c r="AB25" s="223">
        <v>0</v>
      </c>
      <c r="AC25" s="223">
        <v>0</v>
      </c>
      <c r="AD25" s="223">
        <v>0</v>
      </c>
      <c r="AE25" s="223">
        <v>0</v>
      </c>
      <c r="AF25" s="223">
        <v>0</v>
      </c>
      <c r="AG25" s="223">
        <v>0</v>
      </c>
      <c r="AH25" s="223">
        <v>0</v>
      </c>
      <c r="AI25" s="223">
        <v>0</v>
      </c>
      <c r="AJ25" s="223">
        <v>0</v>
      </c>
      <c r="AK25" s="223">
        <v>0</v>
      </c>
    </row>
    <row r="26" spans="2:37" ht="13.15" customHeight="1" x14ac:dyDescent="0.2">
      <c r="B26" s="403" t="s">
        <v>1418</v>
      </c>
      <c r="C26" s="223">
        <v>0</v>
      </c>
      <c r="D26" s="223">
        <v>0</v>
      </c>
      <c r="E26" s="223">
        <v>0</v>
      </c>
      <c r="F26" s="223">
        <v>0</v>
      </c>
      <c r="G26" s="223">
        <v>0</v>
      </c>
      <c r="H26" s="223">
        <v>0</v>
      </c>
      <c r="I26" s="223">
        <v>0</v>
      </c>
      <c r="J26" s="223">
        <v>0</v>
      </c>
      <c r="K26" s="223">
        <v>0</v>
      </c>
      <c r="L26" s="223">
        <v>0</v>
      </c>
      <c r="M26" s="223">
        <v>0</v>
      </c>
      <c r="N26" s="223">
        <v>0</v>
      </c>
      <c r="O26" s="223">
        <v>0</v>
      </c>
      <c r="P26" s="223">
        <v>0</v>
      </c>
      <c r="Q26" s="223">
        <v>0</v>
      </c>
      <c r="R26" s="223">
        <v>0</v>
      </c>
      <c r="S26" s="223">
        <v>0</v>
      </c>
      <c r="T26" s="223">
        <v>0</v>
      </c>
      <c r="U26" s="223">
        <v>0</v>
      </c>
      <c r="V26" s="223">
        <v>0</v>
      </c>
      <c r="W26" s="223">
        <f>(V28+W25)*$C$22</f>
        <v>940.54476574979992</v>
      </c>
      <c r="X26" s="223">
        <f t="shared" ref="X26:AF26" si="8">(W28+X25)*$C$22</f>
        <v>1881.0895314995998</v>
      </c>
      <c r="Y26" s="223">
        <f t="shared" si="8"/>
        <v>1881.0895314996001</v>
      </c>
      <c r="Z26" s="223">
        <f t="shared" si="8"/>
        <v>1645.9533400621501</v>
      </c>
      <c r="AA26" s="223">
        <f t="shared" si="8"/>
        <v>1410.8171486246999</v>
      </c>
      <c r="AB26" s="223">
        <f t="shared" si="8"/>
        <v>1175.68095718725</v>
      </c>
      <c r="AC26" s="223">
        <f t="shared" si="8"/>
        <v>940.54476574979992</v>
      </c>
      <c r="AD26" s="223">
        <f t="shared" si="8"/>
        <v>705.40857431234986</v>
      </c>
      <c r="AE26" s="223">
        <f t="shared" si="8"/>
        <v>470.2723828748999</v>
      </c>
      <c r="AF26" s="223">
        <f t="shared" si="8"/>
        <v>235.1361914374499</v>
      </c>
      <c r="AG26" s="223">
        <v>0</v>
      </c>
      <c r="AH26" s="223">
        <v>0</v>
      </c>
      <c r="AI26" s="223">
        <v>0</v>
      </c>
      <c r="AJ26" s="223">
        <v>0</v>
      </c>
      <c r="AK26" s="223">
        <v>0</v>
      </c>
    </row>
    <row r="27" spans="2:37" ht="13.15" customHeight="1" x14ac:dyDescent="0.2">
      <c r="B27" s="403" t="s">
        <v>1407</v>
      </c>
      <c r="C27" s="223">
        <v>0</v>
      </c>
      <c r="D27" s="223">
        <v>0</v>
      </c>
      <c r="E27" s="223">
        <v>0</v>
      </c>
      <c r="F27" s="223">
        <v>0</v>
      </c>
      <c r="G27" s="223">
        <v>0</v>
      </c>
      <c r="H27" s="223">
        <v>0</v>
      </c>
      <c r="I27" s="223">
        <v>0</v>
      </c>
      <c r="J27" s="223">
        <v>0</v>
      </c>
      <c r="K27" s="223">
        <v>0</v>
      </c>
      <c r="L27" s="223">
        <v>0</v>
      </c>
      <c r="M27" s="223">
        <v>0</v>
      </c>
      <c r="N27" s="223">
        <v>0</v>
      </c>
      <c r="O27" s="223">
        <v>0</v>
      </c>
      <c r="P27" s="223">
        <v>0</v>
      </c>
      <c r="Q27" s="223">
        <v>0</v>
      </c>
      <c r="R27" s="223">
        <v>0</v>
      </c>
      <c r="S27" s="223">
        <v>0</v>
      </c>
      <c r="T27" s="223">
        <v>0</v>
      </c>
      <c r="U27" s="223">
        <v>0</v>
      </c>
      <c r="V27" s="223">
        <v>0</v>
      </c>
      <c r="W27" s="223">
        <f>-W26</f>
        <v>-940.54476574979992</v>
      </c>
      <c r="X27" s="223">
        <f>-X26</f>
        <v>-1881.0895314995998</v>
      </c>
      <c r="Y27" s="223">
        <f>-($X$28/$C$32)*12-Y26</f>
        <v>-3865.3611891996002</v>
      </c>
      <c r="Z27" s="223">
        <f t="shared" ref="Z27:AF27" si="9">-($X$28/$C$32)*12-Z26</f>
        <v>-3630.2249977621505</v>
      </c>
      <c r="AA27" s="223">
        <f t="shared" si="9"/>
        <v>-3395.0888063247003</v>
      </c>
      <c r="AB27" s="223">
        <f t="shared" si="9"/>
        <v>-3159.9526148872501</v>
      </c>
      <c r="AC27" s="223">
        <f t="shared" si="9"/>
        <v>-2924.8164234497999</v>
      </c>
      <c r="AD27" s="223">
        <f t="shared" si="9"/>
        <v>-2689.6802320123497</v>
      </c>
      <c r="AE27" s="223">
        <f t="shared" si="9"/>
        <v>-2454.5440405749</v>
      </c>
      <c r="AF27" s="223">
        <f t="shared" si="9"/>
        <v>-2219.4078491374498</v>
      </c>
      <c r="AG27" s="223">
        <v>0</v>
      </c>
      <c r="AH27" s="223">
        <v>0</v>
      </c>
      <c r="AI27" s="223">
        <v>0</v>
      </c>
      <c r="AJ27" s="223">
        <v>0</v>
      </c>
      <c r="AK27" s="223">
        <v>0</v>
      </c>
    </row>
    <row r="28" spans="2:37" ht="13.15" customHeight="1" x14ac:dyDescent="0.2">
      <c r="B28" s="224" t="s">
        <v>1419</v>
      </c>
      <c r="C28" s="224">
        <f>SUM(C25:C27)</f>
        <v>0</v>
      </c>
      <c r="D28" s="224">
        <f t="shared" ref="D28:AK28" si="10">C28+SUM(D25:D27)</f>
        <v>0</v>
      </c>
      <c r="E28" s="224">
        <f t="shared" si="10"/>
        <v>0</v>
      </c>
      <c r="F28" s="224">
        <f t="shared" si="10"/>
        <v>0</v>
      </c>
      <c r="G28" s="224">
        <f t="shared" si="10"/>
        <v>0</v>
      </c>
      <c r="H28" s="224">
        <f t="shared" si="10"/>
        <v>0</v>
      </c>
      <c r="I28" s="224">
        <f t="shared" si="10"/>
        <v>0</v>
      </c>
      <c r="J28" s="224">
        <f t="shared" si="10"/>
        <v>0</v>
      </c>
      <c r="K28" s="224">
        <f t="shared" si="10"/>
        <v>0</v>
      </c>
      <c r="L28" s="224">
        <f t="shared" si="10"/>
        <v>0</v>
      </c>
      <c r="M28" s="224">
        <f t="shared" si="10"/>
        <v>0</v>
      </c>
      <c r="N28" s="224">
        <f t="shared" si="10"/>
        <v>0</v>
      </c>
      <c r="O28" s="224">
        <f t="shared" si="10"/>
        <v>0</v>
      </c>
      <c r="P28" s="224">
        <f t="shared" si="10"/>
        <v>0</v>
      </c>
      <c r="Q28" s="224">
        <f t="shared" si="10"/>
        <v>0</v>
      </c>
      <c r="R28" s="224">
        <f t="shared" si="10"/>
        <v>0</v>
      </c>
      <c r="S28" s="224">
        <f t="shared" si="10"/>
        <v>0</v>
      </c>
      <c r="T28" s="224">
        <f t="shared" si="10"/>
        <v>0</v>
      </c>
      <c r="U28" s="224">
        <f t="shared" si="10"/>
        <v>0</v>
      </c>
      <c r="V28" s="224">
        <f t="shared" si="10"/>
        <v>0</v>
      </c>
      <c r="W28" s="224">
        <f t="shared" si="10"/>
        <v>7937.0866307999995</v>
      </c>
      <c r="X28" s="224">
        <f t="shared" si="10"/>
        <v>15874.173261600001</v>
      </c>
      <c r="Y28" s="224">
        <f t="shared" si="10"/>
        <v>13889.901603900002</v>
      </c>
      <c r="Z28" s="224">
        <f t="shared" si="10"/>
        <v>11905.629946200001</v>
      </c>
      <c r="AA28" s="224">
        <f t="shared" si="10"/>
        <v>9921.3582884999996</v>
      </c>
      <c r="AB28" s="224">
        <f t="shared" si="10"/>
        <v>7937.0866307999995</v>
      </c>
      <c r="AC28" s="224">
        <f t="shared" si="10"/>
        <v>5952.8149730999994</v>
      </c>
      <c r="AD28" s="224">
        <f t="shared" si="10"/>
        <v>3968.5433153999993</v>
      </c>
      <c r="AE28" s="224">
        <f t="shared" si="10"/>
        <v>1984.2716576999992</v>
      </c>
      <c r="AF28" s="224">
        <f t="shared" si="10"/>
        <v>0</v>
      </c>
      <c r="AG28" s="224">
        <f t="shared" si="10"/>
        <v>0</v>
      </c>
      <c r="AH28" s="224">
        <f t="shared" si="10"/>
        <v>0</v>
      </c>
      <c r="AI28" s="224">
        <f t="shared" si="10"/>
        <v>0</v>
      </c>
      <c r="AJ28" s="224">
        <f t="shared" si="10"/>
        <v>0</v>
      </c>
      <c r="AK28" s="224">
        <f t="shared" si="10"/>
        <v>0</v>
      </c>
    </row>
    <row r="30" spans="2:37" ht="13.15" customHeight="1" x14ac:dyDescent="0.2">
      <c r="B30" s="403" t="s">
        <v>4</v>
      </c>
      <c r="C30" s="222">
        <f>C58*C52</f>
        <v>15874.173261599999</v>
      </c>
    </row>
    <row r="31" spans="2:37" ht="13.15" customHeight="1" x14ac:dyDescent="0.2">
      <c r="B31" s="403" t="s">
        <v>1420</v>
      </c>
      <c r="C31" s="222">
        <v>24</v>
      </c>
    </row>
    <row r="32" spans="2:37" ht="13.15" customHeight="1" x14ac:dyDescent="0.2">
      <c r="B32" s="403" t="s">
        <v>1421</v>
      </c>
      <c r="C32" s="222">
        <f>120-C31</f>
        <v>96</v>
      </c>
    </row>
    <row r="33" spans="2:37" ht="13.15" customHeight="1" x14ac:dyDescent="0.2">
      <c r="B33" s="403" t="s">
        <v>1422</v>
      </c>
      <c r="C33" s="220">
        <f>'33 - WACC'!$C$16</f>
        <v>0.11849999999999999</v>
      </c>
    </row>
    <row r="35" spans="2:37" ht="13.15" customHeight="1" x14ac:dyDescent="0.2">
      <c r="B35" s="205" t="s">
        <v>1425</v>
      </c>
      <c r="C35" s="205" t="s">
        <v>708</v>
      </c>
      <c r="D35" s="205" t="s">
        <v>709</v>
      </c>
      <c r="E35" s="205" t="s">
        <v>710</v>
      </c>
      <c r="F35" s="205" t="s">
        <v>711</v>
      </c>
      <c r="G35" s="205" t="s">
        <v>712</v>
      </c>
      <c r="H35" s="205" t="s">
        <v>713</v>
      </c>
      <c r="I35" s="205" t="s">
        <v>714</v>
      </c>
      <c r="J35" s="205" t="s">
        <v>715</v>
      </c>
      <c r="K35" s="205" t="s">
        <v>716</v>
      </c>
      <c r="L35" s="205" t="s">
        <v>717</v>
      </c>
      <c r="M35" s="205" t="s">
        <v>718</v>
      </c>
      <c r="N35" s="205" t="s">
        <v>719</v>
      </c>
      <c r="O35" s="205" t="s">
        <v>720</v>
      </c>
      <c r="P35" s="205" t="s">
        <v>721</v>
      </c>
      <c r="Q35" s="205" t="s">
        <v>722</v>
      </c>
      <c r="R35" s="205" t="s">
        <v>723</v>
      </c>
      <c r="S35" s="205" t="s">
        <v>724</v>
      </c>
      <c r="T35" s="205" t="s">
        <v>725</v>
      </c>
      <c r="U35" s="205" t="s">
        <v>726</v>
      </c>
      <c r="V35" s="205" t="s">
        <v>727</v>
      </c>
      <c r="W35" s="205" t="s">
        <v>728</v>
      </c>
      <c r="X35" s="205" t="s">
        <v>729</v>
      </c>
      <c r="Y35" s="205" t="s">
        <v>730</v>
      </c>
      <c r="Z35" s="205" t="s">
        <v>731</v>
      </c>
      <c r="AA35" s="205" t="s">
        <v>732</v>
      </c>
      <c r="AB35" s="205" t="s">
        <v>733</v>
      </c>
      <c r="AC35" s="205" t="s">
        <v>734</v>
      </c>
      <c r="AD35" s="205" t="s">
        <v>735</v>
      </c>
      <c r="AE35" s="205" t="s">
        <v>736</v>
      </c>
      <c r="AF35" s="205" t="s">
        <v>737</v>
      </c>
      <c r="AG35" s="205" t="s">
        <v>738</v>
      </c>
      <c r="AH35" s="205" t="s">
        <v>739</v>
      </c>
      <c r="AI35" s="205" t="s">
        <v>740</v>
      </c>
      <c r="AJ35" s="205" t="s">
        <v>741</v>
      </c>
      <c r="AK35" s="205" t="s">
        <v>742</v>
      </c>
    </row>
    <row r="36" spans="2:37" ht="13.15" customHeight="1" x14ac:dyDescent="0.2">
      <c r="B36" s="403" t="s">
        <v>1417</v>
      </c>
      <c r="C36" s="223">
        <v>0</v>
      </c>
      <c r="D36" s="223">
        <v>0</v>
      </c>
      <c r="E36" s="223">
        <v>0</v>
      </c>
      <c r="F36" s="223">
        <v>0</v>
      </c>
      <c r="G36" s="223">
        <v>0</v>
      </c>
      <c r="H36" s="223">
        <v>0</v>
      </c>
      <c r="I36" s="223">
        <v>0</v>
      </c>
      <c r="J36" s="223">
        <v>0</v>
      </c>
      <c r="K36" s="223">
        <v>0</v>
      </c>
      <c r="L36" s="223">
        <v>0</v>
      </c>
      <c r="M36" s="223">
        <v>0</v>
      </c>
      <c r="N36" s="223">
        <v>0</v>
      </c>
      <c r="O36" s="223">
        <v>0</v>
      </c>
      <c r="P36" s="223">
        <v>0</v>
      </c>
      <c r="Q36" s="223">
        <v>0</v>
      </c>
      <c r="R36" s="223">
        <v>0</v>
      </c>
      <c r="S36" s="223">
        <v>0</v>
      </c>
      <c r="T36" s="223">
        <v>0</v>
      </c>
      <c r="U36" s="223">
        <v>0</v>
      </c>
      <c r="V36" s="223">
        <v>0</v>
      </c>
      <c r="W36" s="223">
        <v>0</v>
      </c>
      <c r="X36" s="223">
        <v>0</v>
      </c>
      <c r="Y36" s="223">
        <v>0</v>
      </c>
      <c r="Z36" s="223">
        <v>0</v>
      </c>
      <c r="AA36" s="223">
        <v>0</v>
      </c>
      <c r="AB36" s="223">
        <v>0</v>
      </c>
      <c r="AC36" s="223">
        <v>0</v>
      </c>
      <c r="AD36" s="223">
        <v>0</v>
      </c>
      <c r="AE36" s="223">
        <v>0</v>
      </c>
      <c r="AF36" s="223">
        <v>0</v>
      </c>
      <c r="AG36" s="223">
        <f>C42</f>
        <v>1616.5509365999999</v>
      </c>
      <c r="AH36" s="223">
        <v>0</v>
      </c>
      <c r="AI36" s="223">
        <v>0</v>
      </c>
      <c r="AJ36" s="223">
        <v>0</v>
      </c>
      <c r="AK36" s="223">
        <v>0</v>
      </c>
    </row>
    <row r="37" spans="2:37" ht="13.15" customHeight="1" x14ac:dyDescent="0.2">
      <c r="B37" s="403" t="s">
        <v>1418</v>
      </c>
      <c r="C37" s="223">
        <v>0</v>
      </c>
      <c r="D37" s="223">
        <v>0</v>
      </c>
      <c r="E37" s="223">
        <v>0</v>
      </c>
      <c r="F37" s="223">
        <v>0</v>
      </c>
      <c r="G37" s="223">
        <v>0</v>
      </c>
      <c r="H37" s="223">
        <v>0</v>
      </c>
      <c r="I37" s="223">
        <v>0</v>
      </c>
      <c r="J37" s="223">
        <v>0</v>
      </c>
      <c r="K37" s="223">
        <v>0</v>
      </c>
      <c r="L37" s="223">
        <v>0</v>
      </c>
      <c r="M37" s="223">
        <v>0</v>
      </c>
      <c r="N37" s="223">
        <v>0</v>
      </c>
      <c r="O37" s="223">
        <v>0</v>
      </c>
      <c r="P37" s="223">
        <v>0</v>
      </c>
      <c r="Q37" s="223">
        <v>0</v>
      </c>
      <c r="R37" s="223">
        <v>0</v>
      </c>
      <c r="S37" s="223">
        <v>0</v>
      </c>
      <c r="T37" s="223">
        <v>0</v>
      </c>
      <c r="U37" s="223">
        <v>0</v>
      </c>
      <c r="V37" s="223">
        <v>0</v>
      </c>
      <c r="W37" s="223">
        <v>0</v>
      </c>
      <c r="X37" s="223">
        <v>0</v>
      </c>
      <c r="Y37" s="223">
        <v>0</v>
      </c>
      <c r="Z37" s="223">
        <v>0</v>
      </c>
      <c r="AA37" s="223">
        <v>0</v>
      </c>
      <c r="AB37" s="223">
        <v>0</v>
      </c>
      <c r="AC37" s="223">
        <v>0</v>
      </c>
      <c r="AD37" s="223">
        <v>0</v>
      </c>
      <c r="AE37" s="223">
        <v>0</v>
      </c>
      <c r="AF37" s="223">
        <v>0</v>
      </c>
      <c r="AG37" s="223">
        <f>(AF39+AG36)*$C$45</f>
        <v>191.56128598709998</v>
      </c>
      <c r="AH37" s="223">
        <f>(AG39+AH36)*$C$45</f>
        <v>191.56128598709998</v>
      </c>
      <c r="AI37" s="223">
        <f>(AH39+AI36)*$C$45</f>
        <v>143.67096449032499</v>
      </c>
      <c r="AJ37" s="223">
        <f>(AI39+AJ36)*$C$45</f>
        <v>95.780642993549989</v>
      </c>
      <c r="AK37" s="223">
        <f>(AJ39+AK36)*$C$45</f>
        <v>47.890321496774995</v>
      </c>
    </row>
    <row r="38" spans="2:37" ht="13.15" customHeight="1" x14ac:dyDescent="0.2">
      <c r="B38" s="403" t="s">
        <v>1407</v>
      </c>
      <c r="C38" s="223">
        <v>0</v>
      </c>
      <c r="D38" s="223">
        <v>0</v>
      </c>
      <c r="E38" s="223">
        <v>0</v>
      </c>
      <c r="F38" s="223">
        <v>0</v>
      </c>
      <c r="G38" s="223">
        <v>0</v>
      </c>
      <c r="H38" s="223">
        <v>0</v>
      </c>
      <c r="I38" s="223">
        <v>0</v>
      </c>
      <c r="J38" s="223">
        <v>0</v>
      </c>
      <c r="K38" s="223">
        <v>0</v>
      </c>
      <c r="L38" s="223">
        <v>0</v>
      </c>
      <c r="M38" s="223">
        <v>0</v>
      </c>
      <c r="N38" s="223">
        <v>0</v>
      </c>
      <c r="O38" s="223">
        <v>0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f>-AG37</f>
        <v>-191.56128598709998</v>
      </c>
      <c r="AH38" s="223">
        <f>-($AG$39/$C$44)*12-AH37</f>
        <v>-595.69902013709998</v>
      </c>
      <c r="AI38" s="223">
        <f>-($AG$39/$C$44)*12-AI37</f>
        <v>-547.80869864032502</v>
      </c>
      <c r="AJ38" s="223">
        <f>-($AG$39/$C$44)*12-AJ37</f>
        <v>-499.91837714354995</v>
      </c>
      <c r="AK38" s="223">
        <f>-($AG$39/$C$44)*12-AK37</f>
        <v>-452.02805564677499</v>
      </c>
    </row>
    <row r="39" spans="2:37" ht="13.15" customHeight="1" x14ac:dyDescent="0.2">
      <c r="B39" s="224" t="s">
        <v>1419</v>
      </c>
      <c r="C39" s="224">
        <f>SUM(C36:C38)</f>
        <v>0</v>
      </c>
      <c r="D39" s="224">
        <f t="shared" ref="D39:AK39" si="11">C39+SUM(D36:D38)</f>
        <v>0</v>
      </c>
      <c r="E39" s="224">
        <f t="shared" si="11"/>
        <v>0</v>
      </c>
      <c r="F39" s="224">
        <f t="shared" si="11"/>
        <v>0</v>
      </c>
      <c r="G39" s="224">
        <f t="shared" si="11"/>
        <v>0</v>
      </c>
      <c r="H39" s="224">
        <f t="shared" si="11"/>
        <v>0</v>
      </c>
      <c r="I39" s="224">
        <f t="shared" si="11"/>
        <v>0</v>
      </c>
      <c r="J39" s="224">
        <f t="shared" si="11"/>
        <v>0</v>
      </c>
      <c r="K39" s="224">
        <f t="shared" si="11"/>
        <v>0</v>
      </c>
      <c r="L39" s="224">
        <f t="shared" si="11"/>
        <v>0</v>
      </c>
      <c r="M39" s="224">
        <f t="shared" si="11"/>
        <v>0</v>
      </c>
      <c r="N39" s="224">
        <f t="shared" si="11"/>
        <v>0</v>
      </c>
      <c r="O39" s="224">
        <f t="shared" si="11"/>
        <v>0</v>
      </c>
      <c r="P39" s="224">
        <f t="shared" si="11"/>
        <v>0</v>
      </c>
      <c r="Q39" s="224">
        <f t="shared" si="11"/>
        <v>0</v>
      </c>
      <c r="R39" s="224">
        <f t="shared" si="11"/>
        <v>0</v>
      </c>
      <c r="S39" s="224">
        <f t="shared" si="11"/>
        <v>0</v>
      </c>
      <c r="T39" s="224">
        <f t="shared" si="11"/>
        <v>0</v>
      </c>
      <c r="U39" s="224">
        <f t="shared" si="11"/>
        <v>0</v>
      </c>
      <c r="V39" s="224">
        <f t="shared" si="11"/>
        <v>0</v>
      </c>
      <c r="W39" s="224">
        <f t="shared" si="11"/>
        <v>0</v>
      </c>
      <c r="X39" s="224">
        <f t="shared" si="11"/>
        <v>0</v>
      </c>
      <c r="Y39" s="224">
        <f t="shared" si="11"/>
        <v>0</v>
      </c>
      <c r="Z39" s="224">
        <f t="shared" si="11"/>
        <v>0</v>
      </c>
      <c r="AA39" s="224">
        <f t="shared" si="11"/>
        <v>0</v>
      </c>
      <c r="AB39" s="224">
        <f t="shared" si="11"/>
        <v>0</v>
      </c>
      <c r="AC39" s="224">
        <f t="shared" si="11"/>
        <v>0</v>
      </c>
      <c r="AD39" s="224">
        <f t="shared" si="11"/>
        <v>0</v>
      </c>
      <c r="AE39" s="224">
        <f t="shared" si="11"/>
        <v>0</v>
      </c>
      <c r="AF39" s="224">
        <f t="shared" si="11"/>
        <v>0</v>
      </c>
      <c r="AG39" s="224">
        <f t="shared" si="11"/>
        <v>1616.5509365999999</v>
      </c>
      <c r="AH39" s="224">
        <f t="shared" si="11"/>
        <v>1212.41320245</v>
      </c>
      <c r="AI39" s="224">
        <f t="shared" si="11"/>
        <v>808.27546829999994</v>
      </c>
      <c r="AJ39" s="224">
        <f t="shared" si="11"/>
        <v>404.13773414999997</v>
      </c>
      <c r="AK39" s="224">
        <f t="shared" si="11"/>
        <v>0</v>
      </c>
    </row>
    <row r="42" spans="2:37" ht="13.15" customHeight="1" x14ac:dyDescent="0.2">
      <c r="B42" s="403" t="s">
        <v>4</v>
      </c>
      <c r="C42" s="222">
        <f>C59*C52</f>
        <v>1616.5509365999999</v>
      </c>
    </row>
    <row r="43" spans="2:37" ht="13.15" customHeight="1" x14ac:dyDescent="0.2">
      <c r="B43" s="403" t="s">
        <v>1420</v>
      </c>
      <c r="C43" s="222">
        <v>12</v>
      </c>
    </row>
    <row r="44" spans="2:37" ht="13.15" customHeight="1" x14ac:dyDescent="0.2">
      <c r="B44" s="403" t="s">
        <v>1421</v>
      </c>
      <c r="C44" s="222">
        <v>48</v>
      </c>
    </row>
    <row r="45" spans="2:37" ht="13.15" customHeight="1" x14ac:dyDescent="0.2">
      <c r="B45" s="403" t="s">
        <v>1422</v>
      </c>
      <c r="C45" s="220">
        <f>'33 - WACC'!$C$16</f>
        <v>0.11849999999999999</v>
      </c>
    </row>
    <row r="46" spans="2:37" ht="13.15" customHeight="1" x14ac:dyDescent="0.2">
      <c r="B46" s="403"/>
      <c r="C46" s="220"/>
    </row>
    <row r="47" spans="2:37" ht="13.15" customHeight="1" x14ac:dyDescent="0.2">
      <c r="B47" s="224" t="s">
        <v>1417</v>
      </c>
      <c r="C47" s="224">
        <f>SUM(C3,C14,C25,C36)</f>
        <v>8039.4513074999995</v>
      </c>
      <c r="D47" s="224">
        <f t="shared" ref="D47:AK47" si="12">SUM(D3,D14,D25,D36)</f>
        <v>8039.4513074999995</v>
      </c>
      <c r="E47" s="224">
        <f t="shared" si="12"/>
        <v>0</v>
      </c>
      <c r="F47" s="224">
        <f t="shared" si="12"/>
        <v>0</v>
      </c>
      <c r="G47" s="224">
        <f t="shared" si="12"/>
        <v>0</v>
      </c>
      <c r="H47" s="224">
        <f t="shared" si="12"/>
        <v>0</v>
      </c>
      <c r="I47" s="224">
        <f t="shared" si="12"/>
        <v>0</v>
      </c>
      <c r="J47" s="224">
        <f t="shared" si="12"/>
        <v>0</v>
      </c>
      <c r="K47" s="224">
        <f t="shared" si="12"/>
        <v>0</v>
      </c>
      <c r="L47" s="224">
        <f t="shared" si="12"/>
        <v>0</v>
      </c>
      <c r="M47" s="224">
        <f t="shared" si="12"/>
        <v>4720.7518802999994</v>
      </c>
      <c r="N47" s="224">
        <f t="shared" si="12"/>
        <v>4720.7518802999994</v>
      </c>
      <c r="O47" s="224">
        <f t="shared" si="12"/>
        <v>0</v>
      </c>
      <c r="P47" s="224">
        <f t="shared" si="12"/>
        <v>0</v>
      </c>
      <c r="Q47" s="224">
        <f t="shared" si="12"/>
        <v>0</v>
      </c>
      <c r="R47" s="224">
        <f t="shared" si="12"/>
        <v>0</v>
      </c>
      <c r="S47" s="224">
        <f t="shared" si="12"/>
        <v>0</v>
      </c>
      <c r="T47" s="224">
        <f t="shared" si="12"/>
        <v>0</v>
      </c>
      <c r="U47" s="224">
        <f t="shared" si="12"/>
        <v>0</v>
      </c>
      <c r="V47" s="224">
        <f t="shared" si="12"/>
        <v>0</v>
      </c>
      <c r="W47" s="224">
        <f t="shared" si="12"/>
        <v>7937.0866307999995</v>
      </c>
      <c r="X47" s="224">
        <f t="shared" si="12"/>
        <v>7937.0866307999995</v>
      </c>
      <c r="Y47" s="224">
        <f t="shared" si="12"/>
        <v>0</v>
      </c>
      <c r="Z47" s="224">
        <f t="shared" si="12"/>
        <v>0</v>
      </c>
      <c r="AA47" s="224">
        <f t="shared" si="12"/>
        <v>0</v>
      </c>
      <c r="AB47" s="224">
        <f t="shared" si="12"/>
        <v>0</v>
      </c>
      <c r="AC47" s="224">
        <f t="shared" si="12"/>
        <v>0</v>
      </c>
      <c r="AD47" s="224">
        <f t="shared" si="12"/>
        <v>0</v>
      </c>
      <c r="AE47" s="224">
        <f t="shared" si="12"/>
        <v>0</v>
      </c>
      <c r="AF47" s="224">
        <f t="shared" si="12"/>
        <v>0</v>
      </c>
      <c r="AG47" s="224">
        <f t="shared" si="12"/>
        <v>1616.5509365999999</v>
      </c>
      <c r="AH47" s="224">
        <f t="shared" si="12"/>
        <v>0</v>
      </c>
      <c r="AI47" s="224">
        <f t="shared" si="12"/>
        <v>0</v>
      </c>
      <c r="AJ47" s="224">
        <f t="shared" si="12"/>
        <v>0</v>
      </c>
      <c r="AK47" s="224">
        <f t="shared" si="12"/>
        <v>0</v>
      </c>
    </row>
    <row r="48" spans="2:37" ht="13.15" customHeight="1" x14ac:dyDescent="0.2">
      <c r="B48" s="224" t="s">
        <v>1418</v>
      </c>
      <c r="C48" s="224">
        <f>SUM(C4,C15,C26,C37)</f>
        <v>952.67497993874986</v>
      </c>
      <c r="D48" s="224">
        <f t="shared" ref="D48:AK49" si="13">SUM(D4,D15,D26,D37)</f>
        <v>1905.3499598774997</v>
      </c>
      <c r="E48" s="224">
        <f t="shared" si="13"/>
        <v>1905.3499598774997</v>
      </c>
      <c r="F48" s="224">
        <f t="shared" si="13"/>
        <v>1667.1812148928122</v>
      </c>
      <c r="G48" s="224">
        <f t="shared" si="13"/>
        <v>1429.0124699081248</v>
      </c>
      <c r="H48" s="224">
        <f t="shared" si="13"/>
        <v>1190.8437249234373</v>
      </c>
      <c r="I48" s="224">
        <f t="shared" si="13"/>
        <v>952.67497993874986</v>
      </c>
      <c r="J48" s="224">
        <f t="shared" si="13"/>
        <v>714.50623495406239</v>
      </c>
      <c r="K48" s="224">
        <f t="shared" si="13"/>
        <v>476.33748996937493</v>
      </c>
      <c r="L48" s="224">
        <f t="shared" si="13"/>
        <v>238.16874498468746</v>
      </c>
      <c r="M48" s="224">
        <f t="shared" si="13"/>
        <v>559.4090978155499</v>
      </c>
      <c r="N48" s="224">
        <f t="shared" si="13"/>
        <v>1118.8181956310998</v>
      </c>
      <c r="O48" s="224">
        <f t="shared" si="13"/>
        <v>1118.8181956310998</v>
      </c>
      <c r="P48" s="224">
        <f t="shared" si="13"/>
        <v>978.96592117721229</v>
      </c>
      <c r="Q48" s="224">
        <f t="shared" si="13"/>
        <v>839.1136467233249</v>
      </c>
      <c r="R48" s="224">
        <f t="shared" si="13"/>
        <v>699.2613722694374</v>
      </c>
      <c r="S48" s="224">
        <f t="shared" si="13"/>
        <v>559.40909781555001</v>
      </c>
      <c r="T48" s="224">
        <f t="shared" si="13"/>
        <v>419.55682336166257</v>
      </c>
      <c r="U48" s="224">
        <f t="shared" si="13"/>
        <v>279.70454890777512</v>
      </c>
      <c r="V48" s="224">
        <f t="shared" si="13"/>
        <v>139.85227445388762</v>
      </c>
      <c r="W48" s="224">
        <f t="shared" si="13"/>
        <v>940.54476574979992</v>
      </c>
      <c r="X48" s="224">
        <f t="shared" si="13"/>
        <v>1881.0895314995998</v>
      </c>
      <c r="Y48" s="224">
        <f t="shared" si="13"/>
        <v>1881.0895314996001</v>
      </c>
      <c r="Z48" s="224">
        <f t="shared" si="13"/>
        <v>1645.9533400621501</v>
      </c>
      <c r="AA48" s="224">
        <f t="shared" si="13"/>
        <v>1410.8171486246999</v>
      </c>
      <c r="AB48" s="224">
        <f t="shared" si="13"/>
        <v>1175.68095718725</v>
      </c>
      <c r="AC48" s="224">
        <f t="shared" si="13"/>
        <v>940.54476574979992</v>
      </c>
      <c r="AD48" s="224">
        <f t="shared" si="13"/>
        <v>705.40857431234986</v>
      </c>
      <c r="AE48" s="224">
        <f t="shared" si="13"/>
        <v>470.2723828748999</v>
      </c>
      <c r="AF48" s="224">
        <f t="shared" si="13"/>
        <v>235.1361914374499</v>
      </c>
      <c r="AG48" s="224">
        <f t="shared" si="13"/>
        <v>191.56128598709998</v>
      </c>
      <c r="AH48" s="224">
        <f t="shared" si="13"/>
        <v>191.56128598709998</v>
      </c>
      <c r="AI48" s="224">
        <f t="shared" si="13"/>
        <v>143.67096449032499</v>
      </c>
      <c r="AJ48" s="224">
        <f t="shared" si="13"/>
        <v>95.780642993549989</v>
      </c>
      <c r="AK48" s="224">
        <f t="shared" si="13"/>
        <v>47.890321496774995</v>
      </c>
    </row>
    <row r="49" spans="2:37" ht="13.15" customHeight="1" x14ac:dyDescent="0.2">
      <c r="B49" s="224" t="s">
        <v>1407</v>
      </c>
      <c r="C49" s="224">
        <f>SUM(C5,C16,C27,C38)</f>
        <v>-952.67497993874986</v>
      </c>
      <c r="D49" s="224">
        <f t="shared" si="13"/>
        <v>-1905.3499598774997</v>
      </c>
      <c r="E49" s="224">
        <f t="shared" si="13"/>
        <v>-3915.2127867524996</v>
      </c>
      <c r="F49" s="224">
        <f t="shared" si="13"/>
        <v>-3677.0440417678119</v>
      </c>
      <c r="G49" s="224">
        <f t="shared" si="13"/>
        <v>-3438.8752967831247</v>
      </c>
      <c r="H49" s="224">
        <f t="shared" si="13"/>
        <v>-3200.7065517984374</v>
      </c>
      <c r="I49" s="224">
        <f t="shared" si="13"/>
        <v>-2962.5378068137497</v>
      </c>
      <c r="J49" s="224">
        <f t="shared" si="13"/>
        <v>-2724.369061829062</v>
      </c>
      <c r="K49" s="224">
        <f t="shared" si="13"/>
        <v>-2486.2003168443748</v>
      </c>
      <c r="L49" s="224">
        <f t="shared" si="13"/>
        <v>-2248.0315718596876</v>
      </c>
      <c r="M49" s="224">
        <f t="shared" si="13"/>
        <v>-559.4090978155499</v>
      </c>
      <c r="N49" s="224">
        <f t="shared" si="13"/>
        <v>-1118.8181956310998</v>
      </c>
      <c r="O49" s="224">
        <f t="shared" si="13"/>
        <v>-2299.0061657060996</v>
      </c>
      <c r="P49" s="224">
        <f t="shared" si="13"/>
        <v>-2159.1538912522119</v>
      </c>
      <c r="Q49" s="224">
        <f t="shared" si="13"/>
        <v>-2019.3016167983246</v>
      </c>
      <c r="R49" s="224">
        <f t="shared" si="13"/>
        <v>-1879.4493423444374</v>
      </c>
      <c r="S49" s="224">
        <f t="shared" si="13"/>
        <v>-1739.5970678905499</v>
      </c>
      <c r="T49" s="224">
        <f t="shared" si="13"/>
        <v>-1599.7447934366623</v>
      </c>
      <c r="U49" s="224">
        <f t="shared" si="13"/>
        <v>-1459.8925189827751</v>
      </c>
      <c r="V49" s="224">
        <f t="shared" si="13"/>
        <v>-1320.0402445288873</v>
      </c>
      <c r="W49" s="224">
        <f t="shared" si="13"/>
        <v>-940.54476574979992</v>
      </c>
      <c r="X49" s="224">
        <f t="shared" si="13"/>
        <v>-1881.0895314995998</v>
      </c>
      <c r="Y49" s="224">
        <f t="shared" si="13"/>
        <v>-3865.3611891996002</v>
      </c>
      <c r="Z49" s="224">
        <f t="shared" si="13"/>
        <v>-3630.2249977621505</v>
      </c>
      <c r="AA49" s="224">
        <f t="shared" si="13"/>
        <v>-3395.0888063247003</v>
      </c>
      <c r="AB49" s="224">
        <f t="shared" si="13"/>
        <v>-3159.9526148872501</v>
      </c>
      <c r="AC49" s="224">
        <f t="shared" si="13"/>
        <v>-2924.8164234497999</v>
      </c>
      <c r="AD49" s="224">
        <f t="shared" si="13"/>
        <v>-2689.6802320123497</v>
      </c>
      <c r="AE49" s="224">
        <f t="shared" si="13"/>
        <v>-2454.5440405749</v>
      </c>
      <c r="AF49" s="224">
        <f t="shared" si="13"/>
        <v>-2219.4078491374498</v>
      </c>
      <c r="AG49" s="224">
        <f t="shared" si="13"/>
        <v>-191.56128598709998</v>
      </c>
      <c r="AH49" s="224">
        <f t="shared" si="13"/>
        <v>-595.69902013709998</v>
      </c>
      <c r="AI49" s="224">
        <f t="shared" si="13"/>
        <v>-547.80869864032502</v>
      </c>
      <c r="AJ49" s="224">
        <f t="shared" si="13"/>
        <v>-499.91837714354995</v>
      </c>
      <c r="AK49" s="224">
        <f t="shared" si="13"/>
        <v>-452.02805564677499</v>
      </c>
    </row>
    <row r="50" spans="2:37" ht="13.15" customHeight="1" x14ac:dyDescent="0.2">
      <c r="B50" s="403"/>
      <c r="C50" s="220"/>
    </row>
    <row r="51" spans="2:37" ht="13.15" customHeight="1" x14ac:dyDescent="0.2">
      <c r="B51" s="8" t="s">
        <v>1426</v>
      </c>
    </row>
    <row r="52" spans="2:37" ht="13.15" customHeight="1" x14ac:dyDescent="0.2">
      <c r="B52" s="403" t="s">
        <v>1427</v>
      </c>
      <c r="C52" s="220">
        <f>'33 - WACC'!C21</f>
        <v>0.3</v>
      </c>
    </row>
    <row r="53" spans="2:37" ht="13.15" customHeight="1" x14ac:dyDescent="0.2">
      <c r="B53" s="403" t="s">
        <v>1428</v>
      </c>
      <c r="C53" s="220">
        <f>'33 - WACC'!C22</f>
        <v>0.7</v>
      </c>
    </row>
    <row r="54" spans="2:37" ht="13.15" customHeight="1" x14ac:dyDescent="0.2">
      <c r="B54" s="8" t="s">
        <v>71</v>
      </c>
      <c r="C54" s="221">
        <f>SUM(C52:C53)</f>
        <v>1</v>
      </c>
    </row>
    <row r="56" spans="2:37" ht="13.15" customHeight="1" x14ac:dyDescent="0.2">
      <c r="B56" s="403" t="s">
        <v>1429</v>
      </c>
      <c r="C56" s="61">
        <f>SUM('14 - Investimentos'!E4:N4)</f>
        <v>53596.342049999999</v>
      </c>
    </row>
    <row r="57" spans="2:37" ht="13.15" customHeight="1" x14ac:dyDescent="0.2">
      <c r="B57" s="403" t="s">
        <v>1430</v>
      </c>
      <c r="C57" s="61">
        <f>SUM('14 - Investimentos'!O4:X4)</f>
        <v>31471.679201999996</v>
      </c>
    </row>
    <row r="58" spans="2:37" ht="13.15" customHeight="1" x14ac:dyDescent="0.2">
      <c r="B58" s="403" t="s">
        <v>1431</v>
      </c>
      <c r="C58" s="61">
        <f>SUM('14 - Investimentos'!Y4:AH4)</f>
        <v>52913.910872</v>
      </c>
    </row>
    <row r="59" spans="2:37" ht="13.15" customHeight="1" x14ac:dyDescent="0.2">
      <c r="B59" s="403" t="s">
        <v>1432</v>
      </c>
      <c r="C59" s="61">
        <f>SUM('14 - Investimentos'!AI4:AM4)</f>
        <v>5388.5031220000001</v>
      </c>
    </row>
    <row r="60" spans="2:37" ht="13.15" customHeight="1" x14ac:dyDescent="0.2">
      <c r="B60" s="8" t="s">
        <v>71</v>
      </c>
      <c r="C60" s="203">
        <f>SUM(C56:C59)</f>
        <v>143370.43524599998</v>
      </c>
    </row>
  </sheetData>
  <phoneticPr fontId="8" type="noConversion"/>
  <pageMargins left="0.511811024" right="0.511811024" top="0.78740157499999996" bottom="0.78740157499999996" header="0.31496062000000002" footer="0.31496062000000002"/>
  <pageSetup paperSize="9" scale="4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Planilha29"/>
  <dimension ref="B2:AK17"/>
  <sheetViews>
    <sheetView showGridLines="0" zoomScale="85" zoomScaleNormal="85" workbookViewId="0">
      <selection activeCell="B4" sqref="B4"/>
    </sheetView>
  </sheetViews>
  <sheetFormatPr defaultRowHeight="13.15" customHeight="1" x14ac:dyDescent="0.2"/>
  <cols>
    <col min="1" max="1" width="2.7109375" customWidth="1"/>
    <col min="2" max="2" width="19.42578125" bestFit="1" customWidth="1"/>
  </cols>
  <sheetData>
    <row r="2" spans="2:37" ht="13.15" customHeight="1" x14ac:dyDescent="0.2">
      <c r="B2" s="205" t="s">
        <v>1054</v>
      </c>
      <c r="C2" s="205" t="s">
        <v>708</v>
      </c>
      <c r="D2" s="205" t="s">
        <v>709</v>
      </c>
      <c r="E2" s="205" t="s">
        <v>710</v>
      </c>
      <c r="F2" s="205" t="s">
        <v>711</v>
      </c>
      <c r="G2" s="205" t="s">
        <v>712</v>
      </c>
      <c r="H2" s="205" t="s">
        <v>713</v>
      </c>
      <c r="I2" s="205" t="s">
        <v>714</v>
      </c>
      <c r="J2" s="205" t="s">
        <v>715</v>
      </c>
      <c r="K2" s="205" t="s">
        <v>716</v>
      </c>
      <c r="L2" s="205" t="s">
        <v>717</v>
      </c>
      <c r="M2" s="205" t="s">
        <v>718</v>
      </c>
      <c r="N2" s="205" t="s">
        <v>719</v>
      </c>
      <c r="O2" s="205" t="s">
        <v>720</v>
      </c>
      <c r="P2" s="205" t="s">
        <v>721</v>
      </c>
      <c r="Q2" s="205" t="s">
        <v>722</v>
      </c>
      <c r="R2" s="205" t="s">
        <v>723</v>
      </c>
      <c r="S2" s="205" t="s">
        <v>724</v>
      </c>
      <c r="T2" s="205" t="s">
        <v>725</v>
      </c>
      <c r="U2" s="205" t="s">
        <v>726</v>
      </c>
      <c r="V2" s="205" t="s">
        <v>727</v>
      </c>
      <c r="W2" s="205" t="s">
        <v>728</v>
      </c>
      <c r="X2" s="205" t="s">
        <v>729</v>
      </c>
      <c r="Y2" s="205" t="s">
        <v>730</v>
      </c>
      <c r="Z2" s="205" t="s">
        <v>731</v>
      </c>
      <c r="AA2" s="205" t="s">
        <v>732</v>
      </c>
      <c r="AB2" s="205" t="s">
        <v>733</v>
      </c>
      <c r="AC2" s="205" t="s">
        <v>734</v>
      </c>
      <c r="AD2" s="205" t="s">
        <v>735</v>
      </c>
      <c r="AE2" s="205" t="s">
        <v>736</v>
      </c>
      <c r="AF2" s="205" t="s">
        <v>737</v>
      </c>
      <c r="AG2" s="205" t="s">
        <v>738</v>
      </c>
      <c r="AH2" s="205" t="s">
        <v>739</v>
      </c>
      <c r="AI2" s="205" t="s">
        <v>740</v>
      </c>
      <c r="AJ2" s="205" t="s">
        <v>741</v>
      </c>
      <c r="AK2" s="205" t="s">
        <v>742</v>
      </c>
    </row>
    <row r="3" spans="2:37" ht="13.15" customHeight="1" x14ac:dyDescent="0.2">
      <c r="B3" s="403" t="s">
        <v>1433</v>
      </c>
      <c r="C3" s="223">
        <f>'30 - Dem. Resultados'!C27</f>
        <v>5504.0528188352619</v>
      </c>
      <c r="D3" s="223">
        <f>'30 - Dem. Resultados'!D27</f>
        <v>3612.1667314553415</v>
      </c>
      <c r="E3" s="223">
        <f>'30 - Dem. Resultados'!E27</f>
        <v>3985.1302917110734</v>
      </c>
      <c r="F3" s="223">
        <f>'30 - Dem. Resultados'!F27</f>
        <v>4596.5035734332778</v>
      </c>
      <c r="G3" s="223">
        <f>'30 - Dem. Resultados'!G27</f>
        <v>5010.0636559284249</v>
      </c>
      <c r="H3" s="223">
        <f>'30 - Dem. Resultados'!H27</f>
        <v>7431.5638972632587</v>
      </c>
      <c r="I3" s="223">
        <f>'30 - Dem. Resultados'!I27</f>
        <v>4622.8088900708099</v>
      </c>
      <c r="J3" s="223">
        <f>'30 - Dem. Resultados'!J27</f>
        <v>6509.8576974539028</v>
      </c>
      <c r="K3" s="223">
        <f>'30 - Dem. Resultados'!K27</f>
        <v>4814.070267822688</v>
      </c>
      <c r="L3" s="223">
        <f>'30 - Dem. Resultados'!L27</f>
        <v>5288.4327381680996</v>
      </c>
      <c r="M3" s="223">
        <f>'30 - Dem. Resultados'!M27</f>
        <v>5785.5313038733802</v>
      </c>
      <c r="N3" s="223">
        <f>'30 - Dem. Resultados'!N27</f>
        <v>5723.9541261939157</v>
      </c>
      <c r="O3" s="223">
        <f>'30 - Dem. Resultados'!O27</f>
        <v>9010.8066146911442</v>
      </c>
      <c r="P3" s="223">
        <f>'30 - Dem. Resultados'!P27</f>
        <v>6258.5846850600428</v>
      </c>
      <c r="Q3" s="223">
        <f>'30 - Dem. Resultados'!Q27</f>
        <v>8319.5926526606199</v>
      </c>
      <c r="R3" s="223">
        <f>'30 - Dem. Resultados'!R27</f>
        <v>6570.5383397928454</v>
      </c>
      <c r="S3" s="223">
        <f>'30 - Dem. Resultados'!S27</f>
        <v>6690.025463546408</v>
      </c>
      <c r="T3" s="223">
        <f>'30 - Dem. Resultados'!T27</f>
        <v>7094.0105837431256</v>
      </c>
      <c r="U3" s="223">
        <f>'30 - Dem. Resultados'!U27</f>
        <v>6873.2067142351807</v>
      </c>
      <c r="V3" s="223">
        <f>'30 - Dem. Resultados'!V27</f>
        <v>10013.324474227076</v>
      </c>
      <c r="W3" s="223">
        <f>'30 - Dem. Resultados'!W27</f>
        <v>7320.9345489017942</v>
      </c>
      <c r="X3" s="223">
        <f>'30 - Dem. Resultados'!X27</f>
        <v>9300.8185868097935</v>
      </c>
      <c r="Y3" s="223">
        <f>'30 - Dem. Resultados'!Y27</f>
        <v>7273.3884747457996</v>
      </c>
      <c r="Z3" s="223">
        <f>'30 - Dem. Resultados'!Z27</f>
        <v>7294.1724355284969</v>
      </c>
      <c r="AA3" s="223">
        <f>'30 - Dem. Resultados'!AA27</f>
        <v>7616.86257323467</v>
      </c>
      <c r="AB3" s="223">
        <f>'30 - Dem. Resultados'!AB27</f>
        <v>7629.1720224988676</v>
      </c>
      <c r="AC3" s="223">
        <f>'30 - Dem. Resultados'!AC27</f>
        <v>10458.368394810321</v>
      </c>
      <c r="AD3" s="223">
        <f>'30 - Dem. Resultados'!AD27</f>
        <v>7499.2630658354537</v>
      </c>
      <c r="AE3" s="223">
        <f>'30 - Dem. Resultados'!AE27</f>
        <v>9509.644969207242</v>
      </c>
      <c r="AF3" s="223">
        <f>'30 - Dem. Resultados'!AF27</f>
        <v>7638.2348324620398</v>
      </c>
      <c r="AG3" s="223">
        <f>'30 - Dem. Resultados'!AG27</f>
        <v>7606.0046849751234</v>
      </c>
      <c r="AH3" s="223">
        <f>'30 - Dem. Resultados'!AH27</f>
        <v>7558.798132411619</v>
      </c>
      <c r="AI3" s="223">
        <f>'30 - Dem. Resultados'!AI27</f>
        <v>7480.0233062661282</v>
      </c>
      <c r="AJ3" s="223">
        <f>'30 - Dem. Resultados'!AJ27</f>
        <v>10438.81280563437</v>
      </c>
      <c r="AK3" s="223">
        <f>'30 - Dem. Resultados'!AK27</f>
        <v>7274.7557809257632</v>
      </c>
    </row>
    <row r="4" spans="2:37" ht="13.15" customHeight="1" x14ac:dyDescent="0.2"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</row>
    <row r="5" spans="2:37" ht="13.15" customHeight="1" x14ac:dyDescent="0.2">
      <c r="B5" s="403" t="s">
        <v>1434</v>
      </c>
      <c r="C5" s="223">
        <f>'30 - Dem. Resultados'!C31</f>
        <v>-952.67497993874986</v>
      </c>
      <c r="D5" s="223">
        <f>'30 - Dem. Resultados'!D31</f>
        <v>-1905.3499598774997</v>
      </c>
      <c r="E5" s="223">
        <f>'30 - Dem. Resultados'!E31</f>
        <v>-1905.3499598774997</v>
      </c>
      <c r="F5" s="223">
        <f>'30 - Dem. Resultados'!F31</f>
        <v>-1667.1812148928122</v>
      </c>
      <c r="G5" s="223">
        <f>'30 - Dem. Resultados'!G31</f>
        <v>-1429.0124699081248</v>
      </c>
      <c r="H5" s="223">
        <f>'30 - Dem. Resultados'!H31</f>
        <v>-1190.8437249234373</v>
      </c>
      <c r="I5" s="223">
        <f>'30 - Dem. Resultados'!I31</f>
        <v>-952.67497993874986</v>
      </c>
      <c r="J5" s="223">
        <f>'30 - Dem. Resultados'!J31</f>
        <v>-714.50623495406239</v>
      </c>
      <c r="K5" s="223">
        <f>'30 - Dem. Resultados'!K31</f>
        <v>-476.33748996937493</v>
      </c>
      <c r="L5" s="223">
        <f>'30 - Dem. Resultados'!L31</f>
        <v>-238.16874498468746</v>
      </c>
      <c r="M5" s="223">
        <f>'30 - Dem. Resultados'!M31</f>
        <v>-559.4090978155499</v>
      </c>
      <c r="N5" s="223">
        <f>'30 - Dem. Resultados'!N31</f>
        <v>-1118.8181956310998</v>
      </c>
      <c r="O5" s="223">
        <f>'30 - Dem. Resultados'!O31</f>
        <v>-1118.8181956310998</v>
      </c>
      <c r="P5" s="223">
        <f>'30 - Dem. Resultados'!P31</f>
        <v>-978.96592117721229</v>
      </c>
      <c r="Q5" s="223">
        <f>'30 - Dem. Resultados'!Q31</f>
        <v>-839.1136467233249</v>
      </c>
      <c r="R5" s="223">
        <f>'30 - Dem. Resultados'!R31</f>
        <v>-699.2613722694374</v>
      </c>
      <c r="S5" s="223">
        <f>'30 - Dem. Resultados'!S31</f>
        <v>-559.40909781555001</v>
      </c>
      <c r="T5" s="223">
        <f>'30 - Dem. Resultados'!T31</f>
        <v>-419.55682336166257</v>
      </c>
      <c r="U5" s="223">
        <f>'30 - Dem. Resultados'!U31</f>
        <v>-279.70454890777512</v>
      </c>
      <c r="V5" s="223">
        <f>'30 - Dem. Resultados'!V31</f>
        <v>-139.85227445388762</v>
      </c>
      <c r="W5" s="223">
        <f>'30 - Dem. Resultados'!W31</f>
        <v>-940.54476574979992</v>
      </c>
      <c r="X5" s="223">
        <f>'30 - Dem. Resultados'!X31</f>
        <v>-1881.0895314995998</v>
      </c>
      <c r="Y5" s="223">
        <f>'30 - Dem. Resultados'!Y31</f>
        <v>-1881.0895314996001</v>
      </c>
      <c r="Z5" s="223">
        <f>'30 - Dem. Resultados'!Z31</f>
        <v>-1645.9533400621501</v>
      </c>
      <c r="AA5" s="223">
        <f>'30 - Dem. Resultados'!AA31</f>
        <v>-1410.8171486246999</v>
      </c>
      <c r="AB5" s="223">
        <f>'30 - Dem. Resultados'!AB31</f>
        <v>-1175.68095718725</v>
      </c>
      <c r="AC5" s="223">
        <f>'30 - Dem. Resultados'!AC31</f>
        <v>-940.54476574979992</v>
      </c>
      <c r="AD5" s="223">
        <f>'30 - Dem. Resultados'!AD31</f>
        <v>-705.40857431234986</v>
      </c>
      <c r="AE5" s="223">
        <f>'30 - Dem. Resultados'!AE31</f>
        <v>-470.2723828748999</v>
      </c>
      <c r="AF5" s="223">
        <f>'30 - Dem. Resultados'!AF31</f>
        <v>-235.1361914374499</v>
      </c>
      <c r="AG5" s="223">
        <f>'30 - Dem. Resultados'!AG31</f>
        <v>-191.56128598709998</v>
      </c>
      <c r="AH5" s="223">
        <f>'30 - Dem. Resultados'!AH31</f>
        <v>-191.56128598709998</v>
      </c>
      <c r="AI5" s="223">
        <f>'30 - Dem. Resultados'!AI31</f>
        <v>-143.67096449032499</v>
      </c>
      <c r="AJ5" s="223">
        <f>'30 - Dem. Resultados'!AJ31</f>
        <v>-95.780642993549989</v>
      </c>
      <c r="AK5" s="223">
        <f>'30 - Dem. Resultados'!AK31</f>
        <v>-47.890321496774995</v>
      </c>
    </row>
    <row r="6" spans="2:37" ht="13.15" customHeight="1" x14ac:dyDescent="0.2">
      <c r="B6" s="403" t="s">
        <v>1118</v>
      </c>
      <c r="C6" s="223">
        <f>'15 - Depreciação'!E152+'15 - Depreciação'!E162+'15 - Depreciação'!E172</f>
        <v>-3393.1701137333339</v>
      </c>
      <c r="D6" s="223">
        <f>'15 - Depreciação'!F152+'15 - Depreciação'!F162+'15 - Depreciação'!F172</f>
        <v>-3434.0257064000007</v>
      </c>
      <c r="E6" s="223">
        <f>'15 - Depreciação'!G152+'15 - Depreciação'!G162+'15 - Depreciação'!G172</f>
        <v>-3603.0363657333337</v>
      </c>
      <c r="F6" s="223">
        <f>'15 - Depreciação'!H152+'15 - Depreciação'!H162+'15 - Depreciação'!H172</f>
        <v>-3603.094965733334</v>
      </c>
      <c r="G6" s="223">
        <f>'15 - Depreciação'!I152+'15 - Depreciação'!I162+'15 - Depreciação'!I172</f>
        <v>-3834.6159984000005</v>
      </c>
      <c r="H6" s="223">
        <f>'15 - Depreciação'!J152+'15 - Depreciação'!J162+'15 - Depreciação'!J172</f>
        <v>-856.54981759999816</v>
      </c>
      <c r="I6" s="223">
        <f>'15 - Depreciação'!K152+'15 - Depreciação'!K162+'15 - Depreciação'!K172</f>
        <v>-856.60841760000017</v>
      </c>
      <c r="J6" s="223">
        <f>'15 - Depreciação'!L152+'15 - Depreciação'!L162+'15 - Depreciação'!L172</f>
        <v>-3955.9086183999998</v>
      </c>
      <c r="K6" s="223">
        <f>'15 - Depreciação'!M152+'15 - Depreciação'!M162+'15 - Depreciação'!M172</f>
        <v>-4059.9312583999999</v>
      </c>
      <c r="L6" s="223">
        <f>'15 - Depreciação'!N152+'15 - Depreciação'!N162+'15 - Depreciação'!N172</f>
        <v>-3958.2466784000007</v>
      </c>
      <c r="M6" s="223">
        <f>'15 - Depreciação'!O152+'15 - Depreciação'!O162+'15 - Depreciação'!O172</f>
        <v>-3881.1007268800004</v>
      </c>
      <c r="N6" s="223">
        <f>'15 - Depreciação'!P152+'15 - Depreciação'!P162+'15 - Depreciação'!P172</f>
        <v>-3881.1593268800002</v>
      </c>
      <c r="O6" s="223">
        <f>'15 - Depreciação'!Q152+'15 - Depreciação'!Q162+'15 - Depreciação'!Q172</f>
        <v>-1003.290366079998</v>
      </c>
      <c r="P6" s="223">
        <f>'15 - Depreciação'!R152+'15 - Depreciação'!R162+'15 - Depreciação'!R172</f>
        <v>-901.60578608000014</v>
      </c>
      <c r="Q6" s="223">
        <f>'15 - Depreciação'!S152+'15 - Depreciação'!S162+'15 - Depreciação'!S172</f>
        <v>-3947.4969668800009</v>
      </c>
      <c r="R6" s="223">
        <f>'15 - Depreciação'!T152+'15 - Depreciação'!T162+'15 - Depreciação'!T172</f>
        <v>-3935.7155668800006</v>
      </c>
      <c r="S6" s="223">
        <f>'15 - Depreciação'!U152+'15 - Depreciação'!U162+'15 - Depreciação'!U172</f>
        <v>-4039.6796068800004</v>
      </c>
      <c r="T6" s="223">
        <f>'15 - Depreciação'!V152+'15 - Depreciação'!V162+'15 - Depreciação'!V172</f>
        <v>-3820.6450268800004</v>
      </c>
      <c r="U6" s="223">
        <f>'15 - Depreciação'!W152+'15 - Depreciação'!W162+'15 - Depreciação'!W172</f>
        <v>-3818.3069668800003</v>
      </c>
      <c r="V6" s="223">
        <f>'15 - Depreciação'!X152+'15 - Depreciação'!X162+'15 - Depreciação'!X172</f>
        <v>-887.4863260799998</v>
      </c>
      <c r="W6" s="223">
        <f>'15 - Depreciação'!Y152+'15 - Depreciação'!Y162+'15 - Depreciação'!Y172</f>
        <v>-1033.9924745600003</v>
      </c>
      <c r="X6" s="223">
        <f>'15 - Depreciação'!Z152+'15 - Depreciação'!Z162+'15 - Depreciação'!Z172</f>
        <v>-3980.5371353599999</v>
      </c>
      <c r="Y6" s="223">
        <f>'15 - Depreciação'!AA152+'15 - Depreciação'!AA162+'15 - Depreciação'!AA172</f>
        <v>-3978.1990753599998</v>
      </c>
      <c r="Z6" s="223">
        <f>'15 - Depreciação'!AB152+'15 - Depreciação'!AB162+'15 - Depreciação'!AB172</f>
        <v>-3978.2576753600001</v>
      </c>
      <c r="AA6" s="223">
        <f>'15 - Depreciação'!AC152+'15 - Depreciação'!AC162+'15 - Depreciação'!AC172</f>
        <v>-3964.8717153600001</v>
      </c>
      <c r="AB6" s="223">
        <f>'15 - Depreciação'!AD152+'15 - Depreciação'!AD162+'15 - Depreciação'!AD172</f>
        <v>-3812.96949976</v>
      </c>
      <c r="AC6" s="223">
        <f>'15 - Depreciação'!AE152+'15 - Depreciação'!AE162+'15 - Depreciação'!AE172</f>
        <v>-879.69359896000014</v>
      </c>
      <c r="AD6" s="223">
        <f>'15 - Depreciação'!AF152+'15 - Depreciação'!AF162+'15 - Depreciação'!AF172</f>
        <v>-868.82993229333329</v>
      </c>
      <c r="AE6" s="223">
        <f>'15 - Depreciação'!AG152+'15 - Depreciação'!AG162+'15 - Depreciação'!AG172</f>
        <v>-1037.8405916266668</v>
      </c>
      <c r="AF6" s="223">
        <f>'15 - Depreciação'!AH152+'15 - Depreciação'!AH162+'15 - Depreciação'!AH172</f>
        <v>-3958.6300397600007</v>
      </c>
      <c r="AG6" s="223">
        <f>'15 - Depreciação'!AI152+'15 - Depreciação'!AI162+'15 - Depreciação'!AI172</f>
        <v>0</v>
      </c>
      <c r="AH6" s="223">
        <f>'15 - Depreciação'!AJ152+'15 - Depreciação'!AJ162+'15 - Depreciação'!AJ172</f>
        <v>0</v>
      </c>
      <c r="AI6" s="223">
        <f>'15 - Depreciação'!AK152+'15 - Depreciação'!AK162+'15 - Depreciação'!AK172</f>
        <v>0</v>
      </c>
      <c r="AJ6" s="223">
        <f>'15 - Depreciação'!AL152+'15 - Depreciação'!AL162+'15 - Depreciação'!AL172</f>
        <v>0</v>
      </c>
      <c r="AK6" s="223">
        <f>'15 - Depreciação'!AM152+'15 - Depreciação'!AM162+'15 - Depreciação'!AM172</f>
        <v>0</v>
      </c>
    </row>
    <row r="7" spans="2:37" ht="13.15" customHeight="1" x14ac:dyDescent="0.2"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  <c r="Q7" s="223"/>
      <c r="R7" s="223"/>
      <c r="S7" s="223"/>
      <c r="T7" s="223"/>
      <c r="U7" s="223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</row>
    <row r="8" spans="2:37" ht="13.15" customHeight="1" x14ac:dyDescent="0.2">
      <c r="B8" s="403" t="s">
        <v>1435</v>
      </c>
      <c r="C8" s="223">
        <f>SUM(C3:C6)</f>
        <v>1158.2077251631781</v>
      </c>
      <c r="D8" s="223">
        <f t="shared" ref="D8:AK8" si="0">SUM(D3:D6)</f>
        <v>-1727.2089348221589</v>
      </c>
      <c r="E8" s="223">
        <f t="shared" si="0"/>
        <v>-1523.25603389976</v>
      </c>
      <c r="F8" s="223">
        <f t="shared" si="0"/>
        <v>-673.77260719286824</v>
      </c>
      <c r="G8" s="223">
        <f t="shared" si="0"/>
        <v>-253.56481237970047</v>
      </c>
      <c r="H8" s="223">
        <f t="shared" si="0"/>
        <v>5384.1703547398229</v>
      </c>
      <c r="I8" s="223">
        <f t="shared" si="0"/>
        <v>2813.5254925320596</v>
      </c>
      <c r="J8" s="223">
        <f t="shared" si="0"/>
        <v>1839.4428440998408</v>
      </c>
      <c r="K8" s="223">
        <f t="shared" si="0"/>
        <v>277.80151945331272</v>
      </c>
      <c r="L8" s="223">
        <f t="shared" si="0"/>
        <v>1092.0173147834112</v>
      </c>
      <c r="M8" s="223">
        <f t="shared" si="0"/>
        <v>1345.0214791778299</v>
      </c>
      <c r="N8" s="223">
        <f t="shared" si="0"/>
        <v>723.97660368281549</v>
      </c>
      <c r="O8" s="223">
        <f t="shared" si="0"/>
        <v>6888.6980529800458</v>
      </c>
      <c r="P8" s="223">
        <f t="shared" si="0"/>
        <v>4378.0129778028304</v>
      </c>
      <c r="Q8" s="223">
        <f t="shared" si="0"/>
        <v>3532.9820390572945</v>
      </c>
      <c r="R8" s="223">
        <f t="shared" si="0"/>
        <v>1935.5614006434071</v>
      </c>
      <c r="S8" s="223">
        <f t="shared" si="0"/>
        <v>2090.9367588508576</v>
      </c>
      <c r="T8" s="223">
        <f t="shared" si="0"/>
        <v>2853.8087335014629</v>
      </c>
      <c r="U8" s="223">
        <f t="shared" si="0"/>
        <v>2775.1951984474049</v>
      </c>
      <c r="V8" s="223">
        <f t="shared" si="0"/>
        <v>8985.9858736931892</v>
      </c>
      <c r="W8" s="223">
        <f t="shared" si="0"/>
        <v>5346.3973085919943</v>
      </c>
      <c r="X8" s="223">
        <f t="shared" si="0"/>
        <v>3439.191919950194</v>
      </c>
      <c r="Y8" s="223">
        <f t="shared" si="0"/>
        <v>1414.0998678862002</v>
      </c>
      <c r="Z8" s="223">
        <f t="shared" si="0"/>
        <v>1669.9614201063464</v>
      </c>
      <c r="AA8" s="223">
        <f t="shared" si="0"/>
        <v>2241.1737092499698</v>
      </c>
      <c r="AB8" s="223">
        <f t="shared" si="0"/>
        <v>2640.5215655516176</v>
      </c>
      <c r="AC8" s="223">
        <f t="shared" si="0"/>
        <v>8638.1300301005194</v>
      </c>
      <c r="AD8" s="223">
        <f t="shared" si="0"/>
        <v>5925.0245592297706</v>
      </c>
      <c r="AE8" s="223">
        <f t="shared" si="0"/>
        <v>8001.5319947056751</v>
      </c>
      <c r="AF8" s="223">
        <f t="shared" si="0"/>
        <v>3444.4686012645889</v>
      </c>
      <c r="AG8" s="223">
        <f t="shared" si="0"/>
        <v>7414.4433989880235</v>
      </c>
      <c r="AH8" s="223">
        <f t="shared" si="0"/>
        <v>7367.2368464245192</v>
      </c>
      <c r="AI8" s="223">
        <f t="shared" si="0"/>
        <v>7336.3523417758033</v>
      </c>
      <c r="AJ8" s="223">
        <f t="shared" si="0"/>
        <v>10343.03216264082</v>
      </c>
      <c r="AK8" s="223">
        <f t="shared" si="0"/>
        <v>7226.8654594289883</v>
      </c>
    </row>
    <row r="9" spans="2:37" ht="13.15" customHeight="1" x14ac:dyDescent="0.2">
      <c r="B9" s="403" t="s">
        <v>1436</v>
      </c>
      <c r="C9" s="223">
        <f>IF(C8&lt;0,0,IF((C8*30%)&lt;B17,-(C8*30%),-B17))</f>
        <v>-347.46231754895342</v>
      </c>
      <c r="D9" s="223">
        <f t="shared" ref="D9:AK9" si="1">IF(D8&lt;0,0,IF((D8*30%)&lt;C17,-(D8*30%),-C17))</f>
        <v>0</v>
      </c>
      <c r="E9" s="223">
        <f t="shared" si="1"/>
        <v>0</v>
      </c>
      <c r="F9" s="223">
        <f t="shared" si="1"/>
        <v>0</v>
      </c>
      <c r="G9" s="223">
        <f t="shared" si="1"/>
        <v>0</v>
      </c>
      <c r="H9" s="223">
        <f t="shared" si="1"/>
        <v>-1615.2511064219468</v>
      </c>
      <c r="I9" s="223">
        <f t="shared" si="1"/>
        <v>-844.05764775961791</v>
      </c>
      <c r="J9" s="223">
        <f t="shared" si="1"/>
        <v>-551.83285322995221</v>
      </c>
      <c r="K9" s="223">
        <f t="shared" si="1"/>
        <v>-83.340455835993808</v>
      </c>
      <c r="L9" s="223">
        <f t="shared" si="1"/>
        <v>-327.60519443502335</v>
      </c>
      <c r="M9" s="223">
        <f t="shared" si="1"/>
        <v>-403.50644375334895</v>
      </c>
      <c r="N9" s="223">
        <f t="shared" si="1"/>
        <v>-4.7463693096516977</v>
      </c>
      <c r="O9" s="223">
        <f t="shared" si="1"/>
        <v>0</v>
      </c>
      <c r="P9" s="223">
        <f t="shared" si="1"/>
        <v>0</v>
      </c>
      <c r="Q9" s="223">
        <f t="shared" si="1"/>
        <v>0</v>
      </c>
      <c r="R9" s="223">
        <f t="shared" si="1"/>
        <v>0</v>
      </c>
      <c r="S9" s="223">
        <f t="shared" si="1"/>
        <v>0</v>
      </c>
      <c r="T9" s="223">
        <f t="shared" si="1"/>
        <v>0</v>
      </c>
      <c r="U9" s="223">
        <f t="shared" si="1"/>
        <v>0</v>
      </c>
      <c r="V9" s="223">
        <f t="shared" si="1"/>
        <v>0</v>
      </c>
      <c r="W9" s="223">
        <f t="shared" si="1"/>
        <v>0</v>
      </c>
      <c r="X9" s="223">
        <f t="shared" si="1"/>
        <v>0</v>
      </c>
      <c r="Y9" s="223">
        <f t="shared" si="1"/>
        <v>0</v>
      </c>
      <c r="Z9" s="223">
        <f t="shared" si="1"/>
        <v>0</v>
      </c>
      <c r="AA9" s="223">
        <f t="shared" si="1"/>
        <v>0</v>
      </c>
      <c r="AB9" s="223">
        <f t="shared" si="1"/>
        <v>0</v>
      </c>
      <c r="AC9" s="223">
        <f t="shared" si="1"/>
        <v>0</v>
      </c>
      <c r="AD9" s="223">
        <f t="shared" si="1"/>
        <v>0</v>
      </c>
      <c r="AE9" s="223">
        <f t="shared" si="1"/>
        <v>0</v>
      </c>
      <c r="AF9" s="223">
        <f t="shared" si="1"/>
        <v>0</v>
      </c>
      <c r="AG9" s="223">
        <f t="shared" si="1"/>
        <v>0</v>
      </c>
      <c r="AH9" s="223">
        <f t="shared" si="1"/>
        <v>0</v>
      </c>
      <c r="AI9" s="223">
        <f t="shared" si="1"/>
        <v>0</v>
      </c>
      <c r="AJ9" s="223">
        <f t="shared" si="1"/>
        <v>0</v>
      </c>
      <c r="AK9" s="223">
        <f t="shared" si="1"/>
        <v>0</v>
      </c>
    </row>
    <row r="10" spans="2:37" ht="13.15" customHeight="1" x14ac:dyDescent="0.2">
      <c r="B10" s="202" t="s">
        <v>1435</v>
      </c>
      <c r="C10" s="224">
        <f>SUM(C8:C9)</f>
        <v>810.74540761422463</v>
      </c>
      <c r="D10" s="224">
        <f t="shared" ref="D10:AK10" si="2">SUM(D8:D9)</f>
        <v>-1727.2089348221589</v>
      </c>
      <c r="E10" s="224">
        <f t="shared" si="2"/>
        <v>-1523.25603389976</v>
      </c>
      <c r="F10" s="224">
        <f t="shared" si="2"/>
        <v>-673.77260719286824</v>
      </c>
      <c r="G10" s="224">
        <f t="shared" si="2"/>
        <v>-253.56481237970047</v>
      </c>
      <c r="H10" s="224">
        <f t="shared" si="2"/>
        <v>3768.9192483178758</v>
      </c>
      <c r="I10" s="224">
        <f t="shared" si="2"/>
        <v>1969.4678447724418</v>
      </c>
      <c r="J10" s="224">
        <f t="shared" si="2"/>
        <v>1287.6099908698886</v>
      </c>
      <c r="K10" s="224">
        <f t="shared" si="2"/>
        <v>194.46106361731893</v>
      </c>
      <c r="L10" s="224">
        <f t="shared" si="2"/>
        <v>764.41212034838782</v>
      </c>
      <c r="M10" s="224">
        <f t="shared" si="2"/>
        <v>941.51503542448086</v>
      </c>
      <c r="N10" s="224">
        <f t="shared" si="2"/>
        <v>719.23023437316374</v>
      </c>
      <c r="O10" s="224">
        <f t="shared" si="2"/>
        <v>6888.6980529800458</v>
      </c>
      <c r="P10" s="224">
        <f t="shared" si="2"/>
        <v>4378.0129778028304</v>
      </c>
      <c r="Q10" s="224">
        <f t="shared" si="2"/>
        <v>3532.9820390572945</v>
      </c>
      <c r="R10" s="224">
        <f t="shared" si="2"/>
        <v>1935.5614006434071</v>
      </c>
      <c r="S10" s="224">
        <f t="shared" si="2"/>
        <v>2090.9367588508576</v>
      </c>
      <c r="T10" s="224">
        <f t="shared" si="2"/>
        <v>2853.8087335014629</v>
      </c>
      <c r="U10" s="224">
        <f t="shared" si="2"/>
        <v>2775.1951984474049</v>
      </c>
      <c r="V10" s="224">
        <f t="shared" si="2"/>
        <v>8985.9858736931892</v>
      </c>
      <c r="W10" s="224">
        <f t="shared" si="2"/>
        <v>5346.3973085919943</v>
      </c>
      <c r="X10" s="224">
        <f t="shared" si="2"/>
        <v>3439.191919950194</v>
      </c>
      <c r="Y10" s="224">
        <f t="shared" si="2"/>
        <v>1414.0998678862002</v>
      </c>
      <c r="Z10" s="224">
        <f t="shared" si="2"/>
        <v>1669.9614201063464</v>
      </c>
      <c r="AA10" s="224">
        <f t="shared" si="2"/>
        <v>2241.1737092499698</v>
      </c>
      <c r="AB10" s="224">
        <f t="shared" si="2"/>
        <v>2640.5215655516176</v>
      </c>
      <c r="AC10" s="224">
        <f t="shared" si="2"/>
        <v>8638.1300301005194</v>
      </c>
      <c r="AD10" s="224">
        <f t="shared" si="2"/>
        <v>5925.0245592297706</v>
      </c>
      <c r="AE10" s="224">
        <f t="shared" si="2"/>
        <v>8001.5319947056751</v>
      </c>
      <c r="AF10" s="224">
        <f t="shared" si="2"/>
        <v>3444.4686012645889</v>
      </c>
      <c r="AG10" s="224">
        <f t="shared" si="2"/>
        <v>7414.4433989880235</v>
      </c>
      <c r="AH10" s="224">
        <f t="shared" si="2"/>
        <v>7367.2368464245192</v>
      </c>
      <c r="AI10" s="224">
        <f t="shared" si="2"/>
        <v>7336.3523417758033</v>
      </c>
      <c r="AJ10" s="224">
        <f t="shared" si="2"/>
        <v>10343.03216264082</v>
      </c>
      <c r="AK10" s="224">
        <f t="shared" si="2"/>
        <v>7226.8654594289883</v>
      </c>
    </row>
    <row r="11" spans="2:37" ht="13.15" customHeight="1" x14ac:dyDescent="0.2">
      <c r="C11" s="223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3"/>
      <c r="Q11" s="223"/>
      <c r="R11" s="223"/>
      <c r="S11" s="223"/>
      <c r="T11" s="223"/>
      <c r="U11" s="223"/>
      <c r="V11" s="223"/>
      <c r="W11" s="223"/>
      <c r="X11" s="223"/>
      <c r="Y11" s="223"/>
      <c r="Z11" s="223"/>
      <c r="AA11" s="223"/>
      <c r="AB11" s="223"/>
      <c r="AC11" s="223"/>
      <c r="AD11" s="223"/>
      <c r="AE11" s="223"/>
      <c r="AF11" s="223"/>
      <c r="AG11" s="223"/>
      <c r="AH11" s="223"/>
      <c r="AI11" s="223"/>
      <c r="AJ11" s="223"/>
      <c r="AK11" s="223"/>
    </row>
    <row r="12" spans="2:37" ht="13.15" customHeight="1" x14ac:dyDescent="0.2">
      <c r="B12" s="403" t="s">
        <v>1437</v>
      </c>
      <c r="C12" s="223">
        <f>-IF(C10&lt;0,0,C10*15%)-IF(C10&lt;240,0,(C10-240)*10%)</f>
        <v>-178.68635190355616</v>
      </c>
      <c r="D12" s="223">
        <f t="shared" ref="D12:AK12" si="3">-IF(D10&lt;0,0,D10*15%)-IF(D10&lt;240,0,(D10-240)*10%)</f>
        <v>0</v>
      </c>
      <c r="E12" s="223">
        <f t="shared" si="3"/>
        <v>0</v>
      </c>
      <c r="F12" s="223">
        <f t="shared" si="3"/>
        <v>0</v>
      </c>
      <c r="G12" s="223">
        <f t="shared" si="3"/>
        <v>0</v>
      </c>
      <c r="H12" s="223">
        <f t="shared" si="3"/>
        <v>-918.22981207946896</v>
      </c>
      <c r="I12" s="223">
        <f t="shared" si="3"/>
        <v>-468.36696119311046</v>
      </c>
      <c r="J12" s="223">
        <f t="shared" si="3"/>
        <v>-297.90249771747216</v>
      </c>
      <c r="K12" s="223">
        <f t="shared" si="3"/>
        <v>-29.169159542597839</v>
      </c>
      <c r="L12" s="223">
        <f t="shared" si="3"/>
        <v>-167.10303008709695</v>
      </c>
      <c r="M12" s="223">
        <f t="shared" si="3"/>
        <v>-211.37875885612021</v>
      </c>
      <c r="N12" s="223">
        <f t="shared" si="3"/>
        <v>-155.80755859329093</v>
      </c>
      <c r="O12" s="223">
        <f t="shared" si="3"/>
        <v>-1698.1745132450114</v>
      </c>
      <c r="P12" s="223">
        <f t="shared" si="3"/>
        <v>-1070.5032444507076</v>
      </c>
      <c r="Q12" s="223">
        <f t="shared" si="3"/>
        <v>-859.24550976432363</v>
      </c>
      <c r="R12" s="223">
        <f t="shared" si="3"/>
        <v>-459.89035016085177</v>
      </c>
      <c r="S12" s="223">
        <f t="shared" si="3"/>
        <v>-498.7341897127144</v>
      </c>
      <c r="T12" s="223">
        <f t="shared" si="3"/>
        <v>-689.45218337536573</v>
      </c>
      <c r="U12" s="223">
        <f t="shared" si="3"/>
        <v>-669.79879961185122</v>
      </c>
      <c r="V12" s="223">
        <f t="shared" si="3"/>
        <v>-2222.4964684232973</v>
      </c>
      <c r="W12" s="223">
        <f t="shared" si="3"/>
        <v>-1312.5993271479986</v>
      </c>
      <c r="X12" s="223">
        <f t="shared" si="3"/>
        <v>-835.7979799875485</v>
      </c>
      <c r="Y12" s="223">
        <f t="shared" si="3"/>
        <v>-329.52496697155004</v>
      </c>
      <c r="Z12" s="223">
        <f t="shared" si="3"/>
        <v>-393.4903550265866</v>
      </c>
      <c r="AA12" s="223">
        <f t="shared" si="3"/>
        <v>-536.29342731249244</v>
      </c>
      <c r="AB12" s="223">
        <f t="shared" si="3"/>
        <v>-636.13039138790441</v>
      </c>
      <c r="AC12" s="223">
        <f t="shared" si="3"/>
        <v>-2135.5325075251299</v>
      </c>
      <c r="AD12" s="223">
        <f t="shared" si="3"/>
        <v>-1457.2561398074427</v>
      </c>
      <c r="AE12" s="223">
        <f t="shared" si="3"/>
        <v>-1976.3829986764185</v>
      </c>
      <c r="AF12" s="223">
        <f t="shared" si="3"/>
        <v>-837.11715031614722</v>
      </c>
      <c r="AG12" s="223">
        <f t="shared" si="3"/>
        <v>-1829.6108497470059</v>
      </c>
      <c r="AH12" s="223">
        <f t="shared" si="3"/>
        <v>-1817.8092116061298</v>
      </c>
      <c r="AI12" s="223">
        <f t="shared" si="3"/>
        <v>-1810.0880854439511</v>
      </c>
      <c r="AJ12" s="223">
        <f t="shared" si="3"/>
        <v>-2561.7580406602051</v>
      </c>
      <c r="AK12" s="223">
        <f t="shared" si="3"/>
        <v>-1782.7163648572471</v>
      </c>
    </row>
    <row r="13" spans="2:37" ht="13.15" customHeight="1" x14ac:dyDescent="0.2">
      <c r="B13" s="403" t="s">
        <v>1438</v>
      </c>
      <c r="C13" s="223">
        <f>-IF(C10&lt;0,0,C10*9%)</f>
        <v>-72.967086685280208</v>
      </c>
      <c r="D13" s="223">
        <f t="shared" ref="D13:AK13" si="4">-IF(D10&lt;0,0,D10*9%)</f>
        <v>0</v>
      </c>
      <c r="E13" s="223">
        <f t="shared" si="4"/>
        <v>0</v>
      </c>
      <c r="F13" s="223">
        <f t="shared" si="4"/>
        <v>0</v>
      </c>
      <c r="G13" s="223">
        <f t="shared" si="4"/>
        <v>0</v>
      </c>
      <c r="H13" s="223">
        <f t="shared" si="4"/>
        <v>-339.20273234860883</v>
      </c>
      <c r="I13" s="223">
        <f t="shared" si="4"/>
        <v>-177.25210602951975</v>
      </c>
      <c r="J13" s="223">
        <f t="shared" si="4"/>
        <v>-115.88489917828997</v>
      </c>
      <c r="K13" s="223">
        <f t="shared" si="4"/>
        <v>-17.501495725558701</v>
      </c>
      <c r="L13" s="223">
        <f t="shared" si="4"/>
        <v>-68.797090831354907</v>
      </c>
      <c r="M13" s="223">
        <f t="shared" si="4"/>
        <v>-84.736353188203267</v>
      </c>
      <c r="N13" s="223">
        <f t="shared" si="4"/>
        <v>-64.730721093584734</v>
      </c>
      <c r="O13" s="223">
        <f t="shared" si="4"/>
        <v>-619.98282476820407</v>
      </c>
      <c r="P13" s="223">
        <f t="shared" si="4"/>
        <v>-394.02116800225474</v>
      </c>
      <c r="Q13" s="223">
        <f t="shared" si="4"/>
        <v>-317.96838351515652</v>
      </c>
      <c r="R13" s="223">
        <f t="shared" si="4"/>
        <v>-174.20052605790664</v>
      </c>
      <c r="S13" s="223">
        <f t="shared" si="4"/>
        <v>-188.18430829657717</v>
      </c>
      <c r="T13" s="223">
        <f t="shared" si="4"/>
        <v>-256.84278601513165</v>
      </c>
      <c r="U13" s="223">
        <f t="shared" si="4"/>
        <v>-249.76756786026644</v>
      </c>
      <c r="V13" s="223">
        <f t="shared" si="4"/>
        <v>-808.73872863238705</v>
      </c>
      <c r="W13" s="223">
        <f t="shared" si="4"/>
        <v>-481.17575777327949</v>
      </c>
      <c r="X13" s="223">
        <f t="shared" si="4"/>
        <v>-309.52727279551743</v>
      </c>
      <c r="Y13" s="223">
        <f t="shared" si="4"/>
        <v>-127.26898810975801</v>
      </c>
      <c r="Z13" s="223">
        <f t="shared" si="4"/>
        <v>-150.29652780957116</v>
      </c>
      <c r="AA13" s="223">
        <f t="shared" si="4"/>
        <v>-201.70563383249728</v>
      </c>
      <c r="AB13" s="223">
        <f t="shared" si="4"/>
        <v>-237.64694089964559</v>
      </c>
      <c r="AC13" s="223">
        <f t="shared" si="4"/>
        <v>-777.4317027090467</v>
      </c>
      <c r="AD13" s="223">
        <f t="shared" si="4"/>
        <v>-533.2522103306793</v>
      </c>
      <c r="AE13" s="223">
        <f t="shared" si="4"/>
        <v>-720.13787952351072</v>
      </c>
      <c r="AF13" s="223">
        <f t="shared" si="4"/>
        <v>-310.002174113813</v>
      </c>
      <c r="AG13" s="223">
        <f t="shared" si="4"/>
        <v>-667.29990590892214</v>
      </c>
      <c r="AH13" s="223">
        <f t="shared" si="4"/>
        <v>-663.05131617820666</v>
      </c>
      <c r="AI13" s="223">
        <f t="shared" si="4"/>
        <v>-660.27171075982233</v>
      </c>
      <c r="AJ13" s="223">
        <f t="shared" si="4"/>
        <v>-930.87289463767377</v>
      </c>
      <c r="AK13" s="223">
        <f t="shared" si="4"/>
        <v>-650.41789134860892</v>
      </c>
    </row>
    <row r="17" spans="2:37" ht="13.15" customHeight="1" x14ac:dyDescent="0.2">
      <c r="B17" s="403" t="s">
        <v>1436</v>
      </c>
      <c r="C17" s="223">
        <f>IF(C10&lt;0,-C10)+C9</f>
        <v>-347.46231754895342</v>
      </c>
      <c r="D17" s="223">
        <f>IF(D10&lt;0,-D10)+D9+C17</f>
        <v>1379.7466172732054</v>
      </c>
      <c r="E17" s="223">
        <f t="shared" ref="E17:AK17" si="5">IF(E10&lt;0,-E10)+E9+D17</f>
        <v>2903.0026511729657</v>
      </c>
      <c r="F17" s="223">
        <f t="shared" si="5"/>
        <v>3576.7752583658339</v>
      </c>
      <c r="G17" s="223">
        <f t="shared" si="5"/>
        <v>3830.3400707455344</v>
      </c>
      <c r="H17" s="223">
        <f t="shared" si="5"/>
        <v>2215.0889643235878</v>
      </c>
      <c r="I17" s="223">
        <f t="shared" si="5"/>
        <v>1371.03131656397</v>
      </c>
      <c r="J17" s="223">
        <f t="shared" si="5"/>
        <v>819.19846333401779</v>
      </c>
      <c r="K17" s="223">
        <f t="shared" si="5"/>
        <v>735.85800749802399</v>
      </c>
      <c r="L17" s="223">
        <f t="shared" si="5"/>
        <v>408.25281306300064</v>
      </c>
      <c r="M17" s="223">
        <f t="shared" si="5"/>
        <v>4.7463693096516977</v>
      </c>
      <c r="N17" s="223">
        <f t="shared" si="5"/>
        <v>0</v>
      </c>
      <c r="O17" s="223">
        <f t="shared" si="5"/>
        <v>0</v>
      </c>
      <c r="P17" s="223">
        <f t="shared" si="5"/>
        <v>0</v>
      </c>
      <c r="Q17" s="223">
        <f t="shared" si="5"/>
        <v>0</v>
      </c>
      <c r="R17" s="223">
        <f t="shared" si="5"/>
        <v>0</v>
      </c>
      <c r="S17" s="223">
        <f t="shared" si="5"/>
        <v>0</v>
      </c>
      <c r="T17" s="223">
        <f t="shared" si="5"/>
        <v>0</v>
      </c>
      <c r="U17" s="223">
        <f t="shared" si="5"/>
        <v>0</v>
      </c>
      <c r="V17" s="223">
        <f t="shared" si="5"/>
        <v>0</v>
      </c>
      <c r="W17" s="223">
        <f t="shared" si="5"/>
        <v>0</v>
      </c>
      <c r="X17" s="223">
        <f t="shared" si="5"/>
        <v>0</v>
      </c>
      <c r="Y17" s="223">
        <f t="shared" si="5"/>
        <v>0</v>
      </c>
      <c r="Z17" s="223">
        <f t="shared" si="5"/>
        <v>0</v>
      </c>
      <c r="AA17" s="223">
        <f t="shared" si="5"/>
        <v>0</v>
      </c>
      <c r="AB17" s="223">
        <f t="shared" si="5"/>
        <v>0</v>
      </c>
      <c r="AC17" s="223">
        <f t="shared" si="5"/>
        <v>0</v>
      </c>
      <c r="AD17" s="223">
        <f t="shared" si="5"/>
        <v>0</v>
      </c>
      <c r="AE17" s="223">
        <f t="shared" si="5"/>
        <v>0</v>
      </c>
      <c r="AF17" s="223">
        <f t="shared" si="5"/>
        <v>0</v>
      </c>
      <c r="AG17" s="223">
        <f t="shared" si="5"/>
        <v>0</v>
      </c>
      <c r="AH17" s="223">
        <f t="shared" si="5"/>
        <v>0</v>
      </c>
      <c r="AI17" s="223">
        <f t="shared" si="5"/>
        <v>0</v>
      </c>
      <c r="AJ17" s="223">
        <f t="shared" si="5"/>
        <v>0</v>
      </c>
      <c r="AK17" s="223">
        <f t="shared" si="5"/>
        <v>0</v>
      </c>
    </row>
  </sheetData>
  <phoneticPr fontId="8" type="noConversion"/>
  <pageMargins left="0.511811024" right="0.511811024" top="0.78740157499999996" bottom="0.78740157499999996" header="0.31496062000000002" footer="0.31496062000000002"/>
  <pageSetup paperSize="9" scale="4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Planilha30"/>
  <dimension ref="B2:AL42"/>
  <sheetViews>
    <sheetView showGridLines="0" topLeftCell="B1" zoomScale="85" zoomScaleNormal="85" workbookViewId="0">
      <pane xSplit="1" ySplit="4" topLeftCell="C5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8.7109375" defaultRowHeight="13.15" customHeight="1" x14ac:dyDescent="0.2"/>
  <cols>
    <col min="1" max="1" width="3.7109375" style="158" customWidth="1"/>
    <col min="2" max="2" width="28.7109375" style="158" bestFit="1" customWidth="1"/>
    <col min="3" max="37" width="10.28515625" style="158" bestFit="1" customWidth="1"/>
    <col min="38" max="38" width="4" style="158" bestFit="1" customWidth="1"/>
    <col min="39" max="16384" width="8.7109375" style="158"/>
  </cols>
  <sheetData>
    <row r="2" spans="2:38" ht="13.15" hidden="1" customHeight="1" x14ac:dyDescent="0.2">
      <c r="B2" s="403"/>
      <c r="C2" s="567">
        <v>45291</v>
      </c>
      <c r="D2" s="411">
        <f>C3-C2</f>
        <v>366</v>
      </c>
      <c r="E2" s="411">
        <f t="shared" ref="E2:AK2" si="0">D3-C3</f>
        <v>365</v>
      </c>
      <c r="F2" s="411">
        <f t="shared" si="0"/>
        <v>365</v>
      </c>
      <c r="G2" s="411">
        <f t="shared" si="0"/>
        <v>365</v>
      </c>
      <c r="H2" s="411">
        <f t="shared" si="0"/>
        <v>366</v>
      </c>
      <c r="I2" s="411">
        <f t="shared" si="0"/>
        <v>365</v>
      </c>
      <c r="J2" s="411">
        <f t="shared" si="0"/>
        <v>365</v>
      </c>
      <c r="K2" s="411">
        <f t="shared" si="0"/>
        <v>365</v>
      </c>
      <c r="L2" s="411">
        <f t="shared" si="0"/>
        <v>366</v>
      </c>
      <c r="M2" s="411">
        <f t="shared" si="0"/>
        <v>365</v>
      </c>
      <c r="N2" s="411">
        <f t="shared" si="0"/>
        <v>365</v>
      </c>
      <c r="O2" s="411">
        <f t="shared" si="0"/>
        <v>365</v>
      </c>
      <c r="P2" s="411">
        <f t="shared" si="0"/>
        <v>366</v>
      </c>
      <c r="Q2" s="411">
        <f t="shared" si="0"/>
        <v>365</v>
      </c>
      <c r="R2" s="411">
        <f t="shared" si="0"/>
        <v>365</v>
      </c>
      <c r="S2" s="411">
        <f t="shared" si="0"/>
        <v>365</v>
      </c>
      <c r="T2" s="411">
        <f t="shared" si="0"/>
        <v>366</v>
      </c>
      <c r="U2" s="411">
        <f t="shared" si="0"/>
        <v>365</v>
      </c>
      <c r="V2" s="411">
        <f t="shared" si="0"/>
        <v>365</v>
      </c>
      <c r="W2" s="411">
        <f t="shared" si="0"/>
        <v>365</v>
      </c>
      <c r="X2" s="411">
        <f t="shared" si="0"/>
        <v>366</v>
      </c>
      <c r="Y2" s="411">
        <f t="shared" si="0"/>
        <v>365</v>
      </c>
      <c r="Z2" s="411">
        <f t="shared" si="0"/>
        <v>365</v>
      </c>
      <c r="AA2" s="411">
        <f t="shared" si="0"/>
        <v>365</v>
      </c>
      <c r="AB2" s="411">
        <f t="shared" si="0"/>
        <v>366</v>
      </c>
      <c r="AC2" s="411">
        <f t="shared" si="0"/>
        <v>365</v>
      </c>
      <c r="AD2" s="411">
        <f t="shared" si="0"/>
        <v>365</v>
      </c>
      <c r="AE2" s="411">
        <f t="shared" si="0"/>
        <v>365</v>
      </c>
      <c r="AF2" s="411">
        <f t="shared" si="0"/>
        <v>366</v>
      </c>
      <c r="AG2" s="411">
        <f t="shared" si="0"/>
        <v>365</v>
      </c>
      <c r="AH2" s="411">
        <f t="shared" si="0"/>
        <v>365</v>
      </c>
      <c r="AI2" s="411">
        <f t="shared" si="0"/>
        <v>365</v>
      </c>
      <c r="AJ2" s="411">
        <f t="shared" si="0"/>
        <v>366</v>
      </c>
      <c r="AK2" s="411">
        <f t="shared" si="0"/>
        <v>365</v>
      </c>
      <c r="AL2" s="411">
        <f>AK3-AJ3</f>
        <v>365</v>
      </c>
    </row>
    <row r="3" spans="2:38" ht="13.15" hidden="1" customHeight="1" x14ac:dyDescent="0.2">
      <c r="B3" s="403"/>
      <c r="C3" s="568">
        <v>45657</v>
      </c>
      <c r="D3" s="568">
        <v>46022</v>
      </c>
      <c r="E3" s="568">
        <v>46387</v>
      </c>
      <c r="F3" s="568">
        <v>46752</v>
      </c>
      <c r="G3" s="568">
        <v>47118</v>
      </c>
      <c r="H3" s="568">
        <v>47483</v>
      </c>
      <c r="I3" s="568">
        <v>47848</v>
      </c>
      <c r="J3" s="568">
        <v>48213</v>
      </c>
      <c r="K3" s="568">
        <v>48579</v>
      </c>
      <c r="L3" s="568">
        <v>48944</v>
      </c>
      <c r="M3" s="568">
        <v>49309</v>
      </c>
      <c r="N3" s="568">
        <v>49674</v>
      </c>
      <c r="O3" s="568">
        <v>50040</v>
      </c>
      <c r="P3" s="568">
        <v>50405</v>
      </c>
      <c r="Q3" s="568">
        <v>50770</v>
      </c>
      <c r="R3" s="568">
        <v>51135</v>
      </c>
      <c r="S3" s="568">
        <v>51501</v>
      </c>
      <c r="T3" s="568">
        <v>51866</v>
      </c>
      <c r="U3" s="568">
        <v>52231</v>
      </c>
      <c r="V3" s="568">
        <v>52596</v>
      </c>
      <c r="W3" s="568">
        <v>52962</v>
      </c>
      <c r="X3" s="568">
        <v>53327</v>
      </c>
      <c r="Y3" s="568">
        <v>53692</v>
      </c>
      <c r="Z3" s="568">
        <v>54057</v>
      </c>
      <c r="AA3" s="568">
        <v>54423</v>
      </c>
      <c r="AB3" s="568">
        <v>54788</v>
      </c>
      <c r="AC3" s="568">
        <v>55153</v>
      </c>
      <c r="AD3" s="568">
        <v>55518</v>
      </c>
      <c r="AE3" s="568">
        <v>55884</v>
      </c>
      <c r="AF3" s="568">
        <v>56249</v>
      </c>
      <c r="AG3" s="568">
        <v>56614</v>
      </c>
      <c r="AH3" s="568">
        <v>56979</v>
      </c>
      <c r="AI3" s="568">
        <v>57345</v>
      </c>
      <c r="AJ3" s="568">
        <v>57710</v>
      </c>
      <c r="AK3" s="568">
        <v>58075</v>
      </c>
      <c r="AL3" s="403"/>
    </row>
    <row r="4" spans="2:38" ht="13.15" customHeight="1" x14ac:dyDescent="0.2">
      <c r="B4" s="301" t="s">
        <v>1439</v>
      </c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  <c r="AG4" s="302"/>
      <c r="AH4" s="302"/>
      <c r="AI4" s="302"/>
      <c r="AJ4" s="302"/>
      <c r="AK4" s="302"/>
      <c r="AL4" s="403"/>
    </row>
    <row r="5" spans="2:38" ht="13.15" customHeight="1" x14ac:dyDescent="0.2">
      <c r="B5" s="301"/>
      <c r="C5" s="302"/>
      <c r="D5" s="302"/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  <c r="P5" s="302"/>
      <c r="Q5" s="302"/>
      <c r="R5" s="302"/>
      <c r="S5" s="302"/>
      <c r="T5" s="302"/>
      <c r="U5" s="302"/>
      <c r="V5" s="302"/>
      <c r="W5" s="302"/>
      <c r="X5" s="302"/>
      <c r="Y5" s="302"/>
      <c r="Z5" s="302"/>
      <c r="AA5" s="302"/>
      <c r="AB5" s="302"/>
      <c r="AC5" s="302"/>
      <c r="AD5" s="302"/>
      <c r="AE5" s="302"/>
      <c r="AF5" s="302"/>
      <c r="AG5" s="302"/>
      <c r="AH5" s="302"/>
      <c r="AI5" s="302"/>
      <c r="AJ5" s="302"/>
      <c r="AK5" s="302"/>
      <c r="AL5" s="403"/>
    </row>
    <row r="6" spans="2:38" ht="13.15" customHeight="1" x14ac:dyDescent="0.2">
      <c r="B6" s="303" t="s">
        <v>1440</v>
      </c>
      <c r="C6" s="213" t="s">
        <v>775</v>
      </c>
      <c r="D6" s="213" t="s">
        <v>776</v>
      </c>
      <c r="E6" s="213" t="s">
        <v>777</v>
      </c>
      <c r="F6" s="213" t="s">
        <v>778</v>
      </c>
      <c r="G6" s="213" t="s">
        <v>779</v>
      </c>
      <c r="H6" s="213" t="s">
        <v>780</v>
      </c>
      <c r="I6" s="213" t="s">
        <v>781</v>
      </c>
      <c r="J6" s="213" t="s">
        <v>782</v>
      </c>
      <c r="K6" s="213" t="s">
        <v>783</v>
      </c>
      <c r="L6" s="213" t="s">
        <v>717</v>
      </c>
      <c r="M6" s="213" t="s">
        <v>718</v>
      </c>
      <c r="N6" s="213" t="s">
        <v>719</v>
      </c>
      <c r="O6" s="213" t="s">
        <v>720</v>
      </c>
      <c r="P6" s="213" t="s">
        <v>721</v>
      </c>
      <c r="Q6" s="213" t="s">
        <v>722</v>
      </c>
      <c r="R6" s="213" t="s">
        <v>723</v>
      </c>
      <c r="S6" s="213" t="s">
        <v>724</v>
      </c>
      <c r="T6" s="213" t="s">
        <v>725</v>
      </c>
      <c r="U6" s="213" t="s">
        <v>726</v>
      </c>
      <c r="V6" s="213" t="s">
        <v>727</v>
      </c>
      <c r="W6" s="213" t="s">
        <v>728</v>
      </c>
      <c r="X6" s="213" t="s">
        <v>729</v>
      </c>
      <c r="Y6" s="213" t="s">
        <v>730</v>
      </c>
      <c r="Z6" s="213" t="s">
        <v>731</v>
      </c>
      <c r="AA6" s="213" t="s">
        <v>732</v>
      </c>
      <c r="AB6" s="213" t="s">
        <v>733</v>
      </c>
      <c r="AC6" s="213" t="s">
        <v>734</v>
      </c>
      <c r="AD6" s="213" t="s">
        <v>735</v>
      </c>
      <c r="AE6" s="213" t="s">
        <v>736</v>
      </c>
      <c r="AF6" s="213" t="s">
        <v>737</v>
      </c>
      <c r="AG6" s="213" t="s">
        <v>738</v>
      </c>
      <c r="AH6" s="213" t="s">
        <v>739</v>
      </c>
      <c r="AI6" s="213" t="s">
        <v>740</v>
      </c>
      <c r="AJ6" s="213" t="s">
        <v>741</v>
      </c>
      <c r="AK6" s="213" t="s">
        <v>742</v>
      </c>
      <c r="AL6" s="403"/>
    </row>
    <row r="7" spans="2:38" ht="13.15" customHeight="1" x14ac:dyDescent="0.2">
      <c r="B7" s="152" t="s">
        <v>1441</v>
      </c>
      <c r="C7" s="569">
        <f>'31 - Fluxo de Caixa'!C38</f>
        <v>-1.5063505998114124E-12</v>
      </c>
      <c r="D7" s="569">
        <f>'31 - Fluxo de Caixa'!D38</f>
        <v>9654.5672053779817</v>
      </c>
      <c r="E7" s="569">
        <f>'31 - Fluxo de Caixa'!E38</f>
        <v>8694.9286819771005</v>
      </c>
      <c r="F7" s="569">
        <f>'31 - Fluxo de Caixa'!F38</f>
        <v>9506.8494204201543</v>
      </c>
      <c r="G7" s="569">
        <f>'31 - Fluxo de Caixa'!G38</f>
        <v>9669.635016853219</v>
      </c>
      <c r="H7" s="569">
        <f>'31 - Fluxo de Caixa'!H38</f>
        <v>11162.128122805876</v>
      </c>
      <c r="I7" s="569">
        <f>'31 - Fluxo de Caixa'!I38</f>
        <v>11600.977886878896</v>
      </c>
      <c r="J7" s="569">
        <f>'31 - Fluxo de Caixa'!J38</f>
        <v>3049.7312166788611</v>
      </c>
      <c r="K7" s="569">
        <f>'31 - Fluxo de Caixa'!K38</f>
        <v>4534.6374476222236</v>
      </c>
      <c r="L7" s="569">
        <f>'31 - Fluxo de Caixa'!L38</f>
        <v>6372.1339193695731</v>
      </c>
      <c r="M7" s="569">
        <f>'31 - Fluxo de Caixa'!M38</f>
        <v>20000</v>
      </c>
      <c r="N7" s="569">
        <f>'31 - Fluxo de Caixa'!N38</f>
        <v>20000</v>
      </c>
      <c r="O7" s="569">
        <f>'31 - Fluxo de Caixa'!O38</f>
        <v>20000</v>
      </c>
      <c r="P7" s="569">
        <f>'31 - Fluxo de Caixa'!P38</f>
        <v>20000</v>
      </c>
      <c r="Q7" s="569">
        <f>'31 - Fluxo de Caixa'!Q38</f>
        <v>20000</v>
      </c>
      <c r="R7" s="569">
        <f>'31 - Fluxo de Caixa'!R38</f>
        <v>20000</v>
      </c>
      <c r="S7" s="569">
        <f>'31 - Fluxo de Caixa'!S38</f>
        <v>20000</v>
      </c>
      <c r="T7" s="569">
        <f>'31 - Fluxo de Caixa'!T38</f>
        <v>20000</v>
      </c>
      <c r="U7" s="569">
        <f>'31 - Fluxo de Caixa'!U38</f>
        <v>20000</v>
      </c>
      <c r="V7" s="569">
        <f>'31 - Fluxo de Caixa'!V38</f>
        <v>20000</v>
      </c>
      <c r="W7" s="569">
        <f>'31 - Fluxo de Caixa'!W38</f>
        <v>20000</v>
      </c>
      <c r="X7" s="569">
        <f>'31 - Fluxo de Caixa'!X38</f>
        <v>20000</v>
      </c>
      <c r="Y7" s="569">
        <f>'31 - Fluxo de Caixa'!Y38</f>
        <v>20000</v>
      </c>
      <c r="Z7" s="569">
        <f>'31 - Fluxo de Caixa'!Z38</f>
        <v>20000</v>
      </c>
      <c r="AA7" s="569">
        <f>'31 - Fluxo de Caixa'!AA38</f>
        <v>20000</v>
      </c>
      <c r="AB7" s="569">
        <f>'31 - Fluxo de Caixa'!AB38</f>
        <v>20000</v>
      </c>
      <c r="AC7" s="569">
        <f>'31 - Fluxo de Caixa'!AC38</f>
        <v>20000</v>
      </c>
      <c r="AD7" s="569">
        <f>'31 - Fluxo de Caixa'!AD38</f>
        <v>20000</v>
      </c>
      <c r="AE7" s="569">
        <f>'31 - Fluxo de Caixa'!AE38</f>
        <v>20000</v>
      </c>
      <c r="AF7" s="569">
        <f>'31 - Fluxo de Caixa'!AF38</f>
        <v>20000</v>
      </c>
      <c r="AG7" s="569">
        <f>'31 - Fluxo de Caixa'!AG38</f>
        <v>20000</v>
      </c>
      <c r="AH7" s="569">
        <f>'31 - Fluxo de Caixa'!AH38</f>
        <v>20000</v>
      </c>
      <c r="AI7" s="569">
        <f>'31 - Fluxo de Caixa'!AI38</f>
        <v>20000</v>
      </c>
      <c r="AJ7" s="569">
        <f>'31 - Fluxo de Caixa'!AJ38</f>
        <v>20000</v>
      </c>
      <c r="AK7" s="569">
        <f>'31 - Fluxo de Caixa'!AK38</f>
        <v>20000</v>
      </c>
      <c r="AL7" s="403"/>
    </row>
    <row r="8" spans="2:38" ht="13.15" customHeight="1" x14ac:dyDescent="0.2">
      <c r="B8" s="152" t="s">
        <v>1442</v>
      </c>
      <c r="C8" s="569">
        <f>-'31 - Fluxo de Caixa'!C36</f>
        <v>181.01728373320898</v>
      </c>
      <c r="D8" s="569">
        <f>C8-'31 - Fluxo de Caixa'!D36</f>
        <v>305.39281813279041</v>
      </c>
      <c r="E8" s="569">
        <f>D8-'31 - Fluxo de Caixa'!E36</f>
        <v>450.06360030941539</v>
      </c>
      <c r="F8" s="569">
        <f>E8-'31 - Fluxo de Caixa'!F36</f>
        <v>642.01967712654232</v>
      </c>
      <c r="G8" s="569">
        <f>F8-'31 - Fluxo de Caixa'!G36</f>
        <v>866.7681206654845</v>
      </c>
      <c r="H8" s="569">
        <f>G8-'31 - Fluxo de Caixa'!H36</f>
        <v>1164.4775889149266</v>
      </c>
      <c r="I8" s="569">
        <f>H8-'31 - Fluxo de Caixa'!I36</f>
        <v>1372.501097636663</v>
      </c>
      <c r="J8" s="569">
        <f>I8-'31 - Fluxo de Caixa'!J36</f>
        <v>1661.3379877544396</v>
      </c>
      <c r="K8" s="569">
        <f>J8-'31 - Fluxo de Caixa'!K36</f>
        <v>1962.8125796850538</v>
      </c>
      <c r="L8" s="569">
        <f>K8-'31 - Fluxo de Caixa'!L36</f>
        <v>2294.1059399902283</v>
      </c>
      <c r="M8" s="569">
        <f>L8-'31 - Fluxo de Caixa'!M36</f>
        <v>2631.178337445102</v>
      </c>
      <c r="N8" s="569">
        <f>M8-'31 - Fluxo de Caixa'!N36</f>
        <v>2948.4040223887164</v>
      </c>
      <c r="O8" s="569">
        <f>N8-'31 - Fluxo de Caixa'!O36</f>
        <v>3321.4306752054936</v>
      </c>
      <c r="P8" s="569">
        <f>O8-'31 - Fluxo de Caixa'!P36</f>
        <v>3613.3719389059765</v>
      </c>
      <c r="Q8" s="569">
        <f>P8-'31 - Fluxo de Caixa'!Q36</f>
        <v>3976.0305293650758</v>
      </c>
      <c r="R8" s="569">
        <f>Q8-'31 - Fluxo de Caixa'!R36</f>
        <v>4342.4949502023537</v>
      </c>
      <c r="S8" s="569">
        <f>R8-'31 - Fluxo de Caixa'!S36</f>
        <v>4715.1616303453966</v>
      </c>
      <c r="T8" s="569">
        <f>S8-'31 - Fluxo de Caixa'!T36</f>
        <v>5094.4564931728873</v>
      </c>
      <c r="U8" s="569">
        <f>T8-'31 - Fluxo de Caixa'!U36</f>
        <v>5462.6188135341208</v>
      </c>
      <c r="V8" s="569">
        <f>U8-'31 - Fluxo de Caixa'!V36</f>
        <v>5870.2814065825951</v>
      </c>
      <c r="W8" s="569">
        <f>V8-'31 - Fluxo de Caixa'!W36</f>
        <v>6141.3808842263197</v>
      </c>
      <c r="X8" s="569">
        <f>W8-'31 - Fluxo de Caixa'!X36</f>
        <v>6403.9746895359194</v>
      </c>
      <c r="Y8" s="569">
        <f>X8-'31 - Fluxo de Caixa'!Y36</f>
        <v>6626.0934662368572</v>
      </c>
      <c r="Z8" s="569">
        <f>Y8-'31 - Fluxo de Caixa'!Z36</f>
        <v>6819.0482954262561</v>
      </c>
      <c r="AA8" s="569">
        <f>Z8-'31 - Fluxo de Caixa'!AA36</f>
        <v>6975.6758461004119</v>
      </c>
      <c r="AB8" s="569">
        <f>AA8-'31 - Fluxo de Caixa'!AB36</f>
        <v>7077.2009443220732</v>
      </c>
      <c r="AC8" s="569">
        <f>AB8-'31 - Fluxo de Caixa'!AC36</f>
        <v>7158.8003190222244</v>
      </c>
      <c r="AD8" s="569">
        <f>AC8-'31 - Fluxo de Caixa'!AD36</f>
        <v>7158.8003190222244</v>
      </c>
      <c r="AE8" s="569">
        <f>AD8-'31 - Fluxo de Caixa'!AE36</f>
        <v>7158.8003190222244</v>
      </c>
      <c r="AF8" s="569">
        <f>AE8-'31 - Fluxo de Caixa'!AF36</f>
        <v>7158.8003190222244</v>
      </c>
      <c r="AG8" s="569">
        <f>AF8-'31 - Fluxo de Caixa'!AG36</f>
        <v>7158.8003190222244</v>
      </c>
      <c r="AH8" s="569">
        <f>AG8-'31 - Fluxo de Caixa'!AH36</f>
        <v>7158.8003190222244</v>
      </c>
      <c r="AI8" s="569">
        <f>AH8-'31 - Fluxo de Caixa'!AI36</f>
        <v>7158.8003190222244</v>
      </c>
      <c r="AJ8" s="569">
        <f>AI8-'31 - Fluxo de Caixa'!AJ36</f>
        <v>7158.8003190222244</v>
      </c>
      <c r="AK8" s="569">
        <f>AJ8-'31 - Fluxo de Caixa'!AK36</f>
        <v>7158.8003190222244</v>
      </c>
      <c r="AL8" s="403"/>
    </row>
    <row r="9" spans="2:38" ht="13.15" customHeight="1" x14ac:dyDescent="0.2">
      <c r="B9" s="152" t="s">
        <v>1443</v>
      </c>
      <c r="C9" s="569">
        <f>-'31 - Fluxo de Caixa'!C8</f>
        <v>4150.2895144098984</v>
      </c>
      <c r="D9" s="569">
        <f>C9-'31 - Fluxo de Caixa'!D8</f>
        <v>4194.7318236792335</v>
      </c>
      <c r="E9" s="569">
        <f>D9-'31 - Fluxo de Caixa'!E8</f>
        <v>8389.4636473584651</v>
      </c>
      <c r="F9" s="569">
        <f>E9-'31 - Fluxo de Caixa'!F8</f>
        <v>8478.3085498030596</v>
      </c>
      <c r="G9" s="569">
        <f>F9-'31 - Fluxo de Caixa'!G8</f>
        <v>12717.482682751626</v>
      </c>
      <c r="H9" s="569">
        <f>G9-'31 - Fluxo de Caixa'!H8</f>
        <v>12850.769894465553</v>
      </c>
      <c r="I9" s="569">
        <f>H9-'31 - Fluxo de Caixa'!I8</f>
        <v>17123.067249872227</v>
      </c>
      <c r="J9" s="569">
        <f>I9-'31 - Fluxo de Caixa'!J8</f>
        <v>17289.477684044265</v>
      </c>
      <c r="K9" s="569">
        <f>J9-'31 - Fluxo de Caixa'!K8</f>
        <v>21594.898261909049</v>
      </c>
      <c r="L9" s="569">
        <f>K9-'31 - Fluxo de Caixa'!L8</f>
        <v>21794.431918539198</v>
      </c>
      <c r="M9" s="569">
        <f>L9-'31 - Fluxo de Caixa'!M8</f>
        <v>26132.97571886209</v>
      </c>
      <c r="N9" s="569">
        <f>M9-'31 - Fluxo de Caixa'!N8</f>
        <v>26356.259599748773</v>
      </c>
      <c r="O9" s="569">
        <f>N9-'31 - Fluxo de Caixa'!O8</f>
        <v>30718.5536243282</v>
      </c>
      <c r="P9" s="569">
        <f>O9-'31 - Fluxo de Caixa'!P8</f>
        <v>30965.587729471419</v>
      </c>
      <c r="Q9" s="569">
        <f>P9-'31 - Fluxo de Caixa'!Q8</f>
        <v>35351.631978307385</v>
      </c>
      <c r="R9" s="569">
        <f>Q9-'31 - Fluxo de Caixa'!R8</f>
        <v>35622.416307707135</v>
      </c>
      <c r="S9" s="569">
        <f>R9-'31 - Fluxo de Caixa'!S8</f>
        <v>40022.281757281016</v>
      </c>
      <c r="T9" s="569">
        <f>S9-'31 - Fluxo de Caixa'!T8</f>
        <v>40306.887287418685</v>
      </c>
      <c r="U9" s="569">
        <f>T9-'31 - Fluxo de Caixa'!U8</f>
        <v>44720.613653824556</v>
      </c>
      <c r="V9" s="569">
        <f>U9-'31 - Fluxo de Caixa'!V8</f>
        <v>45019.040384700136</v>
      </c>
      <c r="W9" s="569">
        <f>V9-'31 - Fluxo de Caixa'!W8</f>
        <v>49446.587951843925</v>
      </c>
      <c r="X9" s="569">
        <f>W9-'31 - Fluxo de Caixa'!X8</f>
        <v>49750.018910572893</v>
      </c>
      <c r="Y9" s="569">
        <f>X9-'31 - Fluxo de Caixa'!Y8</f>
        <v>54182.570705570062</v>
      </c>
      <c r="Z9" s="569">
        <f>Y9-'31 - Fluxo de Caixa'!Z8</f>
        <v>54491.005892152411</v>
      </c>
      <c r="AA9" s="569">
        <f>Z9-'31 - Fluxo de Caixa'!AA8</f>
        <v>58928.561915002967</v>
      </c>
      <c r="AB9" s="569">
        <f>AA9-'31 - Fluxo de Caixa'!AB8</f>
        <v>59241.961613344625</v>
      </c>
      <c r="AC9" s="569">
        <f>AB9-'31 - Fluxo de Caixa'!AC8</f>
        <v>63676.102052104776</v>
      </c>
      <c r="AD9" s="569">
        <f>AC9-'31 - Fluxo de Caixa'!AD8</f>
        <v>63986.086166356028</v>
      </c>
      <c r="AE9" s="569">
        <f>AD9-'31 - Fluxo de Caixa'!AE8</f>
        <v>68416.811021025773</v>
      </c>
      <c r="AF9" s="569">
        <f>AE9-'31 - Fluxo de Caixa'!AF8</f>
        <v>68723.339835092542</v>
      </c>
      <c r="AG9" s="569">
        <f>AF9-'31 - Fluxo de Caixa'!AG8</f>
        <v>73150.649105671881</v>
      </c>
      <c r="AH9" s="569">
        <f>AG9-'31 - Fluxo de Caixa'!AH8</f>
        <v>73444.190756976299</v>
      </c>
      <c r="AI9" s="569">
        <f>AH9-'31 - Fluxo de Caixa'!AI8</f>
        <v>77858.512864793287</v>
      </c>
      <c r="AJ9" s="569">
        <f>AI9-'31 - Fluxo de Caixa'!AJ8</f>
        <v>78139.027637241277</v>
      </c>
      <c r="AK9" s="569">
        <f>AJ9-'31 - Fluxo de Caixa'!AK8</f>
        <v>82540.362582295915</v>
      </c>
      <c r="AL9" s="403"/>
    </row>
    <row r="10" spans="2:38" ht="13.15" customHeight="1" x14ac:dyDescent="0.2">
      <c r="B10" s="35" t="s">
        <v>71</v>
      </c>
      <c r="C10" s="304">
        <f t="shared" ref="C10:AK10" si="1">SUM(C7:C9)</f>
        <v>4331.3067981431059</v>
      </c>
      <c r="D10" s="304">
        <f t="shared" si="1"/>
        <v>14154.691847190006</v>
      </c>
      <c r="E10" s="304">
        <f t="shared" si="1"/>
        <v>17534.455929644981</v>
      </c>
      <c r="F10" s="304">
        <f t="shared" si="1"/>
        <v>18627.177647349756</v>
      </c>
      <c r="G10" s="304">
        <f t="shared" si="1"/>
        <v>23253.88582027033</v>
      </c>
      <c r="H10" s="304">
        <f t="shared" si="1"/>
        <v>25177.375606186353</v>
      </c>
      <c r="I10" s="304">
        <f t="shared" si="1"/>
        <v>30096.546234387788</v>
      </c>
      <c r="J10" s="304">
        <f t="shared" si="1"/>
        <v>22000.546888477566</v>
      </c>
      <c r="K10" s="304">
        <f t="shared" si="1"/>
        <v>28092.348289216327</v>
      </c>
      <c r="L10" s="304">
        <f t="shared" si="1"/>
        <v>30460.671777898999</v>
      </c>
      <c r="M10" s="304">
        <f t="shared" si="1"/>
        <v>48764.15405630719</v>
      </c>
      <c r="N10" s="304">
        <f t="shared" si="1"/>
        <v>49304.663622137494</v>
      </c>
      <c r="O10" s="304">
        <f t="shared" si="1"/>
        <v>54039.984299533695</v>
      </c>
      <c r="P10" s="304">
        <f t="shared" si="1"/>
        <v>54578.9596683774</v>
      </c>
      <c r="Q10" s="304">
        <f t="shared" si="1"/>
        <v>59327.662507672459</v>
      </c>
      <c r="R10" s="304">
        <f t="shared" si="1"/>
        <v>59964.911257909487</v>
      </c>
      <c r="S10" s="304">
        <f t="shared" si="1"/>
        <v>64737.443387626408</v>
      </c>
      <c r="T10" s="304">
        <f t="shared" si="1"/>
        <v>65401.343780591575</v>
      </c>
      <c r="U10" s="304">
        <f t="shared" si="1"/>
        <v>70183.23246735867</v>
      </c>
      <c r="V10" s="304">
        <f t="shared" si="1"/>
        <v>70889.321791282739</v>
      </c>
      <c r="W10" s="304">
        <f t="shared" si="1"/>
        <v>75587.968836070242</v>
      </c>
      <c r="X10" s="304">
        <f t="shared" si="1"/>
        <v>76153.993600108806</v>
      </c>
      <c r="Y10" s="304">
        <f t="shared" si="1"/>
        <v>80808.664171806915</v>
      </c>
      <c r="Z10" s="304">
        <f t="shared" si="1"/>
        <v>81310.054187578673</v>
      </c>
      <c r="AA10" s="304">
        <f t="shared" si="1"/>
        <v>85904.237761103373</v>
      </c>
      <c r="AB10" s="304">
        <f t="shared" si="1"/>
        <v>86319.162557666699</v>
      </c>
      <c r="AC10" s="304">
        <f t="shared" si="1"/>
        <v>90834.902371126998</v>
      </c>
      <c r="AD10" s="304">
        <f t="shared" si="1"/>
        <v>91144.886485378258</v>
      </c>
      <c r="AE10" s="304">
        <f t="shared" si="1"/>
        <v>95575.611340047995</v>
      </c>
      <c r="AF10" s="304">
        <f t="shared" si="1"/>
        <v>95882.140154114764</v>
      </c>
      <c r="AG10" s="304">
        <f t="shared" si="1"/>
        <v>100309.4494246941</v>
      </c>
      <c r="AH10" s="304">
        <f t="shared" si="1"/>
        <v>100602.99107599852</v>
      </c>
      <c r="AI10" s="304">
        <f t="shared" si="1"/>
        <v>105017.31318381551</v>
      </c>
      <c r="AJ10" s="304">
        <f t="shared" si="1"/>
        <v>105297.8279562635</v>
      </c>
      <c r="AK10" s="304">
        <f t="shared" si="1"/>
        <v>109699.16290131814</v>
      </c>
      <c r="AL10" s="403"/>
    </row>
    <row r="11" spans="2:38" ht="13.15" customHeight="1" x14ac:dyDescent="0.2">
      <c r="B11" s="152"/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/>
      <c r="AJ11" s="569"/>
      <c r="AK11" s="569"/>
      <c r="AL11" s="403"/>
    </row>
    <row r="12" spans="2:38" ht="13.15" customHeight="1" x14ac:dyDescent="0.2">
      <c r="B12" s="152" t="s">
        <v>1444</v>
      </c>
      <c r="C12" s="569">
        <f>'26 - IFRIC 12'!D8</f>
        <v>17211.359358285714</v>
      </c>
      <c r="D12" s="569">
        <f>'26 - IFRIC 12'!E8</f>
        <v>18383.658133666853</v>
      </c>
      <c r="E12" s="569">
        <f>'26 - IFRIC 12'!F8</f>
        <v>20233.321518503453</v>
      </c>
      <c r="F12" s="569">
        <f>'26 - IFRIC 12'!G8</f>
        <v>21470.345191377382</v>
      </c>
      <c r="G12" s="569">
        <f>'26 - IFRIC 12'!H8</f>
        <v>23604.193866765516</v>
      </c>
      <c r="H12" s="569">
        <f>'26 - IFRIC 12'!I8</f>
        <v>26460.537926013651</v>
      </c>
      <c r="I12" s="569">
        <f>'26 - IFRIC 12'!J8</f>
        <v>28069.512184369443</v>
      </c>
      <c r="J12" s="569">
        <f>'26 - IFRIC 12'!K8</f>
        <v>46380.878035332578</v>
      </c>
      <c r="K12" s="569">
        <f>'26 - IFRIC 12'!L8</f>
        <v>49149.636262500979</v>
      </c>
      <c r="L12" s="569">
        <f>'26 - IFRIC 12'!M8</f>
        <v>52395.448621965159</v>
      </c>
      <c r="M12" s="569">
        <f>'26 - IFRIC 12'!N8</f>
        <v>56533.563722145074</v>
      </c>
      <c r="N12" s="569">
        <f>'26 - IFRIC 12'!O8</f>
        <v>59429.154609859484</v>
      </c>
      <c r="O12" s="569">
        <f>'26 - IFRIC 12'!P8</f>
        <v>63983.568391399269</v>
      </c>
      <c r="P12" s="569">
        <f>'26 - IFRIC 12'!Q8</f>
        <v>66916.199450351924</v>
      </c>
      <c r="Q12" s="569">
        <f>'26 - IFRIC 12'!R8</f>
        <v>86246.261815339341</v>
      </c>
      <c r="R12" s="569">
        <f>'26 - IFRIC 12'!S8</f>
        <v>90384.406457327132</v>
      </c>
      <c r="S12" s="569">
        <f>'26 - IFRIC 12'!T8</f>
        <v>94100.244226639697</v>
      </c>
      <c r="T12" s="569">
        <f>'26 - IFRIC 12'!U8</f>
        <v>98052.479521719084</v>
      </c>
      <c r="U12" s="569">
        <f>'26 - IFRIC 12'!V8</f>
        <v>101085.71105811039</v>
      </c>
      <c r="V12" s="569">
        <f>'26 - IFRIC 12'!W8</f>
        <v>105181.66156010231</v>
      </c>
      <c r="W12" s="569">
        <f>'26 - IFRIC 12'!X8</f>
        <v>109148.98019955856</v>
      </c>
      <c r="X12" s="569">
        <f>'26 - IFRIC 12'!Y8</f>
        <v>126552.1241551909</v>
      </c>
      <c r="Y12" s="569">
        <f>'26 - IFRIC 12'!Z8</f>
        <v>128630.6868357366</v>
      </c>
      <c r="Z12" s="569">
        <f>'26 - IFRIC 12'!AA8</f>
        <v>129156.46691202247</v>
      </c>
      <c r="AA12" s="569">
        <f>'26 - IFRIC 12'!AB8</f>
        <v>129406.32149374086</v>
      </c>
      <c r="AB12" s="569">
        <f>'26 - IFRIC 12'!AC8</f>
        <v>128191.2807268982</v>
      </c>
      <c r="AC12" s="569">
        <f>'26 - IFRIC 12'!AD8</f>
        <v>125631.21367897822</v>
      </c>
      <c r="AD12" s="569">
        <f>'26 - IFRIC 12'!AE8</f>
        <v>121048.52785202136</v>
      </c>
      <c r="AE12" s="569">
        <f>'26 - IFRIC 12'!AF8</f>
        <v>128101.77862793015</v>
      </c>
      <c r="AF12" s="569">
        <f>'26 - IFRIC 12'!AG8</f>
        <v>117477.44386317306</v>
      </c>
      <c r="AG12" s="569">
        <f>'26 - IFRIC 12'!AH8</f>
        <v>104142.30148560394</v>
      </c>
      <c r="AH12" s="569">
        <f>'26 - IFRIC 12'!AI8</f>
        <v>85621.596214107485</v>
      </c>
      <c r="AI12" s="569">
        <f>'26 - IFRIC 12'!AJ8</f>
        <v>63167.853348560267</v>
      </c>
      <c r="AJ12" s="569">
        <f>'26 - IFRIC 12'!AK8</f>
        <v>35019.838410138218</v>
      </c>
      <c r="AK12" s="569">
        <f>'26 - IFRIC 12'!AL8</f>
        <v>0</v>
      </c>
      <c r="AL12" s="403"/>
    </row>
    <row r="13" spans="2:38" ht="13.15" customHeight="1" x14ac:dyDescent="0.2">
      <c r="B13" s="152" t="s">
        <v>1445</v>
      </c>
      <c r="C13" s="569">
        <f>'26 - IFRIC 12'!D19</f>
        <v>6818.4596627374558</v>
      </c>
      <c r="D13" s="569">
        <f>'26 - IFRIC 12'!E19</f>
        <v>7389.4236078333224</v>
      </c>
      <c r="E13" s="569">
        <f>'26 - IFRIC 12'!F19</f>
        <v>7989.7882186267216</v>
      </c>
      <c r="F13" s="569">
        <f>'26 - IFRIC 12'!G19</f>
        <v>8506.7041722117865</v>
      </c>
      <c r="G13" s="569">
        <f>'26 - IFRIC 12'!H19</f>
        <v>9532.1090142415833</v>
      </c>
      <c r="H13" s="569">
        <f>'26 - IFRIC 12'!I19</f>
        <v>10722.628753329906</v>
      </c>
      <c r="I13" s="569">
        <f>'26 - IFRIC 12'!J19</f>
        <v>11483.502221817611</v>
      </c>
      <c r="J13" s="569">
        <f>'26 - IFRIC 12'!K19</f>
        <v>17357.689730453683</v>
      </c>
      <c r="K13" s="569">
        <f>'26 - IFRIC 12'!L19</f>
        <v>18835.431192353426</v>
      </c>
      <c r="L13" s="569">
        <f>'26 - IFRIC 12'!M19</f>
        <v>19880.063192038506</v>
      </c>
      <c r="M13" s="569">
        <f>'26 - IFRIC 12'!N19</f>
        <v>21540.607472329415</v>
      </c>
      <c r="N13" s="569">
        <f>'26 - IFRIC 12'!O19</f>
        <v>22763.192281255142</v>
      </c>
      <c r="O13" s="569">
        <f>'26 - IFRIC 12'!P19</f>
        <v>24479.40309493924</v>
      </c>
      <c r="P13" s="569">
        <f>'26 - IFRIC 12'!Q19</f>
        <v>25630.696977697913</v>
      </c>
      <c r="Q13" s="569">
        <f>'26 - IFRIC 12'!R19</f>
        <v>31438.209386759667</v>
      </c>
      <c r="R13" s="569">
        <f>'26 - IFRIC 12'!S19</f>
        <v>33335.251658182933</v>
      </c>
      <c r="S13" s="569">
        <f>'26 - IFRIC 12'!T19</f>
        <v>35206.705336809806</v>
      </c>
      <c r="T13" s="569">
        <f>'26 - IFRIC 12'!U19</f>
        <v>36556.469692348102</v>
      </c>
      <c r="U13" s="569">
        <f>'26 - IFRIC 12'!V19</f>
        <v>37706.864007882141</v>
      </c>
      <c r="V13" s="569">
        <f>'26 - IFRIC 12'!W19</f>
        <v>38734.071046141929</v>
      </c>
      <c r="W13" s="569">
        <f>'26 - IFRIC 12'!X19</f>
        <v>40648.960108718646</v>
      </c>
      <c r="X13" s="569">
        <f>'26 - IFRIC 12'!Y19</f>
        <v>45997.895151108969</v>
      </c>
      <c r="Y13" s="569">
        <f>'26 - IFRIC 12'!Z19</f>
        <v>46609.161336390338</v>
      </c>
      <c r="Z13" s="569">
        <f>'26 - IFRIC 12'!AA19</f>
        <v>46785.294300351816</v>
      </c>
      <c r="AA13" s="569">
        <f>'26 - IFRIC 12'!AB19</f>
        <v>47019.405985830119</v>
      </c>
      <c r="AB13" s="569">
        <f>'26 - IFRIC 12'!AC19</f>
        <v>46873.254590380559</v>
      </c>
      <c r="AC13" s="569">
        <f>'26 - IFRIC 12'!AD19</f>
        <v>45701.600932236921</v>
      </c>
      <c r="AD13" s="569">
        <f>'26 - IFRIC 12'!AE19</f>
        <v>43861.14918414472</v>
      </c>
      <c r="AE13" s="569">
        <f>'26 - IFRIC 12'!AF19</f>
        <v>45753.749515976437</v>
      </c>
      <c r="AF13" s="569">
        <f>'26 - IFRIC 12'!AG19</f>
        <v>41704.66980059717</v>
      </c>
      <c r="AG13" s="569">
        <f>'26 - IFRIC 12'!AH19</f>
        <v>36971.181786804824</v>
      </c>
      <c r="AH13" s="569">
        <f>'26 - IFRIC 12'!AI19</f>
        <v>30402.559645437563</v>
      </c>
      <c r="AI13" s="569">
        <f>'26 - IFRIC 12'!AJ19</f>
        <v>22569.925038090099</v>
      </c>
      <c r="AJ13" s="569">
        <f>'26 - IFRIC 12'!AK19</f>
        <v>12337.623369094037</v>
      </c>
      <c r="AK13" s="569">
        <f>'26 - IFRIC 12'!AL19</f>
        <v>0</v>
      </c>
      <c r="AL13" s="403"/>
    </row>
    <row r="14" spans="2:38" ht="13.15" customHeight="1" x14ac:dyDescent="0.2">
      <c r="B14" s="152" t="s">
        <v>1446</v>
      </c>
      <c r="C14" s="569"/>
      <c r="D14" s="569"/>
      <c r="E14" s="569"/>
      <c r="F14" s="569"/>
      <c r="G14" s="569"/>
      <c r="H14" s="569"/>
      <c r="I14" s="569"/>
      <c r="J14" s="569"/>
      <c r="K14" s="569"/>
      <c r="L14" s="569"/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69"/>
      <c r="AJ14" s="569"/>
      <c r="AK14" s="569"/>
      <c r="AL14" s="403"/>
    </row>
    <row r="15" spans="2:38" ht="13.15" customHeight="1" x14ac:dyDescent="0.2">
      <c r="B15" s="305" t="s">
        <v>1447</v>
      </c>
      <c r="C15" s="306">
        <f t="shared" ref="C15:AJ15" si="2">SUM(C10:C14)</f>
        <v>28361.125819166275</v>
      </c>
      <c r="D15" s="306">
        <f t="shared" si="2"/>
        <v>39927.773588690179</v>
      </c>
      <c r="E15" s="306">
        <f t="shared" si="2"/>
        <v>45757.565666775161</v>
      </c>
      <c r="F15" s="306">
        <f t="shared" si="2"/>
        <v>48604.227010938921</v>
      </c>
      <c r="G15" s="306">
        <f t="shared" si="2"/>
        <v>56390.188701277431</v>
      </c>
      <c r="H15" s="306">
        <f t="shared" si="2"/>
        <v>62360.542285529911</v>
      </c>
      <c r="I15" s="306">
        <f t="shared" si="2"/>
        <v>69649.56064057484</v>
      </c>
      <c r="J15" s="306">
        <f t="shared" si="2"/>
        <v>85739.114654263831</v>
      </c>
      <c r="K15" s="306">
        <f t="shared" si="2"/>
        <v>96077.415744070735</v>
      </c>
      <c r="L15" s="306">
        <f t="shared" si="2"/>
        <v>102736.18359190266</v>
      </c>
      <c r="M15" s="306">
        <f t="shared" si="2"/>
        <v>126838.32525078168</v>
      </c>
      <c r="N15" s="306">
        <f t="shared" si="2"/>
        <v>131497.01051325211</v>
      </c>
      <c r="O15" s="306">
        <f t="shared" si="2"/>
        <v>142502.95578587221</v>
      </c>
      <c r="P15" s="306">
        <f t="shared" si="2"/>
        <v>147125.85609642725</v>
      </c>
      <c r="Q15" s="306">
        <f t="shared" si="2"/>
        <v>177012.13370977147</v>
      </c>
      <c r="R15" s="306">
        <f t="shared" si="2"/>
        <v>183684.56937341957</v>
      </c>
      <c r="S15" s="306">
        <f t="shared" si="2"/>
        <v>194044.39295107592</v>
      </c>
      <c r="T15" s="306">
        <f t="shared" si="2"/>
        <v>200010.29299465875</v>
      </c>
      <c r="U15" s="306">
        <f t="shared" si="2"/>
        <v>208975.80753335118</v>
      </c>
      <c r="V15" s="306">
        <f t="shared" si="2"/>
        <v>214805.05439752698</v>
      </c>
      <c r="W15" s="306">
        <f t="shared" si="2"/>
        <v>225385.90914434748</v>
      </c>
      <c r="X15" s="306">
        <f t="shared" si="2"/>
        <v>248704.01290640869</v>
      </c>
      <c r="Y15" s="306">
        <f t="shared" si="2"/>
        <v>256048.51234393383</v>
      </c>
      <c r="Z15" s="306">
        <f t="shared" si="2"/>
        <v>257251.81539995296</v>
      </c>
      <c r="AA15" s="306">
        <f t="shared" si="2"/>
        <v>262329.96524067433</v>
      </c>
      <c r="AB15" s="306">
        <f t="shared" si="2"/>
        <v>261383.69787494544</v>
      </c>
      <c r="AC15" s="306">
        <f t="shared" si="2"/>
        <v>262167.71698234213</v>
      </c>
      <c r="AD15" s="306">
        <f t="shared" si="2"/>
        <v>256054.56352154433</v>
      </c>
      <c r="AE15" s="306">
        <f t="shared" si="2"/>
        <v>269431.13948395458</v>
      </c>
      <c r="AF15" s="306">
        <f t="shared" si="2"/>
        <v>255064.25381788501</v>
      </c>
      <c r="AG15" s="306">
        <f t="shared" si="2"/>
        <v>241422.93269710283</v>
      </c>
      <c r="AH15" s="306">
        <f t="shared" si="2"/>
        <v>216627.14693554357</v>
      </c>
      <c r="AI15" s="306">
        <f t="shared" si="2"/>
        <v>190755.09157046588</v>
      </c>
      <c r="AJ15" s="306">
        <f t="shared" si="2"/>
        <v>152655.28973549575</v>
      </c>
      <c r="AK15" s="306">
        <f>SUM(AK10:AK14)</f>
        <v>109699.16290131814</v>
      </c>
      <c r="AL15" s="403"/>
    </row>
    <row r="17" spans="2:37" ht="13.15" customHeight="1" x14ac:dyDescent="0.2">
      <c r="B17" s="303" t="s">
        <v>1448</v>
      </c>
      <c r="C17" s="213" t="s">
        <v>775</v>
      </c>
      <c r="D17" s="213" t="s">
        <v>776</v>
      </c>
      <c r="E17" s="213" t="s">
        <v>777</v>
      </c>
      <c r="F17" s="213" t="s">
        <v>778</v>
      </c>
      <c r="G17" s="213" t="s">
        <v>779</v>
      </c>
      <c r="H17" s="213" t="s">
        <v>780</v>
      </c>
      <c r="I17" s="213" t="s">
        <v>781</v>
      </c>
      <c r="J17" s="213" t="s">
        <v>782</v>
      </c>
      <c r="K17" s="213" t="s">
        <v>783</v>
      </c>
      <c r="L17" s="213" t="s">
        <v>717</v>
      </c>
      <c r="M17" s="213" t="s">
        <v>718</v>
      </c>
      <c r="N17" s="213" t="s">
        <v>719</v>
      </c>
      <c r="O17" s="213" t="s">
        <v>720</v>
      </c>
      <c r="P17" s="213" t="s">
        <v>721</v>
      </c>
      <c r="Q17" s="213" t="s">
        <v>722</v>
      </c>
      <c r="R17" s="213" t="s">
        <v>723</v>
      </c>
      <c r="S17" s="213" t="s">
        <v>724</v>
      </c>
      <c r="T17" s="213" t="s">
        <v>725</v>
      </c>
      <c r="U17" s="213" t="s">
        <v>726</v>
      </c>
      <c r="V17" s="213" t="s">
        <v>727</v>
      </c>
      <c r="W17" s="213" t="s">
        <v>728</v>
      </c>
      <c r="X17" s="213" t="s">
        <v>729</v>
      </c>
      <c r="Y17" s="213" t="s">
        <v>730</v>
      </c>
      <c r="Z17" s="213" t="s">
        <v>731</v>
      </c>
      <c r="AA17" s="213" t="s">
        <v>732</v>
      </c>
      <c r="AB17" s="213" t="s">
        <v>733</v>
      </c>
      <c r="AC17" s="213" t="s">
        <v>734</v>
      </c>
      <c r="AD17" s="213" t="s">
        <v>735</v>
      </c>
      <c r="AE17" s="213" t="s">
        <v>736</v>
      </c>
      <c r="AF17" s="213" t="s">
        <v>737</v>
      </c>
      <c r="AG17" s="213" t="s">
        <v>738</v>
      </c>
      <c r="AH17" s="213" t="s">
        <v>739</v>
      </c>
      <c r="AI17" s="213" t="s">
        <v>740</v>
      </c>
      <c r="AJ17" s="213" t="s">
        <v>741</v>
      </c>
      <c r="AK17" s="213" t="s">
        <v>742</v>
      </c>
    </row>
    <row r="18" spans="2:37" ht="13.15" customHeight="1" x14ac:dyDescent="0.2">
      <c r="B18" s="152" t="s">
        <v>1449</v>
      </c>
      <c r="C18" s="569">
        <f>'31 - Fluxo de Caixa'!C13</f>
        <v>3106.4853556885214</v>
      </c>
      <c r="D18" s="569">
        <f>C18+'31 - Fluxo de Caixa'!D13</f>
        <v>3300.0921225209418</v>
      </c>
      <c r="E18" s="569">
        <f>D18+'31 - Fluxo de Caixa'!E13</f>
        <v>6414.032219208817</v>
      </c>
      <c r="F18" s="569">
        <f>E18+'31 - Fluxo de Caixa'!F13</f>
        <v>6595.4643509173338</v>
      </c>
      <c r="G18" s="569">
        <f>F18+'31 - Fluxo de Caixa'!G13</f>
        <v>9713.5224881465292</v>
      </c>
      <c r="H18" s="569">
        <f>G18+'31 - Fluxo de Caixa'!H13</f>
        <v>9734.0364829574846</v>
      </c>
      <c r="I18" s="569">
        <f>H18+'31 - Fluxo de Caixa'!I13</f>
        <v>13111.354359378134</v>
      </c>
      <c r="J18" s="569">
        <f>I18+'31 - Fluxo de Caixa'!J13</f>
        <v>13005.171615470226</v>
      </c>
      <c r="K18" s="569">
        <f>J18+'31 - Fluxo de Caixa'!K13</f>
        <v>16550.272443885515</v>
      </c>
      <c r="L18" s="569">
        <f>K18+'31 - Fluxo de Caixa'!L13</f>
        <v>16433.504167042662</v>
      </c>
      <c r="M18" s="569">
        <f>L18+'31 - Fluxo de Caixa'!M13</f>
        <v>19966.15074235644</v>
      </c>
      <c r="N18" s="569">
        <f>M18+'31 - Fluxo de Caixa'!N13</f>
        <v>19874.809420705031</v>
      </c>
      <c r="O18" s="569">
        <f>N18+'31 - Fluxo de Caixa'!O13</f>
        <v>23157.66955399025</v>
      </c>
      <c r="P18" s="569">
        <f>O18+'31 - Fluxo de Caixa'!P13</f>
        <v>23312.904071252335</v>
      </c>
      <c r="Q18" s="569">
        <f>P18+'31 - Fluxo de Caixa'!Q13</f>
        <v>26446.732106692278</v>
      </c>
      <c r="R18" s="569">
        <f>Q18+'31 - Fluxo de Caixa'!R13</f>
        <v>26766.090329983199</v>
      </c>
      <c r="S18" s="569">
        <f>R18+'31 - Fluxo de Caixa'!S13</f>
        <v>29901.949185569312</v>
      </c>
      <c r="T18" s="569">
        <f>S18+'31 - Fluxo de Caixa'!T13</f>
        <v>30199.954832038471</v>
      </c>
      <c r="U18" s="569">
        <f>T18+'31 - Fluxo de Caixa'!U13</f>
        <v>33365.847687055248</v>
      </c>
      <c r="V18" s="569">
        <f>U18+'31 - Fluxo de Caixa'!V13</f>
        <v>33417.613142472903</v>
      </c>
      <c r="W18" s="569">
        <f>V18+'31 - Fluxo de Caixa'!W13</f>
        <v>36816.649999751913</v>
      </c>
      <c r="X18" s="569">
        <f>W18+'31 - Fluxo de Caixa'!X13</f>
        <v>36709.976385657297</v>
      </c>
      <c r="Y18" s="569">
        <f>X18+'31 - Fluxo de Caixa'!Y13</f>
        <v>40279.942459723105</v>
      </c>
      <c r="Z18" s="569">
        <f>Y18+'31 - Fluxo de Caixa'!Z13</f>
        <v>40175.851700263498</v>
      </c>
      <c r="AA18" s="569">
        <f>Z18+'31 - Fluxo de Caixa'!AA13</f>
        <v>43723.586422641842</v>
      </c>
      <c r="AB18" s="569">
        <f>AA18+'31 - Fluxo de Caixa'!AB13</f>
        <v>43622.740996459885</v>
      </c>
      <c r="AC18" s="569">
        <f>AB18+'31 - Fluxo de Caixa'!AC13</f>
        <v>46935.010167345521</v>
      </c>
      <c r="AD18" s="569">
        <f>AC18+'31 - Fluxo de Caixa'!AD13</f>
        <v>47074.450014434115</v>
      </c>
      <c r="AE18" s="569">
        <f>AD18+'31 - Fluxo de Caixa'!AE13</f>
        <v>50218.553453191947</v>
      </c>
      <c r="AF18" s="569">
        <f>AE18+'31 - Fluxo de Caixa'!AF13</f>
        <v>50508.84491215962</v>
      </c>
      <c r="AG18" s="569">
        <f>AF18+'31 - Fluxo de Caixa'!AG13</f>
        <v>53652.668540778031</v>
      </c>
      <c r="AH18" s="569">
        <f>AG18+'31 - Fluxo de Caixa'!AH13</f>
        <v>53935.703498298652</v>
      </c>
      <c r="AI18" s="569">
        <f>AH18+'31 - Fluxo de Caixa'!AI13</f>
        <v>57074.865278093181</v>
      </c>
      <c r="AJ18" s="569">
        <f>AI18+'31 - Fluxo de Caixa'!AJ13</f>
        <v>57103.541508964146</v>
      </c>
      <c r="AK18" s="569">
        <f>AJ18+'31 - Fluxo de Caixa'!AK13</f>
        <v>60491.626278172858</v>
      </c>
    </row>
    <row r="19" spans="2:37" ht="13.15" customHeight="1" x14ac:dyDescent="0.2">
      <c r="B19" s="152" t="s">
        <v>1450</v>
      </c>
      <c r="C19" s="569"/>
      <c r="D19" s="569"/>
      <c r="E19" s="569"/>
      <c r="F19" s="569"/>
      <c r="G19" s="569"/>
      <c r="H19" s="569"/>
      <c r="I19" s="569"/>
      <c r="J19" s="569"/>
      <c r="K19" s="569"/>
      <c r="L19" s="569"/>
      <c r="M19" s="569"/>
      <c r="N19" s="569"/>
      <c r="O19" s="569"/>
      <c r="P19" s="569"/>
      <c r="Q19" s="569"/>
      <c r="R19" s="569"/>
      <c r="S19" s="569"/>
      <c r="T19" s="569"/>
      <c r="U19" s="569"/>
      <c r="V19" s="569"/>
      <c r="W19" s="569"/>
      <c r="X19" s="569"/>
      <c r="Y19" s="569"/>
      <c r="Z19" s="569"/>
      <c r="AA19" s="569"/>
      <c r="AB19" s="569"/>
      <c r="AC19" s="569"/>
      <c r="AD19" s="569"/>
      <c r="AE19" s="569"/>
      <c r="AF19" s="569"/>
      <c r="AG19" s="569"/>
      <c r="AH19" s="569"/>
      <c r="AI19" s="569"/>
      <c r="AJ19" s="569"/>
      <c r="AK19" s="569"/>
    </row>
    <row r="20" spans="2:37" ht="13.15" customHeight="1" x14ac:dyDescent="0.2">
      <c r="B20" s="152" t="s">
        <v>1451</v>
      </c>
      <c r="C20" s="569">
        <f>'31 - Fluxo de Caixa'!C15</f>
        <v>612.10010007098617</v>
      </c>
      <c r="D20" s="569">
        <f>C20+'31 - Fluxo de Caixa'!D15</f>
        <v>597.74928487429077</v>
      </c>
      <c r="E20" s="569">
        <f>D20+'31 - Fluxo de Caixa'!E15</f>
        <v>1216.1824140161571</v>
      </c>
      <c r="F20" s="569">
        <f>E20+'31 - Fluxo de Caixa'!F15</f>
        <v>1208.158968346936</v>
      </c>
      <c r="G20" s="569">
        <f>F20+'31 - Fluxo de Caixa'!G15</f>
        <v>1832.9251265596827</v>
      </c>
      <c r="H20" s="569">
        <f>G20+'31 - Fluxo de Caixa'!H15</f>
        <v>1831.2347099613417</v>
      </c>
      <c r="I20" s="569">
        <f>H20+'31 - Fluxo de Caixa'!I15</f>
        <v>2460.7209273743688</v>
      </c>
      <c r="J20" s="569">
        <f>I20+'31 - Fluxo de Caixa'!J15</f>
        <v>2463.7505699763087</v>
      </c>
      <c r="K20" s="569">
        <f>J20+'31 - Fluxo de Caixa'!K15</f>
        <v>3097.9568465896164</v>
      </c>
      <c r="L20" s="569">
        <f>K20+'31 - Fluxo de Caixa'!L15</f>
        <v>3105.7065483918368</v>
      </c>
      <c r="M20" s="569">
        <f>L20+'31 - Fluxo de Caixa'!M15</f>
        <v>3744.6328842054245</v>
      </c>
      <c r="N20" s="569">
        <f>M20+'31 - Fluxo de Caixa'!N15</f>
        <v>3755.7669929642016</v>
      </c>
      <c r="O20" s="569">
        <f>N20+'31 - Fluxo de Caixa'!O15</f>
        <v>4398.0777357343459</v>
      </c>
      <c r="P20" s="569">
        <f>O20+'31 - Fluxo de Caixa'!P15</f>
        <v>4412.5962514496787</v>
      </c>
      <c r="Q20" s="569">
        <f>P20+'31 - Fluxo de Caixa'!Q15</f>
        <v>5058.2914011763787</v>
      </c>
      <c r="R20" s="569">
        <f>Q20+'31 - Fluxo de Caixa'!R15</f>
        <v>5076.1943238482672</v>
      </c>
      <c r="S20" s="569">
        <f>R20+'31 - Fluxo de Caixa'!S15</f>
        <v>5723.8589946801203</v>
      </c>
      <c r="T20" s="569">
        <f>S20+'31 - Fluxo de Caixa'!T15</f>
        <v>5743.7314384571619</v>
      </c>
      <c r="U20" s="569">
        <f>T20+'31 - Fluxo de Caixa'!U15</f>
        <v>6393.3712899375741</v>
      </c>
      <c r="V20" s="569">
        <f>U20+'31 - Fluxo de Caixa'!V15</f>
        <v>6415.2132548197687</v>
      </c>
      <c r="W20" s="569">
        <f>V20+'31 - Fluxo de Caixa'!W15</f>
        <v>7066.8226274053341</v>
      </c>
      <c r="X20" s="569">
        <f>W20+'31 - Fluxo de Caixa'!X15</f>
        <v>7089.3776947566357</v>
      </c>
      <c r="Y20" s="569">
        <f>X20+'31 - Fluxo de Caixa'!Y15</f>
        <v>7741.7001698113081</v>
      </c>
      <c r="Z20" s="569">
        <f>Y20+'31 - Fluxo de Caixa'!Z15</f>
        <v>7764.9683396317168</v>
      </c>
      <c r="AA20" s="569">
        <f>Z20+'31 - Fluxo de Caixa'!AA15</f>
        <v>8418.0039171554963</v>
      </c>
      <c r="AB20" s="569">
        <f>AA20+'31 - Fluxo de Caixa'!AB15</f>
        <v>8441.9795299016059</v>
      </c>
      <c r="AC20" s="569">
        <f>AB20+'31 - Fluxo de Caixa'!AC15</f>
        <v>9094.5283866925038</v>
      </c>
      <c r="AD20" s="569">
        <f>AC20+'31 - Fluxo de Caixa'!AD15</f>
        <v>9118.0172787057309</v>
      </c>
      <c r="AE20" s="569">
        <f>AD20+'31 - Fluxo de Caixa'!AE15</f>
        <v>9770.0794147637462</v>
      </c>
      <c r="AF20" s="569">
        <f>AE20+'31 - Fluxo de Caixa'!AF15</f>
        <v>9793.0759265006855</v>
      </c>
      <c r="AG20" s="569">
        <f>AF20+'31 - Fluxo de Caixa'!AG15</f>
        <v>10444.651341825818</v>
      </c>
      <c r="AH20" s="569">
        <f>AG20+'31 - Fluxo de Caixa'!AH15</f>
        <v>10465.797182869122</v>
      </c>
      <c r="AI20" s="569">
        <f>AH20+'31 - Fluxo de Caixa'!AI15</f>
        <v>11115.521927500618</v>
      </c>
      <c r="AJ20" s="569">
        <f>AI20+'31 - Fluxo de Caixa'!AJ15</f>
        <v>11134.811438306882</v>
      </c>
      <c r="AK20" s="569">
        <f>AJ20+'31 - Fluxo de Caixa'!AK15</f>
        <v>11782.685512244743</v>
      </c>
    </row>
    <row r="21" spans="2:37" ht="13.15" customHeight="1" x14ac:dyDescent="0.2">
      <c r="B21" s="152" t="s">
        <v>1452</v>
      </c>
      <c r="C21" s="569">
        <f>'26 - IFRIC 12'!D28</f>
        <v>0</v>
      </c>
      <c r="D21" s="569">
        <f>'26 - IFRIC 12'!E28</f>
        <v>758.29084072988849</v>
      </c>
      <c r="E21" s="569">
        <f>'26 - IFRIC 12'!F28</f>
        <v>1549.630227994295</v>
      </c>
      <c r="F21" s="569">
        <f>'26 - IFRIC 12'!G28</f>
        <v>2393.4776766512168</v>
      </c>
      <c r="G21" s="569">
        <f>'26 - IFRIC 12'!H28</f>
        <v>3264.2045459772708</v>
      </c>
      <c r="H21" s="569">
        <f>'26 - IFRIC 12'!I28</f>
        <v>4202.6494205699637</v>
      </c>
      <c r="I21" s="569">
        <f>'26 - IFRIC 12'!J28</f>
        <v>5231.9708525548303</v>
      </c>
      <c r="J21" s="569">
        <f>'26 - IFRIC 12'!K28</f>
        <v>6293.2555087359178</v>
      </c>
      <c r="K21" s="569">
        <f>'26 - IFRIC 12'!L28</f>
        <v>8063.9154817769268</v>
      </c>
      <c r="L21" s="569">
        <f>'26 - IFRIC 12'!M28</f>
        <v>9888.5385437543137</v>
      </c>
      <c r="M21" s="569">
        <f>'26 - IFRIC 12'!N28</f>
        <v>11758.813170474508</v>
      </c>
      <c r="N21" s="569">
        <f>'26 - IFRIC 12'!O28</f>
        <v>13712.208855784964</v>
      </c>
      <c r="O21" s="569">
        <f>'26 - IFRIC 12'!P28</f>
        <v>15683.168179053477</v>
      </c>
      <c r="P21" s="569">
        <f>'26 - IFRIC 12'!Q28</f>
        <v>17726.243198185002</v>
      </c>
      <c r="Q21" s="569">
        <f>'26 - IFRIC 12'!R28</f>
        <v>19757.044642376677</v>
      </c>
      <c r="R21" s="569">
        <f>'26 - IFRIC 12'!S28</f>
        <v>22409.645043680161</v>
      </c>
      <c r="S21" s="569">
        <f>'26 - IFRIC 12'!T28</f>
        <v>25045.612793146993</v>
      </c>
      <c r="T21" s="569">
        <f>'26 - IFRIC 12'!U28</f>
        <v>27627.701681539162</v>
      </c>
      <c r="U21" s="569">
        <f>'26 - IFRIC 12'!V28</f>
        <v>30121.723924095131</v>
      </c>
      <c r="V21" s="569">
        <f>'26 - IFRIC 12'!W28</f>
        <v>32465.581642761532</v>
      </c>
      <c r="W21" s="569">
        <f>'26 - IFRIC 12'!X28</f>
        <v>34658.353591484069</v>
      </c>
      <c r="X21" s="569">
        <f>'26 - IFRIC 12'!Y28</f>
        <v>36692.188652508543</v>
      </c>
      <c r="Y21" s="569">
        <f>'26 - IFRIC 12'!Z28</f>
        <v>39029.80067581508</v>
      </c>
      <c r="Z21" s="569">
        <f>'26 - IFRIC 12'!AA28</f>
        <v>40976.463344904631</v>
      </c>
      <c r="AA21" s="569">
        <f>'26 - IFRIC 12'!AB28</f>
        <v>42421.315998749858</v>
      </c>
      <c r="AB21" s="569">
        <f>'26 - IFRIC 12'!AC28</f>
        <v>43302.31841838183</v>
      </c>
      <c r="AC21" s="569">
        <f>'26 - IFRIC 12'!AD28</f>
        <v>43508.691673808207</v>
      </c>
      <c r="AD21" s="569">
        <f>'26 - IFRIC 12'!AE28</f>
        <v>42900.036445342863</v>
      </c>
      <c r="AE21" s="569">
        <f>'26 - IFRIC 12'!AF28</f>
        <v>41319.776779742686</v>
      </c>
      <c r="AF21" s="569">
        <f>'26 - IFRIC 12'!AG28</f>
        <v>39090.202103276955</v>
      </c>
      <c r="AG21" s="569">
        <f>'26 - IFRIC 12'!AH28</f>
        <v>35352.510325777017</v>
      </c>
      <c r="AH21" s="569">
        <f>'26 - IFRIC 12'!AI28</f>
        <v>29904.701951553474</v>
      </c>
      <c r="AI21" s="569">
        <f>'26 - IFRIC 12'!AJ28</f>
        <v>22413.431040019481</v>
      </c>
      <c r="AJ21" s="569">
        <f>'26 - IFRIC 12'!AK28</f>
        <v>12579.300209442023</v>
      </c>
      <c r="AK21" s="569">
        <f>'26 - IFRIC 12'!AL28</f>
        <v>0</v>
      </c>
    </row>
    <row r="22" spans="2:37" ht="13.15" customHeight="1" x14ac:dyDescent="0.2">
      <c r="B22" s="152" t="s">
        <v>1453</v>
      </c>
      <c r="C22" s="569">
        <f>'27 - Financiamento'!C6+'27 - Financiamento'!C17+'27 - Financiamento'!C28+'27 - Financiamento'!C39</f>
        <v>8039.4513075000004</v>
      </c>
      <c r="D22" s="569">
        <f>'27 - Financiamento'!D6+'27 - Financiamento'!D17+'27 - Financiamento'!D28+'27 - Financiamento'!D39</f>
        <v>16078.902614999999</v>
      </c>
      <c r="E22" s="569">
        <f>'27 - Financiamento'!E6+'27 - Financiamento'!E17+'27 - Financiamento'!E28+'27 - Financiamento'!E39</f>
        <v>14069.039788124999</v>
      </c>
      <c r="F22" s="569">
        <f>'27 - Financiamento'!F6+'27 - Financiamento'!F17+'27 - Financiamento'!F28+'27 - Financiamento'!F39</f>
        <v>12059.176961249999</v>
      </c>
      <c r="G22" s="569">
        <f>'27 - Financiamento'!G6+'27 - Financiamento'!G17+'27 - Financiamento'!G28+'27 - Financiamento'!G39</f>
        <v>10049.314134374999</v>
      </c>
      <c r="H22" s="569">
        <f>'27 - Financiamento'!H6+'27 - Financiamento'!H17+'27 - Financiamento'!H28+'27 - Financiamento'!H39</f>
        <v>8039.4513074999995</v>
      </c>
      <c r="I22" s="569">
        <f>'27 - Financiamento'!I6+'27 - Financiamento'!I17+'27 - Financiamento'!I28+'27 - Financiamento'!I39</f>
        <v>6029.5884806249996</v>
      </c>
      <c r="J22" s="569">
        <f>'27 - Financiamento'!J6+'27 - Financiamento'!J17+'27 - Financiamento'!J28+'27 - Financiamento'!J39</f>
        <v>4019.7256537499998</v>
      </c>
      <c r="K22" s="569">
        <f>'27 - Financiamento'!K6+'27 - Financiamento'!K17+'27 - Financiamento'!K28+'27 - Financiamento'!K39</f>
        <v>2009.8628268749999</v>
      </c>
      <c r="L22" s="569">
        <f>'27 - Financiamento'!L6+'27 - Financiamento'!L17+'27 - Financiamento'!L28+'27 - Financiamento'!L39</f>
        <v>0</v>
      </c>
      <c r="M22" s="569">
        <f>'27 - Financiamento'!M6+'27 - Financiamento'!M17+'27 - Financiamento'!M28+'27 - Financiamento'!M39</f>
        <v>4720.7518802999994</v>
      </c>
      <c r="N22" s="569">
        <f>'27 - Financiamento'!N6+'27 - Financiamento'!N17+'27 - Financiamento'!N28+'27 - Financiamento'!N39</f>
        <v>9441.5037605999987</v>
      </c>
      <c r="O22" s="569">
        <f>'27 - Financiamento'!O6+'27 - Financiamento'!O17+'27 - Financiamento'!O28+'27 - Financiamento'!O39</f>
        <v>8261.3157905249991</v>
      </c>
      <c r="P22" s="569">
        <f>'27 - Financiamento'!P6+'27 - Financiamento'!P17+'27 - Financiamento'!P28+'27 - Financiamento'!P39</f>
        <v>7081.1278204499995</v>
      </c>
      <c r="Q22" s="569">
        <f>'27 - Financiamento'!Q6+'27 - Financiamento'!Q17+'27 - Financiamento'!Q28+'27 - Financiamento'!Q39</f>
        <v>5900.9398503749999</v>
      </c>
      <c r="R22" s="569">
        <f>'27 - Financiamento'!R6+'27 - Financiamento'!R17+'27 - Financiamento'!R28+'27 - Financiamento'!R39</f>
        <v>4720.7518803000003</v>
      </c>
      <c r="S22" s="569">
        <f>'27 - Financiamento'!S6+'27 - Financiamento'!S17+'27 - Financiamento'!S28+'27 - Financiamento'!S39</f>
        <v>3540.5639102250007</v>
      </c>
      <c r="T22" s="569">
        <f>'27 - Financiamento'!T6+'27 - Financiamento'!T17+'27 - Financiamento'!T28+'27 - Financiamento'!T39</f>
        <v>2360.375940150001</v>
      </c>
      <c r="U22" s="569">
        <f>'27 - Financiamento'!U6+'27 - Financiamento'!U17+'27 - Financiamento'!U28+'27 - Financiamento'!U39</f>
        <v>1180.187970075001</v>
      </c>
      <c r="V22" s="569">
        <f>'27 - Financiamento'!V6+'27 - Financiamento'!V17+'27 - Financiamento'!V28+'27 - Financiamento'!V39</f>
        <v>0</v>
      </c>
      <c r="W22" s="569">
        <f>'27 - Financiamento'!W6+'27 - Financiamento'!W17+'27 - Financiamento'!W28+'27 - Financiamento'!W39</f>
        <v>7937.0866307999995</v>
      </c>
      <c r="X22" s="569">
        <f>'27 - Financiamento'!X6+'27 - Financiamento'!X17+'27 - Financiamento'!X28+'27 - Financiamento'!X39</f>
        <v>15874.173261600001</v>
      </c>
      <c r="Y22" s="569">
        <f>'27 - Financiamento'!Y6+'27 - Financiamento'!Y17+'27 - Financiamento'!Y28+'27 - Financiamento'!Y39</f>
        <v>13889.901603900002</v>
      </c>
      <c r="Z22" s="569">
        <f>'27 - Financiamento'!Z6+'27 - Financiamento'!Z17+'27 - Financiamento'!Z28+'27 - Financiamento'!Z39</f>
        <v>11905.629946200001</v>
      </c>
      <c r="AA22" s="569">
        <f>'27 - Financiamento'!AA6+'27 - Financiamento'!AA17+'27 - Financiamento'!AA28+'27 - Financiamento'!AA39</f>
        <v>9921.3582884999996</v>
      </c>
      <c r="AB22" s="569">
        <f>'27 - Financiamento'!AB6+'27 - Financiamento'!AB17+'27 - Financiamento'!AB28+'27 - Financiamento'!AB39</f>
        <v>7937.0866307999995</v>
      </c>
      <c r="AC22" s="569">
        <f>'27 - Financiamento'!AC6+'27 - Financiamento'!AC17+'27 - Financiamento'!AC28+'27 - Financiamento'!AC39</f>
        <v>5952.8149730999994</v>
      </c>
      <c r="AD22" s="569">
        <f>'27 - Financiamento'!AD6+'27 - Financiamento'!AD17+'27 - Financiamento'!AD28+'27 - Financiamento'!AD39</f>
        <v>3968.5433153999993</v>
      </c>
      <c r="AE22" s="569">
        <f>'27 - Financiamento'!AE6+'27 - Financiamento'!AE17+'27 - Financiamento'!AE28+'27 - Financiamento'!AE39</f>
        <v>1984.2716576999992</v>
      </c>
      <c r="AF22" s="569">
        <f>'27 - Financiamento'!AF6+'27 - Financiamento'!AF17+'27 - Financiamento'!AF28+'27 - Financiamento'!AF39</f>
        <v>0</v>
      </c>
      <c r="AG22" s="569">
        <f>'27 - Financiamento'!AG6+'27 - Financiamento'!AG17+'27 - Financiamento'!AG28+'27 - Financiamento'!AG39</f>
        <v>1616.5509365999999</v>
      </c>
      <c r="AH22" s="569">
        <f>'27 - Financiamento'!AH6+'27 - Financiamento'!AH17+'27 - Financiamento'!AH28+'27 - Financiamento'!AH39</f>
        <v>1212.41320245</v>
      </c>
      <c r="AI22" s="569">
        <f>'27 - Financiamento'!AI6+'27 - Financiamento'!AI17+'27 - Financiamento'!AI28+'27 - Financiamento'!AI39</f>
        <v>808.27546829999994</v>
      </c>
      <c r="AJ22" s="569">
        <f>'27 - Financiamento'!AJ6+'27 - Financiamento'!AJ17+'27 - Financiamento'!AJ28+'27 - Financiamento'!AJ39</f>
        <v>404.13773414999997</v>
      </c>
      <c r="AK22" s="569">
        <f>'27 - Financiamento'!AK6+'27 - Financiamento'!AK17+'27 - Financiamento'!AK28+'27 - Financiamento'!AK39</f>
        <v>0</v>
      </c>
    </row>
    <row r="23" spans="2:37" ht="13.15" customHeight="1" x14ac:dyDescent="0.2">
      <c r="B23" s="35" t="s">
        <v>1454</v>
      </c>
      <c r="C23" s="304">
        <f t="shared" ref="C23:AK23" si="3">SUM(C18:C22)</f>
        <v>11758.036763259508</v>
      </c>
      <c r="D23" s="304">
        <f t="shared" si="3"/>
        <v>20735.034863125118</v>
      </c>
      <c r="E23" s="304">
        <f t="shared" si="3"/>
        <v>23248.884649344269</v>
      </c>
      <c r="F23" s="304">
        <f t="shared" si="3"/>
        <v>22256.277957165486</v>
      </c>
      <c r="G23" s="304">
        <f t="shared" si="3"/>
        <v>24859.966295058483</v>
      </c>
      <c r="H23" s="304">
        <f t="shared" si="3"/>
        <v>23807.371920988789</v>
      </c>
      <c r="I23" s="304">
        <f t="shared" si="3"/>
        <v>26833.634619932334</v>
      </c>
      <c r="J23" s="304">
        <f t="shared" si="3"/>
        <v>25781.903347932453</v>
      </c>
      <c r="K23" s="304">
        <f t="shared" si="3"/>
        <v>29722.007599127057</v>
      </c>
      <c r="L23" s="304">
        <f t="shared" si="3"/>
        <v>29427.749259188815</v>
      </c>
      <c r="M23" s="304">
        <f t="shared" si="3"/>
        <v>40190.348677336369</v>
      </c>
      <c r="N23" s="304">
        <f t="shared" si="3"/>
        <v>46784.289030054191</v>
      </c>
      <c r="O23" s="304">
        <f t="shared" si="3"/>
        <v>51500.231259303073</v>
      </c>
      <c r="P23" s="304">
        <f t="shared" si="3"/>
        <v>52532.871341337013</v>
      </c>
      <c r="Q23" s="304">
        <f t="shared" si="3"/>
        <v>57163.008000620335</v>
      </c>
      <c r="R23" s="304">
        <f t="shared" si="3"/>
        <v>58972.681577811629</v>
      </c>
      <c r="S23" s="304">
        <f t="shared" si="3"/>
        <v>64211.984883621422</v>
      </c>
      <c r="T23" s="304">
        <f t="shared" si="3"/>
        <v>65931.763892184797</v>
      </c>
      <c r="U23" s="304">
        <f t="shared" si="3"/>
        <v>71061.130871162954</v>
      </c>
      <c r="V23" s="304">
        <f t="shared" si="3"/>
        <v>72298.408040054201</v>
      </c>
      <c r="W23" s="304">
        <f t="shared" si="3"/>
        <v>86478.912849441302</v>
      </c>
      <c r="X23" s="304">
        <f t="shared" si="3"/>
        <v>96365.71599452247</v>
      </c>
      <c r="Y23" s="304">
        <f t="shared" si="3"/>
        <v>100941.3449092495</v>
      </c>
      <c r="Z23" s="304">
        <f t="shared" si="3"/>
        <v>100822.91333099984</v>
      </c>
      <c r="AA23" s="304">
        <f t="shared" si="3"/>
        <v>104484.2646270472</v>
      </c>
      <c r="AB23" s="304">
        <f t="shared" si="3"/>
        <v>103304.12557554331</v>
      </c>
      <c r="AC23" s="304">
        <f t="shared" si="3"/>
        <v>105491.04520094623</v>
      </c>
      <c r="AD23" s="304">
        <f t="shared" si="3"/>
        <v>103061.04705388272</v>
      </c>
      <c r="AE23" s="304">
        <f t="shared" si="3"/>
        <v>103292.68130539836</v>
      </c>
      <c r="AF23" s="304">
        <f t="shared" si="3"/>
        <v>99392.122941937268</v>
      </c>
      <c r="AG23" s="304">
        <f t="shared" si="3"/>
        <v>101066.38114498087</v>
      </c>
      <c r="AH23" s="304">
        <f t="shared" si="3"/>
        <v>95518.615835171251</v>
      </c>
      <c r="AI23" s="304">
        <f t="shared" si="3"/>
        <v>91412.093713913273</v>
      </c>
      <c r="AJ23" s="304">
        <f t="shared" si="3"/>
        <v>81221.790890863049</v>
      </c>
      <c r="AK23" s="304">
        <f t="shared" si="3"/>
        <v>72274.311790417603</v>
      </c>
    </row>
    <row r="24" spans="2:37" ht="13.15" customHeight="1" x14ac:dyDescent="0.2">
      <c r="B24" s="152"/>
      <c r="C24" s="569"/>
      <c r="D24" s="569"/>
      <c r="E24" s="569"/>
      <c r="F24" s="569"/>
      <c r="G24" s="569"/>
      <c r="H24" s="569"/>
      <c r="I24" s="569"/>
      <c r="J24" s="569"/>
      <c r="K24" s="569"/>
      <c r="L24" s="569"/>
      <c r="M24" s="569"/>
      <c r="N24" s="569"/>
      <c r="O24" s="569"/>
      <c r="P24" s="569"/>
      <c r="Q24" s="569"/>
      <c r="R24" s="569"/>
      <c r="S24" s="569"/>
      <c r="T24" s="569"/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69"/>
      <c r="AF24" s="569"/>
      <c r="AG24" s="569"/>
      <c r="AH24" s="569"/>
      <c r="AI24" s="569"/>
      <c r="AJ24" s="569"/>
      <c r="AK24" s="569"/>
    </row>
    <row r="25" spans="2:37" ht="13.15" customHeight="1" x14ac:dyDescent="0.2">
      <c r="B25" s="35" t="s">
        <v>1455</v>
      </c>
      <c r="C25" s="569"/>
      <c r="D25" s="569"/>
      <c r="E25" s="569"/>
      <c r="F25" s="569"/>
      <c r="G25" s="569"/>
      <c r="H25" s="569"/>
      <c r="I25" s="569"/>
      <c r="J25" s="569"/>
      <c r="K25" s="569"/>
      <c r="L25" s="569"/>
      <c r="M25" s="569"/>
      <c r="N25" s="569"/>
      <c r="O25" s="569"/>
      <c r="P25" s="569"/>
      <c r="Q25" s="569"/>
      <c r="R25" s="569"/>
      <c r="S25" s="569"/>
      <c r="T25" s="569"/>
      <c r="U25" s="569"/>
      <c r="V25" s="569"/>
      <c r="W25" s="569"/>
      <c r="X25" s="569"/>
      <c r="Y25" s="569"/>
      <c r="Z25" s="569"/>
      <c r="AA25" s="569"/>
      <c r="AB25" s="569"/>
      <c r="AC25" s="569"/>
      <c r="AD25" s="569"/>
      <c r="AE25" s="569"/>
      <c r="AF25" s="569"/>
      <c r="AG25" s="569"/>
      <c r="AH25" s="569"/>
      <c r="AI25" s="569"/>
      <c r="AJ25" s="569"/>
      <c r="AK25" s="569"/>
    </row>
    <row r="26" spans="2:37" ht="13.15" customHeight="1" x14ac:dyDescent="0.2">
      <c r="B26" s="152" t="s">
        <v>1456</v>
      </c>
      <c r="C26" s="569">
        <f>'31 - Fluxo de Caixa'!C27+'31 - Fluxo de Caixa'!C28</f>
        <v>12982.743381242586</v>
      </c>
      <c r="D26" s="569">
        <f>C26+'31 - Fluxo de Caixa'!D27+'31 - Fluxo de Caixa'!D28</f>
        <v>13084.882362909253</v>
      </c>
      <c r="E26" s="569">
        <f>D26+'31 - Fluxo de Caixa'!E27+'31 - Fluxo de Caixa'!E28</f>
        <v>13507.409011242586</v>
      </c>
      <c r="F26" s="569">
        <f>E26+'31 - Fluxo de Caixa'!F27+'31 - Fluxo de Caixa'!F28</f>
        <v>13507.555511242586</v>
      </c>
      <c r="G26" s="569">
        <f>F26+'31 - Fluxo de Caixa'!G27+'31 - Fluxo de Caixa'!G28</f>
        <v>14194.859992909252</v>
      </c>
      <c r="H26" s="569">
        <f>G26+'31 - Fluxo de Caixa'!H27+'31 - Fluxo de Caixa'!H28</f>
        <v>15263.618586242586</v>
      </c>
      <c r="I26" s="569">
        <f>H26+'31 - Fluxo de Caixa'!I27+'31 - Fluxo de Caixa'!I28</f>
        <v>15365.904067909252</v>
      </c>
      <c r="J26" s="569">
        <f>I26+'31 - Fluxo de Caixa'!J27+'31 - Fluxo de Caixa'!J28</f>
        <v>26730.451551242586</v>
      </c>
      <c r="K26" s="569">
        <f>J26+'31 - Fluxo de Caixa'!K27+'31 - Fluxo de Caixa'!K28</f>
        <v>27099.156551242588</v>
      </c>
      <c r="L26" s="569">
        <f>K26+'31 - Fluxo de Caixa'!L27+'31 - Fluxo de Caixa'!L28</f>
        <v>27426.315532909255</v>
      </c>
      <c r="M26" s="569">
        <f>L26+'31 - Fluxo de Caixa'!M27+'31 - Fluxo de Caixa'!M28</f>
        <v>28484.787482242587</v>
      </c>
      <c r="N26" s="569">
        <f>M26+'31 - Fluxo de Caixa'!N27+'31 - Fluxo de Caixa'!N28</f>
        <v>28587.219463909256</v>
      </c>
      <c r="O26" s="569">
        <f>N26+'31 - Fluxo de Caixa'!O27+'31 - Fluxo de Caixa'!O28</f>
        <v>29793.70111224259</v>
      </c>
      <c r="P26" s="569">
        <f>O26+'31 - Fluxo de Caixa'!P27+'31 - Fluxo de Caixa'!P28</f>
        <v>29802.26061224259</v>
      </c>
      <c r="Q26" s="569">
        <f>P26+'31 - Fluxo de Caixa'!Q27+'31 - Fluxo de Caixa'!Q28</f>
        <v>40880.693928909255</v>
      </c>
      <c r="R26" s="569">
        <f>Q26+'31 - Fluxo de Caixa'!R27+'31 - Fluxo de Caixa'!R28</f>
        <v>41525.936022242589</v>
      </c>
      <c r="S26" s="569">
        <f>R26+'31 - Fluxo de Caixa'!S27+'31 - Fluxo de Caixa'!S28</f>
        <v>41996.780003909254</v>
      </c>
      <c r="T26" s="569">
        <f>S26+'31 - Fluxo de Caixa'!T27+'31 - Fluxo de Caixa'!T28</f>
        <v>42427.86615224259</v>
      </c>
      <c r="U26" s="569">
        <f>T26+'31 - Fluxo de Caixa'!U27+'31 - Fluxo de Caixa'!U28</f>
        <v>42428.012652242593</v>
      </c>
      <c r="V26" s="569">
        <f>U26+'31 - Fluxo de Caixa'!V27+'31 - Fluxo de Caixa'!V28</f>
        <v>43162.155133909262</v>
      </c>
      <c r="W26" s="569">
        <f>V26+'31 - Fluxo de Caixa'!W27+'31 - Fluxo de Caixa'!W28</f>
        <v>44589.185583242594</v>
      </c>
      <c r="X26" s="569">
        <f>W26+'31 - Fluxo de Caixa'!X27+'31 - Fluxo de Caixa'!X28</f>
        <v>55459.571399909262</v>
      </c>
      <c r="Y26" s="569">
        <f>X26+'31 - Fluxo de Caixa'!Y27+'31 - Fluxo de Caixa'!Y28</f>
        <v>55882.244548242597</v>
      </c>
      <c r="Z26" s="569">
        <f>Y26+'31 - Fluxo de Caixa'!Z27+'31 - Fluxo de Caixa'!Z28</f>
        <v>55882.537548242595</v>
      </c>
      <c r="AA26" s="569">
        <f>Z26+'31 - Fluxo de Caixa'!AA27+'31 - Fluxo de Caixa'!AA28</f>
        <v>56569.842029909261</v>
      </c>
      <c r="AB26" s="569">
        <f>AA26+'31 - Fluxo de Caixa'!AB27+'31 - Fluxo de Caixa'!AB28</f>
        <v>57223.350623242593</v>
      </c>
      <c r="AC26" s="569">
        <f>AB26+'31 - Fluxo de Caixa'!AC27+'31 - Fluxo de Caixa'!AC28</f>
        <v>57740.739604909257</v>
      </c>
      <c r="AD26" s="569">
        <f>AC26+'31 - Fluxo de Caixa'!AD27+'31 - Fluxo de Caixa'!AD28</f>
        <v>58163.559253242587</v>
      </c>
      <c r="AE26" s="569">
        <f>AD26+'31 - Fluxo de Caixa'!AE27+'31 - Fluxo de Caixa'!AE28</f>
        <v>69291.951588242591</v>
      </c>
      <c r="AF26" s="569">
        <f>AE26+'31 - Fluxo de Caixa'!AF27+'31 - Fluxo de Caixa'!AF28</f>
        <v>69619.110569909259</v>
      </c>
      <c r="AG26" s="569">
        <f>AF26+'31 - Fluxo de Caixa'!AG27+'31 - Fluxo de Caixa'!AG28</f>
        <v>70677.436019242596</v>
      </c>
      <c r="AH26" s="569">
        <f>AG26+'31 - Fluxo de Caixa'!AH27+'31 - Fluxo de Caixa'!AH28</f>
        <v>70779.868000909264</v>
      </c>
      <c r="AI26" s="569">
        <f>AH26+'31 - Fluxo de Caixa'!AI27+'31 - Fluxo de Caixa'!AI28</f>
        <v>71570.953149242603</v>
      </c>
      <c r="AJ26" s="569">
        <f>AI26+'31 - Fluxo de Caixa'!AJ27+'31 - Fluxo de Caixa'!AJ28</f>
        <v>71994.762649242606</v>
      </c>
      <c r="AK26" s="569">
        <f>AJ26+'31 - Fluxo de Caixa'!AK27+'31 - Fluxo de Caixa'!AK28</f>
        <v>72313.36213090927</v>
      </c>
    </row>
    <row r="27" spans="2:37" ht="13.15" customHeight="1" x14ac:dyDescent="0.2">
      <c r="B27" s="152" t="s">
        <v>1457</v>
      </c>
      <c r="C27" s="569">
        <f>-'31 - Fluxo de Caixa'!C36</f>
        <v>181.01728373320898</v>
      </c>
      <c r="D27" s="569">
        <f>C27-'31 - Fluxo de Caixa'!D36</f>
        <v>305.39281813279041</v>
      </c>
      <c r="E27" s="569">
        <f>D27-'31 - Fluxo de Caixa'!E36</f>
        <v>450.06360030941539</v>
      </c>
      <c r="F27" s="569">
        <f>E27-'31 - Fluxo de Caixa'!F36</f>
        <v>642.01967712654232</v>
      </c>
      <c r="G27" s="569">
        <f>F27-'31 - Fluxo de Caixa'!G36</f>
        <v>866.7681206654845</v>
      </c>
      <c r="H27" s="569">
        <f>G27-'31 - Fluxo de Caixa'!H36</f>
        <v>1164.4775889149266</v>
      </c>
      <c r="I27" s="569">
        <f>H27-'31 - Fluxo de Caixa'!I36</f>
        <v>1372.501097636663</v>
      </c>
      <c r="J27" s="569">
        <f>I27-'31 - Fluxo de Caixa'!J36</f>
        <v>1661.3379877544396</v>
      </c>
      <c r="K27" s="569">
        <f>J27-'31 - Fluxo de Caixa'!K36</f>
        <v>1962.8125796850538</v>
      </c>
      <c r="L27" s="569">
        <f>K27-'31 - Fluxo de Caixa'!L36</f>
        <v>2294.1059399902283</v>
      </c>
      <c r="M27" s="569">
        <f>L27-'31 - Fluxo de Caixa'!M36</f>
        <v>2631.178337445102</v>
      </c>
      <c r="N27" s="569">
        <f>M27-'31 - Fluxo de Caixa'!N36</f>
        <v>2948.4040223887164</v>
      </c>
      <c r="O27" s="569">
        <f>N27-'31 - Fluxo de Caixa'!O36</f>
        <v>3321.4306752054936</v>
      </c>
      <c r="P27" s="569">
        <f>O27-'31 - Fluxo de Caixa'!P36</f>
        <v>3613.3719389059765</v>
      </c>
      <c r="Q27" s="569">
        <f>P27-'31 - Fluxo de Caixa'!Q36</f>
        <v>3976.0305293650758</v>
      </c>
      <c r="R27" s="569">
        <f>Q27-'31 - Fluxo de Caixa'!R36</f>
        <v>4342.4949502023537</v>
      </c>
      <c r="S27" s="569">
        <f>R27-'31 - Fluxo de Caixa'!S36</f>
        <v>4715.1616303453966</v>
      </c>
      <c r="T27" s="569">
        <f>S27-'31 - Fluxo de Caixa'!T36</f>
        <v>5094.4564931728873</v>
      </c>
      <c r="U27" s="569">
        <f>T27-'31 - Fluxo de Caixa'!U36</f>
        <v>5462.6188135341208</v>
      </c>
      <c r="V27" s="569">
        <f>U27-'31 - Fluxo de Caixa'!V36</f>
        <v>5870.2814065825951</v>
      </c>
      <c r="W27" s="569">
        <f>V27-'31 - Fluxo de Caixa'!W36</f>
        <v>6141.3808842263197</v>
      </c>
      <c r="X27" s="569">
        <f>W27-'31 - Fluxo de Caixa'!X36</f>
        <v>6403.9746895359194</v>
      </c>
      <c r="Y27" s="569">
        <f>X27-'31 - Fluxo de Caixa'!Y36</f>
        <v>6626.0934662368572</v>
      </c>
      <c r="Z27" s="569">
        <f>Y27-'31 - Fluxo de Caixa'!Z36</f>
        <v>6819.0482954262561</v>
      </c>
      <c r="AA27" s="569">
        <f>Z27-'31 - Fluxo de Caixa'!AA36</f>
        <v>6975.6758461004119</v>
      </c>
      <c r="AB27" s="569">
        <f>AA27-'31 - Fluxo de Caixa'!AB36</f>
        <v>7077.2009443220732</v>
      </c>
      <c r="AC27" s="569">
        <f>AB27-'31 - Fluxo de Caixa'!AC36</f>
        <v>7158.8003190222244</v>
      </c>
      <c r="AD27" s="569">
        <f>AC27-'31 - Fluxo de Caixa'!AD36</f>
        <v>7158.8003190222244</v>
      </c>
      <c r="AE27" s="569">
        <f>AD27-'31 - Fluxo de Caixa'!AE36</f>
        <v>7158.8003190222244</v>
      </c>
      <c r="AF27" s="569">
        <f>AE27-'31 - Fluxo de Caixa'!AF36</f>
        <v>7158.8003190222244</v>
      </c>
      <c r="AG27" s="569">
        <f>AF27-'31 - Fluxo de Caixa'!AG36</f>
        <v>7158.8003190222244</v>
      </c>
      <c r="AH27" s="569">
        <f>AG27-'31 - Fluxo de Caixa'!AH36</f>
        <v>7158.8003190222244</v>
      </c>
      <c r="AI27" s="569">
        <f>AH27-'31 - Fluxo de Caixa'!AI36</f>
        <v>7158.8003190222244</v>
      </c>
      <c r="AJ27" s="569">
        <f>AI27-'31 - Fluxo de Caixa'!AJ36</f>
        <v>7158.8003190222244</v>
      </c>
      <c r="AK27" s="569">
        <f>AJ27-'31 - Fluxo de Caixa'!AK36</f>
        <v>7158.8003190222244</v>
      </c>
    </row>
    <row r="28" spans="2:37" ht="13.15" customHeight="1" x14ac:dyDescent="0.2">
      <c r="B28" s="152" t="s">
        <v>1458</v>
      </c>
      <c r="C28" s="569">
        <f>'30 - Dem. Resultados'!C40+'31 - Fluxo de Caixa'!C36+'31 - Fluxo de Caixa'!C35</f>
        <v>3439.3283909309707</v>
      </c>
      <c r="D28" s="569">
        <f>C28+'30 - Dem. Resultados'!D40+'31 - Fluxo de Caixa'!D36+'31 - Fluxo de Caixa'!D35</f>
        <v>5802.4635445230178</v>
      </c>
      <c r="E28" s="569">
        <f>D28+'30 - Dem. Resultados'!E40+'31 - Fluxo de Caixa'!E36+'31 - Fluxo de Caixa'!E35</f>
        <v>8551.2084058788932</v>
      </c>
      <c r="F28" s="569">
        <f>E28+'30 - Dem. Resultados'!F40+'31 - Fluxo de Caixa'!F36+'31 - Fluxo de Caixa'!F35</f>
        <v>12198.373865404306</v>
      </c>
      <c r="G28" s="569">
        <f>F28+'30 - Dem. Resultados'!G40+'31 - Fluxo de Caixa'!G36+'31 - Fluxo de Caixa'!G35</f>
        <v>16468.594292644208</v>
      </c>
      <c r="H28" s="569">
        <f>G28+'30 - Dem. Resultados'!H40+'31 - Fluxo de Caixa'!H36+'31 - Fluxo de Caixa'!H35</f>
        <v>22125.074189383606</v>
      </c>
      <c r="I28" s="569">
        <f>H28+'30 - Dem. Resultados'!I40+'31 - Fluxo de Caixa'!I36+'31 - Fluxo de Caixa'!I35</f>
        <v>26077.520855096598</v>
      </c>
      <c r="J28" s="569">
        <f>I28+'30 - Dem. Resultados'!J40+'31 - Fluxo de Caixa'!J36+'31 - Fluxo de Caixa'!J35</f>
        <v>31565.421767334356</v>
      </c>
      <c r="K28" s="569">
        <f>J28+'30 - Dem. Resultados'!K40+'31 - Fluxo de Caixa'!K36+'31 - Fluxo de Caixa'!K35</f>
        <v>37293.439014016025</v>
      </c>
      <c r="L28" s="569">
        <f>K28+'30 - Dem. Resultados'!L40+'31 - Fluxo de Caixa'!L36+'31 - Fluxo de Caixa'!L35</f>
        <v>43588.012859814342</v>
      </c>
      <c r="M28" s="569">
        <f>L28+'30 - Dem. Resultados'!M40+'31 - Fluxo de Caixa'!M36+'31 - Fluxo de Caixa'!M35</f>
        <v>55532.010753757597</v>
      </c>
      <c r="N28" s="569">
        <f>M28+'30 - Dem. Resultados'!N40+'31 - Fluxo de Caixa'!N36+'31 - Fluxo de Caixa'!N35</f>
        <v>53177.097996899916</v>
      </c>
      <c r="O28" s="569">
        <f>N28+'30 - Dem. Resultados'!O40+'31 - Fluxo de Caixa'!O36+'31 - Fluxo de Caixa'!O35</f>
        <v>57887.592739121028</v>
      </c>
      <c r="P28" s="569">
        <f>O28+'30 - Dem. Resultados'!P40+'31 - Fluxo de Caixa'!P36+'31 - Fluxo de Caixa'!P35</f>
        <v>61177.352203941635</v>
      </c>
      <c r="Q28" s="569">
        <f>P28+'30 - Dem. Resultados'!Q40+'31 - Fluxo de Caixa'!Q36+'31 - Fluxo de Caixa'!Q35</f>
        <v>74992.401250876777</v>
      </c>
      <c r="R28" s="569">
        <f>Q28+'30 - Dem. Resultados'!R40+'31 - Fluxo de Caixa'!R36+'31 - Fluxo de Caixa'!R35</f>
        <v>78843.456823162967</v>
      </c>
      <c r="S28" s="569">
        <f>R28+'30 - Dem. Resultados'!S40+'31 - Fluxo de Caixa'!S36+'31 - Fluxo de Caixa'!S35</f>
        <v>83120.466433199836</v>
      </c>
      <c r="T28" s="569">
        <f>S28+'30 - Dem. Resultados'!T40+'31 - Fluxo de Caixa'!T36+'31 - Fluxo de Caixa'!T35</f>
        <v>86556.206457058477</v>
      </c>
      <c r="U28" s="569">
        <f>T28+'30 - Dem. Resultados'!U40+'31 - Fluxo de Caixa'!U36+'31 - Fluxo de Caixa'!U35</f>
        <v>90024.045196411535</v>
      </c>
      <c r="V28" s="569">
        <f>U28+'30 - Dem. Resultados'!V40+'31 - Fluxo de Caixa'!V36+'31 - Fluxo de Caixa'!V35</f>
        <v>93474.209816980903</v>
      </c>
      <c r="W28" s="569">
        <f>V28+'30 - Dem. Resultados'!W40+'31 - Fluxo de Caixa'!W36+'31 - Fluxo de Caixa'!W35</f>
        <v>88176.429827437212</v>
      </c>
      <c r="X28" s="569">
        <f>W28+'30 - Dem. Resultados'!X40+'31 - Fluxo de Caixa'!X36+'31 - Fluxo de Caixa'!X35</f>
        <v>90474.750822441012</v>
      </c>
      <c r="Y28" s="569">
        <f>X28+'30 - Dem. Resultados'!Y40+'31 - Fluxo de Caixa'!Y36+'31 - Fluxo de Caixa'!Y35</f>
        <v>92598.829420204915</v>
      </c>
      <c r="Z28" s="569">
        <f>Y28+'30 - Dem. Resultados'!Z40+'31 - Fluxo de Caixa'!Z36+'31 - Fluxo de Caixa'!Z35</f>
        <v>93727.316225284245</v>
      </c>
      <c r="AA28" s="569">
        <f>Z28+'30 - Dem. Resultados'!AA40+'31 - Fluxo de Caixa'!AA36+'31 - Fluxo de Caixa'!AA35</f>
        <v>94300.182737617492</v>
      </c>
      <c r="AB28" s="569">
        <f>AA28+'30 - Dem. Resultados'!AB40+'31 - Fluxo de Caixa'!AB36+'31 - Fluxo de Caixa'!AB35</f>
        <v>93779.020731837474</v>
      </c>
      <c r="AC28" s="569">
        <f>AB28+'30 - Dem. Resultados'!AC40+'31 - Fluxo de Caixa'!AC36+'31 - Fluxo de Caixa'!AC35</f>
        <v>91777.131857464439</v>
      </c>
      <c r="AD28" s="569">
        <f>AC28+'30 - Dem. Resultados'!AD40+'31 - Fluxo de Caixa'!AD36+'31 - Fluxo de Caixa'!AD35</f>
        <v>87671.156895396824</v>
      </c>
      <c r="AE28" s="569">
        <f>AD28+'30 - Dem. Resultados'!AE40+'31 - Fluxo de Caixa'!AE36+'31 - Fluxo de Caixa'!AE35</f>
        <v>89687.706271291419</v>
      </c>
      <c r="AF28" s="569">
        <f>AE28+'30 - Dem. Resultados'!AF40+'31 - Fluxo de Caixa'!AF36+'31 - Fluxo de Caixa'!AF35</f>
        <v>78894.219987016244</v>
      </c>
      <c r="AG28" s="569">
        <f>AF28+'30 - Dem. Resultados'!AG40+'31 - Fluxo de Caixa'!AG36+'31 - Fluxo de Caixa'!AG35</f>
        <v>62520.315213857175</v>
      </c>
      <c r="AH28" s="569">
        <f>AG28+'30 - Dem. Resultados'!AH40+'31 - Fluxo de Caixa'!AH36+'31 - Fluxo de Caixa'!AH35</f>
        <v>43169.862780440832</v>
      </c>
      <c r="AI28" s="569">
        <f>AH28+'30 - Dem. Resultados'!AI40+'31 - Fluxo de Caixa'!AI36+'31 - Fluxo de Caixa'!AI35</f>
        <v>20613.244388287785</v>
      </c>
      <c r="AJ28" s="569">
        <f>AI28+'30 - Dem. Resultados'!AJ40+'31 - Fluxo de Caixa'!AJ36+'31 - Fluxo de Caixa'!AJ35</f>
        <v>-7720.0641236321135</v>
      </c>
      <c r="AK28" s="569">
        <f>AJ28+'30 - Dem. Resultados'!AK40+'31 - Fluxo de Caixa'!AK36+'31 - Fluxo de Caixa'!AK35</f>
        <v>-42047.311339030945</v>
      </c>
    </row>
    <row r="29" spans="2:37" ht="13.15" customHeight="1" x14ac:dyDescent="0.2">
      <c r="B29" s="35" t="s">
        <v>1459</v>
      </c>
      <c r="C29" s="307">
        <f>SUM(C26:C28)</f>
        <v>16603.089055906767</v>
      </c>
      <c r="D29" s="307">
        <f t="shared" ref="D29:AJ29" si="4">SUM(D26:D28)</f>
        <v>19192.738725565061</v>
      </c>
      <c r="E29" s="307">
        <f t="shared" si="4"/>
        <v>22508.681017430892</v>
      </c>
      <c r="F29" s="307">
        <f t="shared" si="4"/>
        <v>26347.949053773435</v>
      </c>
      <c r="G29" s="307">
        <f t="shared" si="4"/>
        <v>31530.222406218945</v>
      </c>
      <c r="H29" s="307">
        <f t="shared" si="4"/>
        <v>38553.170364541118</v>
      </c>
      <c r="I29" s="307">
        <f t="shared" si="4"/>
        <v>42815.92602064251</v>
      </c>
      <c r="J29" s="307">
        <f t="shared" si="4"/>
        <v>59957.211306331381</v>
      </c>
      <c r="K29" s="307">
        <f t="shared" si="4"/>
        <v>66355.408144943664</v>
      </c>
      <c r="L29" s="307">
        <f t="shared" si="4"/>
        <v>73308.434332713834</v>
      </c>
      <c r="M29" s="307">
        <f t="shared" si="4"/>
        <v>86647.976573445281</v>
      </c>
      <c r="N29" s="307">
        <f t="shared" si="4"/>
        <v>84712.721483197893</v>
      </c>
      <c r="O29" s="307">
        <f t="shared" si="4"/>
        <v>91002.724526569102</v>
      </c>
      <c r="P29" s="307">
        <f t="shared" si="4"/>
        <v>94592.984755090205</v>
      </c>
      <c r="Q29" s="307">
        <f t="shared" si="4"/>
        <v>119849.12570915111</v>
      </c>
      <c r="R29" s="307">
        <f t="shared" si="4"/>
        <v>124711.88779560791</v>
      </c>
      <c r="S29" s="307">
        <f t="shared" si="4"/>
        <v>129832.4080674545</v>
      </c>
      <c r="T29" s="307">
        <f t="shared" si="4"/>
        <v>134078.52910247396</v>
      </c>
      <c r="U29" s="307">
        <f t="shared" si="4"/>
        <v>137914.67666218826</v>
      </c>
      <c r="V29" s="307">
        <f t="shared" si="4"/>
        <v>142506.64635747275</v>
      </c>
      <c r="W29" s="307">
        <f t="shared" si="4"/>
        <v>138906.99629490613</v>
      </c>
      <c r="X29" s="307">
        <f t="shared" si="4"/>
        <v>152338.29691188619</v>
      </c>
      <c r="Y29" s="307">
        <f t="shared" si="4"/>
        <v>155107.16743468438</v>
      </c>
      <c r="Z29" s="307">
        <f t="shared" si="4"/>
        <v>156428.90206895309</v>
      </c>
      <c r="AA29" s="307">
        <f t="shared" si="4"/>
        <v>157845.70061362715</v>
      </c>
      <c r="AB29" s="307">
        <f t="shared" si="4"/>
        <v>158079.57229940215</v>
      </c>
      <c r="AC29" s="307">
        <f t="shared" si="4"/>
        <v>156676.67178139591</v>
      </c>
      <c r="AD29" s="307">
        <f t="shared" si="4"/>
        <v>152993.51646766163</v>
      </c>
      <c r="AE29" s="307">
        <f t="shared" si="4"/>
        <v>166138.45817855623</v>
      </c>
      <c r="AF29" s="307">
        <f t="shared" si="4"/>
        <v>155672.13087594771</v>
      </c>
      <c r="AG29" s="307">
        <f t="shared" si="4"/>
        <v>140356.55155212199</v>
      </c>
      <c r="AH29" s="307">
        <f t="shared" si="4"/>
        <v>121108.53110037232</v>
      </c>
      <c r="AI29" s="307">
        <f t="shared" si="4"/>
        <v>99342.997856552611</v>
      </c>
      <c r="AJ29" s="307">
        <f t="shared" si="4"/>
        <v>71433.498844632719</v>
      </c>
      <c r="AK29" s="307">
        <f>SUM(AK26:AK28)</f>
        <v>37424.851110900549</v>
      </c>
    </row>
    <row r="30" spans="2:37" ht="13.15" customHeight="1" x14ac:dyDescent="0.2">
      <c r="B30" s="152"/>
      <c r="C30" s="570"/>
      <c r="D30" s="570"/>
      <c r="E30" s="570"/>
      <c r="F30" s="570"/>
      <c r="G30" s="570"/>
      <c r="H30" s="570"/>
      <c r="I30" s="570"/>
      <c r="J30" s="570"/>
      <c r="K30" s="570"/>
      <c r="L30" s="570"/>
      <c r="M30" s="570"/>
      <c r="N30" s="570"/>
      <c r="O30" s="570"/>
      <c r="P30" s="570"/>
      <c r="Q30" s="570"/>
      <c r="R30" s="570"/>
      <c r="S30" s="570"/>
      <c r="T30" s="570"/>
      <c r="U30" s="570"/>
      <c r="V30" s="570"/>
      <c r="W30" s="570"/>
      <c r="X30" s="570"/>
      <c r="Y30" s="570"/>
      <c r="Z30" s="570"/>
      <c r="AA30" s="570"/>
      <c r="AB30" s="570"/>
      <c r="AC30" s="570"/>
      <c r="AD30" s="570"/>
      <c r="AE30" s="570"/>
      <c r="AF30" s="570"/>
      <c r="AG30" s="570"/>
      <c r="AH30" s="570"/>
      <c r="AI30" s="570"/>
      <c r="AJ30" s="570"/>
      <c r="AK30" s="570"/>
    </row>
    <row r="31" spans="2:37" ht="13.15" customHeight="1" x14ac:dyDescent="0.2">
      <c r="B31" s="305" t="s">
        <v>1460</v>
      </c>
      <c r="C31" s="306">
        <f>SUM(C23,C29)</f>
        <v>28361.125819166275</v>
      </c>
      <c r="D31" s="306">
        <f t="shared" ref="D31:AK31" si="5">SUM(D23,D29)</f>
        <v>39927.773588690179</v>
      </c>
      <c r="E31" s="306">
        <f t="shared" si="5"/>
        <v>45757.565666775161</v>
      </c>
      <c r="F31" s="306">
        <f t="shared" si="5"/>
        <v>48604.227010938921</v>
      </c>
      <c r="G31" s="306">
        <f t="shared" si="5"/>
        <v>56390.188701277424</v>
      </c>
      <c r="H31" s="306">
        <f t="shared" si="5"/>
        <v>62360.542285529911</v>
      </c>
      <c r="I31" s="306">
        <f t="shared" si="5"/>
        <v>69649.56064057484</v>
      </c>
      <c r="J31" s="306">
        <f t="shared" si="5"/>
        <v>85739.114654263831</v>
      </c>
      <c r="K31" s="306">
        <f t="shared" si="5"/>
        <v>96077.41574407072</v>
      </c>
      <c r="L31" s="306">
        <f t="shared" si="5"/>
        <v>102736.18359190265</v>
      </c>
      <c r="M31" s="306">
        <f t="shared" si="5"/>
        <v>126838.32525078165</v>
      </c>
      <c r="N31" s="306">
        <f t="shared" si="5"/>
        <v>131497.01051325208</v>
      </c>
      <c r="O31" s="306">
        <f t="shared" si="5"/>
        <v>142502.95578587218</v>
      </c>
      <c r="P31" s="306">
        <f t="shared" si="5"/>
        <v>147125.85609642722</v>
      </c>
      <c r="Q31" s="306">
        <f t="shared" si="5"/>
        <v>177012.13370977144</v>
      </c>
      <c r="R31" s="306">
        <f t="shared" si="5"/>
        <v>183684.56937341954</v>
      </c>
      <c r="S31" s="306">
        <f t="shared" si="5"/>
        <v>194044.39295107592</v>
      </c>
      <c r="T31" s="306">
        <f t="shared" si="5"/>
        <v>200010.29299465875</v>
      </c>
      <c r="U31" s="306">
        <f t="shared" si="5"/>
        <v>208975.80753335121</v>
      </c>
      <c r="V31" s="306">
        <f t="shared" si="5"/>
        <v>214805.05439752695</v>
      </c>
      <c r="W31" s="306">
        <f t="shared" si="5"/>
        <v>225385.90914434742</v>
      </c>
      <c r="X31" s="306">
        <f t="shared" si="5"/>
        <v>248704.01290640867</v>
      </c>
      <c r="Y31" s="306">
        <f t="shared" si="5"/>
        <v>256048.51234393386</v>
      </c>
      <c r="Z31" s="306">
        <f t="shared" si="5"/>
        <v>257251.81539995293</v>
      </c>
      <c r="AA31" s="306">
        <f t="shared" si="5"/>
        <v>262329.96524067433</v>
      </c>
      <c r="AB31" s="306">
        <f t="shared" si="5"/>
        <v>261383.69787494547</v>
      </c>
      <c r="AC31" s="306">
        <f t="shared" si="5"/>
        <v>262167.71698234213</v>
      </c>
      <c r="AD31" s="306">
        <f t="shared" si="5"/>
        <v>256054.56352154433</v>
      </c>
      <c r="AE31" s="306">
        <f t="shared" si="5"/>
        <v>269431.13948395458</v>
      </c>
      <c r="AF31" s="306">
        <f t="shared" si="5"/>
        <v>255064.25381788498</v>
      </c>
      <c r="AG31" s="306">
        <f t="shared" si="5"/>
        <v>241422.93269710286</v>
      </c>
      <c r="AH31" s="306">
        <f t="shared" si="5"/>
        <v>216627.14693554357</v>
      </c>
      <c r="AI31" s="306">
        <f t="shared" si="5"/>
        <v>190755.09157046588</v>
      </c>
      <c r="AJ31" s="306">
        <f t="shared" si="5"/>
        <v>152655.28973549575</v>
      </c>
      <c r="AK31" s="306">
        <f t="shared" si="5"/>
        <v>109699.16290131815</v>
      </c>
    </row>
    <row r="33" spans="2:37" ht="13.15" customHeight="1" x14ac:dyDescent="0.2">
      <c r="B33" s="308" t="s">
        <v>1461</v>
      </c>
      <c r="C33" s="570">
        <f t="shared" ref="C33:AK33" si="6">ROUND(C15-C31,2)</f>
        <v>0</v>
      </c>
      <c r="D33" s="570">
        <f t="shared" si="6"/>
        <v>0</v>
      </c>
      <c r="E33" s="570">
        <f t="shared" si="6"/>
        <v>0</v>
      </c>
      <c r="F33" s="570">
        <f t="shared" si="6"/>
        <v>0</v>
      </c>
      <c r="G33" s="570">
        <f t="shared" si="6"/>
        <v>0</v>
      </c>
      <c r="H33" s="570">
        <f t="shared" si="6"/>
        <v>0</v>
      </c>
      <c r="I33" s="570">
        <f t="shared" si="6"/>
        <v>0</v>
      </c>
      <c r="J33" s="570">
        <f t="shared" si="6"/>
        <v>0</v>
      </c>
      <c r="K33" s="570">
        <f t="shared" si="6"/>
        <v>0</v>
      </c>
      <c r="L33" s="570">
        <f t="shared" si="6"/>
        <v>0</v>
      </c>
      <c r="M33" s="570">
        <f t="shared" si="6"/>
        <v>0</v>
      </c>
      <c r="N33" s="570">
        <f t="shared" si="6"/>
        <v>0</v>
      </c>
      <c r="O33" s="570">
        <f t="shared" si="6"/>
        <v>0</v>
      </c>
      <c r="P33" s="570">
        <f t="shared" si="6"/>
        <v>0</v>
      </c>
      <c r="Q33" s="570">
        <f t="shared" si="6"/>
        <v>0</v>
      </c>
      <c r="R33" s="570">
        <f t="shared" si="6"/>
        <v>0</v>
      </c>
      <c r="S33" s="570">
        <f t="shared" si="6"/>
        <v>0</v>
      </c>
      <c r="T33" s="570">
        <f t="shared" si="6"/>
        <v>0</v>
      </c>
      <c r="U33" s="570">
        <f t="shared" si="6"/>
        <v>0</v>
      </c>
      <c r="V33" s="570">
        <f t="shared" si="6"/>
        <v>0</v>
      </c>
      <c r="W33" s="570">
        <f t="shared" si="6"/>
        <v>0</v>
      </c>
      <c r="X33" s="570">
        <f t="shared" si="6"/>
        <v>0</v>
      </c>
      <c r="Y33" s="570">
        <f t="shared" si="6"/>
        <v>0</v>
      </c>
      <c r="Z33" s="570">
        <f t="shared" si="6"/>
        <v>0</v>
      </c>
      <c r="AA33" s="570">
        <f t="shared" si="6"/>
        <v>0</v>
      </c>
      <c r="AB33" s="570">
        <f t="shared" si="6"/>
        <v>0</v>
      </c>
      <c r="AC33" s="570">
        <f t="shared" si="6"/>
        <v>0</v>
      </c>
      <c r="AD33" s="570">
        <f t="shared" si="6"/>
        <v>0</v>
      </c>
      <c r="AE33" s="570">
        <f t="shared" si="6"/>
        <v>0</v>
      </c>
      <c r="AF33" s="570">
        <f t="shared" si="6"/>
        <v>0</v>
      </c>
      <c r="AG33" s="570">
        <f t="shared" si="6"/>
        <v>0</v>
      </c>
      <c r="AH33" s="570">
        <f t="shared" si="6"/>
        <v>0</v>
      </c>
      <c r="AI33" s="570">
        <f t="shared" si="6"/>
        <v>0</v>
      </c>
      <c r="AJ33" s="570">
        <f t="shared" si="6"/>
        <v>0</v>
      </c>
      <c r="AK33" s="570">
        <f t="shared" si="6"/>
        <v>0</v>
      </c>
    </row>
    <row r="35" spans="2:37" ht="13.15" customHeight="1" x14ac:dyDescent="0.2">
      <c r="B35" s="403"/>
      <c r="C35" s="571"/>
      <c r="D35" s="403"/>
      <c r="E35" s="403"/>
      <c r="F35" s="403"/>
      <c r="G35" s="403"/>
      <c r="H35" s="403"/>
      <c r="I35" s="403"/>
      <c r="J35" s="403"/>
      <c r="K35" s="403"/>
      <c r="L35" s="403"/>
      <c r="M35" s="403"/>
      <c r="N35" s="403"/>
      <c r="O35" s="403"/>
      <c r="P35" s="403"/>
      <c r="Q35" s="403"/>
      <c r="R35" s="403"/>
      <c r="S35" s="403"/>
      <c r="T35" s="403"/>
      <c r="U35" s="403"/>
      <c r="V35" s="403"/>
      <c r="W35" s="403"/>
      <c r="X35" s="403"/>
      <c r="Y35" s="403"/>
      <c r="Z35" s="403"/>
      <c r="AA35" s="403"/>
      <c r="AB35" s="403"/>
      <c r="AC35" s="403"/>
      <c r="AD35" s="403"/>
      <c r="AE35" s="403"/>
      <c r="AF35" s="403"/>
      <c r="AG35" s="403"/>
      <c r="AH35" s="403"/>
      <c r="AI35" s="403"/>
      <c r="AJ35" s="403"/>
      <c r="AK35" s="403"/>
    </row>
    <row r="41" spans="2:37" ht="13.15" customHeight="1" x14ac:dyDescent="0.2">
      <c r="B41" s="403" t="s">
        <v>1462</v>
      </c>
      <c r="C41" s="411">
        <v>30</v>
      </c>
      <c r="D41" s="403"/>
      <c r="E41" s="403"/>
      <c r="F41" s="403"/>
      <c r="G41" s="403"/>
      <c r="H41" s="403"/>
      <c r="I41" s="403"/>
      <c r="J41" s="403"/>
      <c r="K41" s="403"/>
      <c r="L41" s="403"/>
      <c r="M41" s="403"/>
      <c r="N41" s="403"/>
      <c r="O41" s="403"/>
      <c r="P41" s="403"/>
      <c r="Q41" s="403"/>
      <c r="R41" s="403"/>
      <c r="S41" s="403"/>
      <c r="T41" s="403"/>
      <c r="U41" s="403"/>
      <c r="V41" s="403"/>
      <c r="W41" s="403"/>
      <c r="X41" s="403"/>
      <c r="Y41" s="403"/>
      <c r="Z41" s="403"/>
      <c r="AA41" s="403"/>
      <c r="AB41" s="403"/>
      <c r="AC41" s="403"/>
      <c r="AD41" s="403"/>
      <c r="AE41" s="403"/>
      <c r="AF41" s="403"/>
      <c r="AG41" s="403"/>
      <c r="AH41" s="403"/>
      <c r="AI41" s="403"/>
      <c r="AJ41" s="403"/>
      <c r="AK41" s="403"/>
    </row>
    <row r="42" spans="2:37" ht="13.15" customHeight="1" x14ac:dyDescent="0.2">
      <c r="B42" s="403" t="s">
        <v>1463</v>
      </c>
      <c r="C42" s="411">
        <v>30</v>
      </c>
      <c r="D42" s="403"/>
      <c r="E42" s="403"/>
      <c r="F42" s="403"/>
      <c r="G42" s="403"/>
      <c r="H42" s="403"/>
      <c r="I42" s="403"/>
      <c r="J42" s="403"/>
      <c r="K42" s="403"/>
      <c r="L42" s="403"/>
      <c r="M42" s="403"/>
      <c r="N42" s="403"/>
      <c r="O42" s="403"/>
      <c r="P42" s="403"/>
      <c r="Q42" s="403"/>
      <c r="R42" s="403"/>
      <c r="S42" s="403"/>
      <c r="T42" s="403"/>
      <c r="U42" s="403"/>
      <c r="V42" s="403"/>
      <c r="W42" s="403"/>
      <c r="X42" s="403"/>
      <c r="Y42" s="403"/>
      <c r="Z42" s="403"/>
      <c r="AA42" s="403"/>
      <c r="AB42" s="403"/>
      <c r="AC42" s="403"/>
      <c r="AD42" s="403"/>
      <c r="AE42" s="403"/>
      <c r="AF42" s="403"/>
      <c r="AG42" s="403"/>
      <c r="AH42" s="403"/>
      <c r="AI42" s="403"/>
      <c r="AJ42" s="403"/>
      <c r="AK42" s="403"/>
    </row>
  </sheetData>
  <pageMargins left="0.7" right="0.7" top="0.75" bottom="0.75" header="0.3" footer="0.3"/>
  <pageSetup paperSize="9" scale="3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Planilha31"/>
  <dimension ref="A2:AK40"/>
  <sheetViews>
    <sheetView showGridLines="0" topLeftCell="G1" zoomScale="85" zoomScaleNormal="85" workbookViewId="0">
      <selection activeCell="B4" sqref="B4"/>
    </sheetView>
  </sheetViews>
  <sheetFormatPr defaultColWidth="9.28515625" defaultRowHeight="13.15" customHeight="1" outlineLevelRow="1" x14ac:dyDescent="0.2"/>
  <cols>
    <col min="1" max="1" width="60.28515625" style="227" customWidth="1"/>
    <col min="2" max="2" width="14.28515625" style="158" bestFit="1" customWidth="1"/>
    <col min="3" max="37" width="13.28515625" style="158" bestFit="1" customWidth="1"/>
    <col min="38" max="16384" width="9.28515625" style="158"/>
  </cols>
  <sheetData>
    <row r="2" spans="1:37" s="8" customFormat="1" ht="13.15" customHeight="1" x14ac:dyDescent="0.2">
      <c r="A2" s="230" t="s">
        <v>1131</v>
      </c>
      <c r="B2" s="213" t="s">
        <v>71</v>
      </c>
      <c r="C2" s="213" t="s">
        <v>775</v>
      </c>
      <c r="D2" s="213" t="s">
        <v>776</v>
      </c>
      <c r="E2" s="213" t="s">
        <v>777</v>
      </c>
      <c r="F2" s="213" t="s">
        <v>778</v>
      </c>
      <c r="G2" s="213" t="s">
        <v>779</v>
      </c>
      <c r="H2" s="213" t="s">
        <v>780</v>
      </c>
      <c r="I2" s="213" t="s">
        <v>781</v>
      </c>
      <c r="J2" s="213" t="s">
        <v>782</v>
      </c>
      <c r="K2" s="213" t="s">
        <v>783</v>
      </c>
      <c r="L2" s="213" t="s">
        <v>717</v>
      </c>
      <c r="M2" s="213" t="s">
        <v>718</v>
      </c>
      <c r="N2" s="213" t="s">
        <v>719</v>
      </c>
      <c r="O2" s="213" t="s">
        <v>720</v>
      </c>
      <c r="P2" s="213" t="s">
        <v>721</v>
      </c>
      <c r="Q2" s="213" t="s">
        <v>722</v>
      </c>
      <c r="R2" s="213" t="s">
        <v>723</v>
      </c>
      <c r="S2" s="213" t="s">
        <v>724</v>
      </c>
      <c r="T2" s="213" t="s">
        <v>725</v>
      </c>
      <c r="U2" s="213" t="s">
        <v>726</v>
      </c>
      <c r="V2" s="213" t="s">
        <v>727</v>
      </c>
      <c r="W2" s="213" t="s">
        <v>728</v>
      </c>
      <c r="X2" s="213" t="s">
        <v>729</v>
      </c>
      <c r="Y2" s="213" t="s">
        <v>730</v>
      </c>
      <c r="Z2" s="213" t="s">
        <v>731</v>
      </c>
      <c r="AA2" s="213" t="s">
        <v>732</v>
      </c>
      <c r="AB2" s="213" t="s">
        <v>733</v>
      </c>
      <c r="AC2" s="213" t="s">
        <v>734</v>
      </c>
      <c r="AD2" s="213" t="s">
        <v>735</v>
      </c>
      <c r="AE2" s="213" t="s">
        <v>736</v>
      </c>
      <c r="AF2" s="213" t="s">
        <v>737</v>
      </c>
      <c r="AG2" s="213" t="s">
        <v>738</v>
      </c>
      <c r="AH2" s="213" t="s">
        <v>739</v>
      </c>
      <c r="AI2" s="213" t="s">
        <v>740</v>
      </c>
      <c r="AJ2" s="213" t="s">
        <v>741</v>
      </c>
      <c r="AK2" s="213" t="s">
        <v>742</v>
      </c>
    </row>
    <row r="3" spans="1:37" s="8" customFormat="1" ht="13.15" customHeight="1" x14ac:dyDescent="0.2">
      <c r="A3" s="228" t="s">
        <v>1464</v>
      </c>
      <c r="B3" s="232">
        <f>SUM(C3:AK3)</f>
        <v>1954932.58100437</v>
      </c>
      <c r="C3" s="232">
        <f>SUM(C4:C5)</f>
        <v>50495.1890919871</v>
      </c>
      <c r="D3" s="232">
        <f t="shared" ref="D3:AK3" si="0">SUM(D4:D5)</f>
        <v>51035.903854764008</v>
      </c>
      <c r="E3" s="232">
        <f t="shared" si="0"/>
        <v>51576.618617540909</v>
      </c>
      <c r="F3" s="232">
        <f t="shared" si="0"/>
        <v>52116.850167839897</v>
      </c>
      <c r="G3" s="232">
        <f t="shared" si="0"/>
        <v>52657.564930616805</v>
      </c>
      <c r="H3" s="232">
        <f t="shared" si="0"/>
        <v>53198.279693393692</v>
      </c>
      <c r="I3" s="232">
        <f t="shared" si="0"/>
        <v>53601.27889996735</v>
      </c>
      <c r="J3" s="232">
        <f t="shared" si="0"/>
        <v>54004.278106541024</v>
      </c>
      <c r="K3" s="232">
        <f t="shared" si="0"/>
        <v>54407.277313114675</v>
      </c>
      <c r="L3" s="232">
        <f t="shared" si="0"/>
        <v>54810.276519688348</v>
      </c>
      <c r="M3" s="232">
        <f t="shared" si="0"/>
        <v>55213.275726262</v>
      </c>
      <c r="N3" s="232">
        <f t="shared" si="0"/>
        <v>55502.23678804985</v>
      </c>
      <c r="O3" s="232">
        <f t="shared" si="0"/>
        <v>55791.197849837685</v>
      </c>
      <c r="P3" s="232">
        <f t="shared" si="0"/>
        <v>56080.15891162552</v>
      </c>
      <c r="Q3" s="232">
        <f t="shared" si="0"/>
        <v>56369.119973413362</v>
      </c>
      <c r="R3" s="232">
        <f t="shared" si="0"/>
        <v>56658.08103520119</v>
      </c>
      <c r="S3" s="232">
        <f t="shared" si="0"/>
        <v>56826.238977512505</v>
      </c>
      <c r="T3" s="232">
        <f t="shared" si="0"/>
        <v>56994.396919823812</v>
      </c>
      <c r="U3" s="232">
        <f t="shared" si="0"/>
        <v>57163.038074613047</v>
      </c>
      <c r="V3" s="232">
        <f t="shared" si="0"/>
        <v>57331.196016924354</v>
      </c>
      <c r="W3" s="232">
        <f t="shared" si="0"/>
        <v>57499.353959235676</v>
      </c>
      <c r="X3" s="232">
        <f t="shared" si="0"/>
        <v>57560.238731451827</v>
      </c>
      <c r="Y3" s="232">
        <f t="shared" si="0"/>
        <v>57621.123503667994</v>
      </c>
      <c r="Z3" s="232">
        <f t="shared" si="0"/>
        <v>57682.00827588416</v>
      </c>
      <c r="AA3" s="232">
        <f t="shared" si="0"/>
        <v>57742.893048100341</v>
      </c>
      <c r="AB3" s="232">
        <f t="shared" si="0"/>
        <v>57803.294607838594</v>
      </c>
      <c r="AC3" s="232">
        <f t="shared" si="0"/>
        <v>57761.738334738679</v>
      </c>
      <c r="AD3" s="232">
        <f t="shared" si="0"/>
        <v>57720.182061638763</v>
      </c>
      <c r="AE3" s="232">
        <f t="shared" si="0"/>
        <v>57678.625788538833</v>
      </c>
      <c r="AF3" s="232">
        <f t="shared" si="0"/>
        <v>57636.58630296099</v>
      </c>
      <c r="AG3" s="232">
        <f t="shared" si="0"/>
        <v>57595.030029861067</v>
      </c>
      <c r="AH3" s="232">
        <f t="shared" si="0"/>
        <v>57437.019549585792</v>
      </c>
      <c r="AI3" s="232">
        <f t="shared" si="0"/>
        <v>57279.009069310487</v>
      </c>
      <c r="AJ3" s="232">
        <f t="shared" si="0"/>
        <v>57120.515376557312</v>
      </c>
      <c r="AK3" s="232">
        <f t="shared" si="0"/>
        <v>56962.504896282022</v>
      </c>
    </row>
    <row r="4" spans="1:37" ht="13.15" customHeight="1" outlineLevel="1" x14ac:dyDescent="0.2">
      <c r="A4" s="562" t="s">
        <v>1465</v>
      </c>
      <c r="B4" s="572">
        <f t="shared" ref="B4:B40" si="1">SUM(C4:AK4)</f>
        <v>546000</v>
      </c>
      <c r="C4" s="572">
        <f>'20 - Contraprestação Prefeitura'!F14</f>
        <v>15600</v>
      </c>
      <c r="D4" s="572">
        <f>'20 - Contraprestação Prefeitura'!G14</f>
        <v>15600</v>
      </c>
      <c r="E4" s="572">
        <f>'20 - Contraprestação Prefeitura'!H14</f>
        <v>15600</v>
      </c>
      <c r="F4" s="572">
        <f>'20 - Contraprestação Prefeitura'!I14</f>
        <v>15600</v>
      </c>
      <c r="G4" s="572">
        <f>'20 - Contraprestação Prefeitura'!J14</f>
        <v>15600</v>
      </c>
      <c r="H4" s="572">
        <f>'20 - Contraprestação Prefeitura'!K14</f>
        <v>15600</v>
      </c>
      <c r="I4" s="572">
        <f>'20 - Contraprestação Prefeitura'!L14</f>
        <v>15600</v>
      </c>
      <c r="J4" s="572">
        <f>'20 - Contraprestação Prefeitura'!M14</f>
        <v>15600</v>
      </c>
      <c r="K4" s="572">
        <f>'20 - Contraprestação Prefeitura'!N14</f>
        <v>15600</v>
      </c>
      <c r="L4" s="572">
        <f>'20 - Contraprestação Prefeitura'!O14</f>
        <v>15600</v>
      </c>
      <c r="M4" s="572">
        <f>'20 - Contraprestação Prefeitura'!P14</f>
        <v>15600</v>
      </c>
      <c r="N4" s="572">
        <f>'20 - Contraprestação Prefeitura'!Q14</f>
        <v>15600</v>
      </c>
      <c r="O4" s="572">
        <f>'20 - Contraprestação Prefeitura'!R14</f>
        <v>15600</v>
      </c>
      <c r="P4" s="572">
        <f>'20 - Contraprestação Prefeitura'!S14</f>
        <v>15600</v>
      </c>
      <c r="Q4" s="572">
        <f>'20 - Contraprestação Prefeitura'!T14</f>
        <v>15600</v>
      </c>
      <c r="R4" s="572">
        <f>'20 - Contraprestação Prefeitura'!U14</f>
        <v>15600</v>
      </c>
      <c r="S4" s="572">
        <f>'20 - Contraprestação Prefeitura'!V14</f>
        <v>15600</v>
      </c>
      <c r="T4" s="572">
        <f>'20 - Contraprestação Prefeitura'!W14</f>
        <v>15600</v>
      </c>
      <c r="U4" s="572">
        <f>'20 - Contraprestação Prefeitura'!X14</f>
        <v>15600</v>
      </c>
      <c r="V4" s="572">
        <f>'20 - Contraprestação Prefeitura'!Y14</f>
        <v>15600</v>
      </c>
      <c r="W4" s="572">
        <f>'20 - Contraprestação Prefeitura'!Z14</f>
        <v>15600</v>
      </c>
      <c r="X4" s="572">
        <f>'20 - Contraprestação Prefeitura'!AA14</f>
        <v>15600</v>
      </c>
      <c r="Y4" s="572">
        <f>'20 - Contraprestação Prefeitura'!AB14</f>
        <v>15600</v>
      </c>
      <c r="Z4" s="572">
        <f>'20 - Contraprestação Prefeitura'!AC14</f>
        <v>15600</v>
      </c>
      <c r="AA4" s="572">
        <f>'20 - Contraprestação Prefeitura'!AD14</f>
        <v>15600</v>
      </c>
      <c r="AB4" s="572">
        <f>'20 - Contraprestação Prefeitura'!AE14</f>
        <v>15600</v>
      </c>
      <c r="AC4" s="572">
        <f>'20 - Contraprestação Prefeitura'!AF14</f>
        <v>15600</v>
      </c>
      <c r="AD4" s="572">
        <f>'20 - Contraprestação Prefeitura'!AG14</f>
        <v>15600</v>
      </c>
      <c r="AE4" s="572">
        <f>'20 - Contraprestação Prefeitura'!AH14</f>
        <v>15600</v>
      </c>
      <c r="AF4" s="572">
        <f>'20 - Contraprestação Prefeitura'!AI14</f>
        <v>15600</v>
      </c>
      <c r="AG4" s="572">
        <f>'20 - Contraprestação Prefeitura'!AJ14</f>
        <v>15600</v>
      </c>
      <c r="AH4" s="572">
        <f>'20 - Contraprestação Prefeitura'!AK14</f>
        <v>15600</v>
      </c>
      <c r="AI4" s="572">
        <f>'20 - Contraprestação Prefeitura'!AL14</f>
        <v>15600</v>
      </c>
      <c r="AJ4" s="572">
        <f>'20 - Contraprestação Prefeitura'!AM14</f>
        <v>15600</v>
      </c>
      <c r="AK4" s="572">
        <f>'20 - Contraprestação Prefeitura'!AN14</f>
        <v>15600</v>
      </c>
    </row>
    <row r="5" spans="1:37" ht="13.15" customHeight="1" outlineLevel="1" x14ac:dyDescent="0.2">
      <c r="A5" s="562" t="s">
        <v>1466</v>
      </c>
      <c r="B5" s="572">
        <f>SUM(C5:AK5)</f>
        <v>1408932.5810043695</v>
      </c>
      <c r="C5" s="572">
        <f>IF('01 - Dados de Entrada'!$C$375=1,'18 - Tarifa - RSU'!D54,IF('01 - Dados de Entrada'!$C$375=2,'18 - Tarifa - RSU'!D57,"ERRO"))</f>
        <v>34895.1890919871</v>
      </c>
      <c r="D5" s="572">
        <f>IF('01 - Dados de Entrada'!$C$375=1,'18 - Tarifa - RSU'!E54,IF('01 - Dados de Entrada'!$C$375=2,'18 - Tarifa - RSU'!E57,"ERRO"))</f>
        <v>35435.903854764008</v>
      </c>
      <c r="E5" s="572">
        <f>IF('01 - Dados de Entrada'!$C$375=1,'18 - Tarifa - RSU'!F54,IF('01 - Dados de Entrada'!$C$375=2,'18 - Tarifa - RSU'!F56,"ERRO"))</f>
        <v>35976.618617540909</v>
      </c>
      <c r="F5" s="572">
        <f>IF('01 - Dados de Entrada'!$C$375=1,'18 - Tarifa - RSU'!G54,IF('01 - Dados de Entrada'!$C$375=2,'18 - Tarifa - RSU'!G57,"ERRO"))</f>
        <v>36516.850167839897</v>
      </c>
      <c r="G5" s="572">
        <f>IF('01 - Dados de Entrada'!$C$375=1,'18 - Tarifa - RSU'!H54,IF('01 - Dados de Entrada'!$C$375=2,'18 - Tarifa - RSU'!H57,"ERRO"))</f>
        <v>37057.564930616805</v>
      </c>
      <c r="H5" s="572">
        <f>IF('01 - Dados de Entrada'!$C$375=1,'18 - Tarifa - RSU'!I54,IF('01 - Dados de Entrada'!$C$375=2,'18 - Tarifa - RSU'!I57,"ERRO"))</f>
        <v>37598.279693393692</v>
      </c>
      <c r="I5" s="572">
        <f>IF('01 - Dados de Entrada'!$C$375=1,'18 - Tarifa - RSU'!J54,IF('01 - Dados de Entrada'!$C$375=2,'18 - Tarifa - RSU'!J57,"ERRO"))</f>
        <v>38001.27889996735</v>
      </c>
      <c r="J5" s="572">
        <f>IF('01 - Dados de Entrada'!$C$375=1,'18 - Tarifa - RSU'!K54,IF('01 - Dados de Entrada'!$C$375=2,'18 - Tarifa - RSU'!K57,"ERRO"))</f>
        <v>38404.278106541024</v>
      </c>
      <c r="K5" s="572">
        <f>IF('01 - Dados de Entrada'!$C$375=1,'18 - Tarifa - RSU'!L54,IF('01 - Dados de Entrada'!$C$375=2,'18 - Tarifa - RSU'!L57,"ERRO"))</f>
        <v>38807.277313114675</v>
      </c>
      <c r="L5" s="572">
        <f>IF('01 - Dados de Entrada'!$C$375=1,'18 - Tarifa - RSU'!M54,IF('01 - Dados de Entrada'!$C$375=2,'18 - Tarifa - RSU'!M57,"ERRO"))</f>
        <v>39210.276519688348</v>
      </c>
      <c r="M5" s="572">
        <f>IF('01 - Dados de Entrada'!$C$375=1,'18 - Tarifa - RSU'!N54,IF('01 - Dados de Entrada'!$C$375=2,'18 - Tarifa - RSU'!N57,"ERRO"))</f>
        <v>39613.275726262</v>
      </c>
      <c r="N5" s="572">
        <f>IF('01 - Dados de Entrada'!$C$375=1,'18 - Tarifa - RSU'!O54,IF('01 - Dados de Entrada'!$C$375=2,'18 - Tarifa - RSU'!O57,"ERRO"))</f>
        <v>39902.23678804985</v>
      </c>
      <c r="O5" s="572">
        <f>IF('01 - Dados de Entrada'!$C$375=1,'18 - Tarifa - RSU'!P54,IF('01 - Dados de Entrada'!$C$375=2,'18 - Tarifa - RSU'!P57,"ERRO"))</f>
        <v>40191.197849837685</v>
      </c>
      <c r="P5" s="572">
        <f>IF('01 - Dados de Entrada'!$C$375=1,'18 - Tarifa - RSU'!Q54,IF('01 - Dados de Entrada'!$C$375=2,'18 - Tarifa - RSU'!Q57,"ERRO"))</f>
        <v>40480.15891162552</v>
      </c>
      <c r="Q5" s="572">
        <f>IF('01 - Dados de Entrada'!$C$375=1,'18 - Tarifa - RSU'!R54,IF('01 - Dados de Entrada'!$C$375=2,'18 - Tarifa - RSU'!R57,"ERRO"))</f>
        <v>40769.119973413362</v>
      </c>
      <c r="R5" s="572">
        <f>IF('01 - Dados de Entrada'!$C$375=1,'18 - Tarifa - RSU'!S54,IF('01 - Dados de Entrada'!$C$375=2,'18 - Tarifa - RSU'!S57,"ERRO"))</f>
        <v>41058.08103520119</v>
      </c>
      <c r="S5" s="572">
        <f>IF('01 - Dados de Entrada'!$C$375=1,'18 - Tarifa - RSU'!T54,IF('01 - Dados de Entrada'!$C$375=2,'18 - Tarifa - RSU'!T57,"ERRO"))</f>
        <v>41226.238977512505</v>
      </c>
      <c r="T5" s="572">
        <f>IF('01 - Dados de Entrada'!$C$375=1,'18 - Tarifa - RSU'!U54,IF('01 - Dados de Entrada'!$C$375=2,'18 - Tarifa - RSU'!U57,"ERRO"))</f>
        <v>41394.396919823812</v>
      </c>
      <c r="U5" s="572">
        <f>IF('01 - Dados de Entrada'!$C$375=1,'18 - Tarifa - RSU'!V54,IF('01 - Dados de Entrada'!$C$375=2,'18 - Tarifa - RSU'!V57,"ERRO"))</f>
        <v>41563.038074613047</v>
      </c>
      <c r="V5" s="572">
        <f>IF('01 - Dados de Entrada'!$C$375=1,'18 - Tarifa - RSU'!W54,IF('01 - Dados de Entrada'!$C$375=2,'18 - Tarifa - RSU'!W57,"ERRO"))</f>
        <v>41731.196016924354</v>
      </c>
      <c r="W5" s="572">
        <f>IF('01 - Dados de Entrada'!$C$375=1,'18 - Tarifa - RSU'!X54,IF('01 - Dados de Entrada'!$C$375=2,'18 - Tarifa - RSU'!X57,"ERRO"))</f>
        <v>41899.353959235676</v>
      </c>
      <c r="X5" s="572">
        <f>IF('01 - Dados de Entrada'!$C$375=1,'18 - Tarifa - RSU'!Y54,IF('01 - Dados de Entrada'!$C$375=2,'18 - Tarifa - RSU'!Y57,"ERRO"))</f>
        <v>41960.238731451827</v>
      </c>
      <c r="Y5" s="572">
        <f>IF('01 - Dados de Entrada'!$C$375=1,'18 - Tarifa - RSU'!Z54,IF('01 - Dados de Entrada'!$C$375=2,'18 - Tarifa - RSU'!Z57,"ERRO"))</f>
        <v>42021.123503667994</v>
      </c>
      <c r="Z5" s="572">
        <f>IF('01 - Dados de Entrada'!$C$375=1,'18 - Tarifa - RSU'!AA54,IF('01 - Dados de Entrada'!$C$375=2,'18 - Tarifa - RSU'!AA57,"ERRO"))</f>
        <v>42082.00827588416</v>
      </c>
      <c r="AA5" s="572">
        <f>IF('01 - Dados de Entrada'!$C$375=1,'18 - Tarifa - RSU'!AB54,IF('01 - Dados de Entrada'!$C$375=2,'18 - Tarifa - RSU'!AB57,"ERRO"))</f>
        <v>42142.893048100341</v>
      </c>
      <c r="AB5" s="572">
        <f>IF('01 - Dados de Entrada'!$C$375=1,'18 - Tarifa - RSU'!AC54,IF('01 - Dados de Entrada'!$C$375=2,'18 - Tarifa - RSU'!AC57,"ERRO"))</f>
        <v>42203.294607838594</v>
      </c>
      <c r="AC5" s="572">
        <f>IF('01 - Dados de Entrada'!$C$375=1,'18 - Tarifa - RSU'!AD54,IF('01 - Dados de Entrada'!$C$375=2,'18 - Tarifa - RSU'!AD57,"ERRO"))</f>
        <v>42161.738334738679</v>
      </c>
      <c r="AD5" s="572">
        <f>IF('01 - Dados de Entrada'!$C$375=1,'18 - Tarifa - RSU'!AE54,IF('01 - Dados de Entrada'!$C$375=2,'18 - Tarifa - RSU'!AE57,"ERRO"))</f>
        <v>42120.182061638763</v>
      </c>
      <c r="AE5" s="572">
        <f>IF('01 - Dados de Entrada'!$C$375=1,'18 - Tarifa - RSU'!AF54,IF('01 - Dados de Entrada'!$C$375=2,'18 - Tarifa - RSU'!AF57,"ERRO"))</f>
        <v>42078.625788538833</v>
      </c>
      <c r="AF5" s="572">
        <f>IF('01 - Dados de Entrada'!$C$375=1,'18 - Tarifa - RSU'!AG54,IF('01 - Dados de Entrada'!$C$375=2,'18 - Tarifa - RSU'!AG57,"ERRO"))</f>
        <v>42036.58630296099</v>
      </c>
      <c r="AG5" s="572">
        <f>IF('01 - Dados de Entrada'!$C$375=1,'18 - Tarifa - RSU'!AH54,IF('01 - Dados de Entrada'!$C$375=2,'18 - Tarifa - RSU'!AH57,"ERRO"))</f>
        <v>41995.030029861067</v>
      </c>
      <c r="AH5" s="572">
        <f>IF('01 - Dados de Entrada'!$C$375=1,'18 - Tarifa - RSU'!AI54,IF('01 - Dados de Entrada'!$C$375=2,'18 - Tarifa - RSU'!AI57,"ERRO"))</f>
        <v>41837.019549585792</v>
      </c>
      <c r="AI5" s="572">
        <f>IF('01 - Dados de Entrada'!$C$375=1,'18 - Tarifa - RSU'!AJ54,IF('01 - Dados de Entrada'!$C$375=2,'18 - Tarifa - RSU'!AJ57,"ERRO"))</f>
        <v>41679.009069310487</v>
      </c>
      <c r="AJ5" s="572">
        <f>IF('01 - Dados de Entrada'!$C$375=1,'18 - Tarifa - RSU'!AK54,IF('01 - Dados de Entrada'!$C$375=2,'18 - Tarifa - RSU'!AK57,"ERRO"))</f>
        <v>41520.515376557312</v>
      </c>
      <c r="AK5" s="572">
        <f>IF('01 - Dados de Entrada'!$C$375=1,'18 - Tarifa - RSU'!AL54,IF('01 - Dados de Entrada'!$C$375=2,'18 - Tarifa - RSU'!AL57,"ERRO"))</f>
        <v>41362.504896282022</v>
      </c>
    </row>
    <row r="6" spans="1:37" ht="13.15" customHeight="1" x14ac:dyDescent="0.2">
      <c r="A6" s="562"/>
      <c r="B6" s="572"/>
      <c r="C6" s="572"/>
      <c r="D6" s="572"/>
      <c r="E6" s="572"/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572"/>
      <c r="AD6" s="572"/>
      <c r="AE6" s="572"/>
      <c r="AF6" s="572"/>
      <c r="AG6" s="554"/>
      <c r="AH6" s="554"/>
      <c r="AI6" s="554"/>
      <c r="AJ6" s="554"/>
      <c r="AK6" s="554"/>
    </row>
    <row r="7" spans="1:37" s="8" customFormat="1" ht="13.15" customHeight="1" x14ac:dyDescent="0.2">
      <c r="A7" s="228" t="s">
        <v>1467</v>
      </c>
      <c r="B7" s="232">
        <f t="shared" si="1"/>
        <v>-278577.89279312274</v>
      </c>
      <c r="C7" s="232">
        <f>SUM(C8:C10)</f>
        <v>-7195.5644456081618</v>
      </c>
      <c r="D7" s="232">
        <f t="shared" ref="D7:AK7" si="2">SUM(D8:D10)</f>
        <v>-7272.6162993038706</v>
      </c>
      <c r="E7" s="232">
        <f t="shared" si="2"/>
        <v>-7349.6681529995794</v>
      </c>
      <c r="F7" s="232">
        <f t="shared" si="2"/>
        <v>-7426.6511489171862</v>
      </c>
      <c r="G7" s="232">
        <f t="shared" si="2"/>
        <v>-7503.703002612895</v>
      </c>
      <c r="H7" s="232">
        <f t="shared" si="2"/>
        <v>-7580.754856308602</v>
      </c>
      <c r="I7" s="232">
        <f t="shared" si="2"/>
        <v>-7638.1822432453482</v>
      </c>
      <c r="J7" s="232">
        <f t="shared" si="2"/>
        <v>-7695.6096301820962</v>
      </c>
      <c r="K7" s="232">
        <f t="shared" si="2"/>
        <v>-7753.0370171188415</v>
      </c>
      <c r="L7" s="232">
        <f t="shared" si="2"/>
        <v>-7810.4644040555904</v>
      </c>
      <c r="M7" s="232">
        <f t="shared" si="2"/>
        <v>-7867.8917909923348</v>
      </c>
      <c r="N7" s="232">
        <f t="shared" si="2"/>
        <v>-7909.0687422971041</v>
      </c>
      <c r="O7" s="232">
        <f t="shared" si="2"/>
        <v>-7950.2456936018716</v>
      </c>
      <c r="P7" s="232">
        <f t="shared" si="2"/>
        <v>-7991.4226449066373</v>
      </c>
      <c r="Q7" s="232">
        <f t="shared" si="2"/>
        <v>-8032.5995962114039</v>
      </c>
      <c r="R7" s="232">
        <f t="shared" si="2"/>
        <v>-8073.7765475161696</v>
      </c>
      <c r="S7" s="232">
        <f t="shared" si="2"/>
        <v>-8097.7390542955327</v>
      </c>
      <c r="T7" s="232">
        <f t="shared" si="2"/>
        <v>-8121.7015610748931</v>
      </c>
      <c r="U7" s="232">
        <f t="shared" si="2"/>
        <v>-8145.7329256323592</v>
      </c>
      <c r="V7" s="232">
        <f t="shared" si="2"/>
        <v>-8169.6954324117214</v>
      </c>
      <c r="W7" s="232">
        <f t="shared" si="2"/>
        <v>-8193.6579391910836</v>
      </c>
      <c r="X7" s="232">
        <f t="shared" si="2"/>
        <v>-8202.3340192318865</v>
      </c>
      <c r="Y7" s="232">
        <f t="shared" si="2"/>
        <v>-8211.0100992726893</v>
      </c>
      <c r="Z7" s="232">
        <f t="shared" si="2"/>
        <v>-8219.6861793134922</v>
      </c>
      <c r="AA7" s="232">
        <f t="shared" si="2"/>
        <v>-8228.3622593542987</v>
      </c>
      <c r="AB7" s="232">
        <f t="shared" si="2"/>
        <v>-8236.9694816169995</v>
      </c>
      <c r="AC7" s="232">
        <f t="shared" si="2"/>
        <v>-8231.0477127002632</v>
      </c>
      <c r="AD7" s="232">
        <f t="shared" si="2"/>
        <v>-8225.1259437835251</v>
      </c>
      <c r="AE7" s="232">
        <f t="shared" si="2"/>
        <v>-8219.2041748667834</v>
      </c>
      <c r="AF7" s="232">
        <f t="shared" si="2"/>
        <v>-8213.2135481719415</v>
      </c>
      <c r="AG7" s="232">
        <f t="shared" si="2"/>
        <v>-8207.2917792552016</v>
      </c>
      <c r="AH7" s="232">
        <f t="shared" si="2"/>
        <v>-8184.7752858159747</v>
      </c>
      <c r="AI7" s="232">
        <f t="shared" si="2"/>
        <v>-8162.2587923767442</v>
      </c>
      <c r="AJ7" s="232">
        <f t="shared" si="2"/>
        <v>-8139.6734411594171</v>
      </c>
      <c r="AK7" s="232">
        <f t="shared" si="2"/>
        <v>-8117.1569477201874</v>
      </c>
    </row>
    <row r="8" spans="1:37" ht="13.15" customHeight="1" outlineLevel="1" x14ac:dyDescent="0.2">
      <c r="A8" s="562" t="s">
        <v>1468</v>
      </c>
      <c r="B8" s="572">
        <f t="shared" si="1"/>
        <v>-32256.387586572102</v>
      </c>
      <c r="C8" s="572">
        <f>-C3*'01 - Dados de Entrada'!$C$21</f>
        <v>-833.1706200177872</v>
      </c>
      <c r="D8" s="572">
        <f>-D3*'01 - Dados de Entrada'!$C$21</f>
        <v>-842.09241360360613</v>
      </c>
      <c r="E8" s="572">
        <f>-E3*'01 - Dados de Entrada'!$C$21</f>
        <v>-851.01420718942506</v>
      </c>
      <c r="F8" s="572">
        <f>-F3*'01 - Dados de Entrada'!$C$21</f>
        <v>-859.92802776935832</v>
      </c>
      <c r="G8" s="572">
        <f>-G3*'01 - Dados de Entrada'!$C$21</f>
        <v>-868.84982135517737</v>
      </c>
      <c r="H8" s="572">
        <f>-H3*'01 - Dados de Entrada'!$C$21</f>
        <v>-877.77161494099596</v>
      </c>
      <c r="I8" s="572">
        <f>-I3*'01 - Dados de Entrada'!$C$21</f>
        <v>-884.42110184946137</v>
      </c>
      <c r="J8" s="572">
        <f>-J3*'01 - Dados de Entrada'!$C$21</f>
        <v>-891.07058875792688</v>
      </c>
      <c r="K8" s="572">
        <f>-K3*'01 - Dados de Entrada'!$C$21</f>
        <v>-897.72007566639218</v>
      </c>
      <c r="L8" s="572">
        <f>-L3*'01 - Dados de Entrada'!$C$21</f>
        <v>-904.36956257485781</v>
      </c>
      <c r="M8" s="572">
        <f>-M3*'01 - Dados de Entrada'!$C$21</f>
        <v>-911.01904948332299</v>
      </c>
      <c r="N8" s="572">
        <f>-N3*'01 - Dados de Entrada'!$C$21</f>
        <v>-915.78690700282255</v>
      </c>
      <c r="O8" s="572">
        <f>-O3*'01 - Dados de Entrada'!$C$21</f>
        <v>-920.55476452232188</v>
      </c>
      <c r="P8" s="572">
        <f>-P3*'01 - Dados de Entrada'!$C$21</f>
        <v>-925.32262204182109</v>
      </c>
      <c r="Q8" s="572">
        <f>-Q3*'01 - Dados de Entrada'!$C$21</f>
        <v>-930.09047956132054</v>
      </c>
      <c r="R8" s="572">
        <f>-R3*'01 - Dados de Entrada'!$C$21</f>
        <v>-934.85833708081964</v>
      </c>
      <c r="S8" s="572">
        <f>-S3*'01 - Dados de Entrada'!$C$21</f>
        <v>-937.63294312895641</v>
      </c>
      <c r="T8" s="572">
        <f>-T3*'01 - Dados de Entrada'!$C$21</f>
        <v>-940.40754917709296</v>
      </c>
      <c r="U8" s="572">
        <f>-U3*'01 - Dados de Entrada'!$C$21</f>
        <v>-943.1901282311153</v>
      </c>
      <c r="V8" s="572">
        <f>-V3*'01 - Dados de Entrada'!$C$21</f>
        <v>-945.96473427925184</v>
      </c>
      <c r="W8" s="572">
        <f>-W3*'01 - Dados de Entrada'!$C$21</f>
        <v>-948.73934032738873</v>
      </c>
      <c r="X8" s="572">
        <f>-X3*'01 - Dados de Entrada'!$C$21</f>
        <v>-949.74393906895523</v>
      </c>
      <c r="Y8" s="572">
        <f>-Y3*'01 - Dados de Entrada'!$C$21</f>
        <v>-950.74853781052195</v>
      </c>
      <c r="Z8" s="572">
        <f>-Z3*'01 - Dados de Entrada'!$C$21</f>
        <v>-951.75313655208868</v>
      </c>
      <c r="AA8" s="572">
        <f>-AA3*'01 - Dados de Entrada'!$C$21</f>
        <v>-952.75773529365563</v>
      </c>
      <c r="AB8" s="572">
        <f>-AB3*'01 - Dados de Entrada'!$C$21</f>
        <v>-953.75436102933679</v>
      </c>
      <c r="AC8" s="572">
        <f>-AC3*'01 - Dados de Entrada'!$C$21</f>
        <v>-953.06868252318827</v>
      </c>
      <c r="AD8" s="572">
        <f>-AD3*'01 - Dados de Entrada'!$C$21</f>
        <v>-952.38300401703964</v>
      </c>
      <c r="AE8" s="572">
        <f>-AE3*'01 - Dados de Entrada'!$C$21</f>
        <v>-951.69732551089078</v>
      </c>
      <c r="AF8" s="572">
        <f>-AF3*'01 - Dados de Entrada'!$C$21</f>
        <v>-951.00367399885636</v>
      </c>
      <c r="AG8" s="572">
        <f>-AG3*'01 - Dados de Entrada'!$C$21</f>
        <v>-950.31799549270761</v>
      </c>
      <c r="AH8" s="572">
        <f>-AH3*'01 - Dados de Entrada'!$C$21</f>
        <v>-947.71082256816555</v>
      </c>
      <c r="AI8" s="572">
        <f>-AI3*'01 - Dados de Entrada'!$C$21</f>
        <v>-945.10364964362304</v>
      </c>
      <c r="AJ8" s="572">
        <f>-AJ3*'01 - Dados de Entrada'!$C$21</f>
        <v>-942.48850371319566</v>
      </c>
      <c r="AK8" s="572">
        <f>-AK3*'01 - Dados de Entrada'!$C$21</f>
        <v>-939.88133078865337</v>
      </c>
    </row>
    <row r="9" spans="1:37" ht="13.15" customHeight="1" outlineLevel="1" x14ac:dyDescent="0.2">
      <c r="A9" s="562" t="s">
        <v>51</v>
      </c>
      <c r="B9" s="572">
        <f t="shared" si="1"/>
        <v>-148574.87615633212</v>
      </c>
      <c r="C9" s="572">
        <f>-C3*'01 - Dados de Entrada'!$C$22</f>
        <v>-3837.6343709910198</v>
      </c>
      <c r="D9" s="572">
        <f>-D3*'01 - Dados de Entrada'!$C$22</f>
        <v>-3878.7286929620645</v>
      </c>
      <c r="E9" s="572">
        <f>-E3*'01 - Dados de Entrada'!$C$22</f>
        <v>-3919.8230149331089</v>
      </c>
      <c r="F9" s="572">
        <f>-F3*'01 - Dados de Entrada'!$C$22</f>
        <v>-3960.8806127558319</v>
      </c>
      <c r="G9" s="572">
        <f>-G3*'01 - Dados de Entrada'!$C$22</f>
        <v>-4001.9749347268771</v>
      </c>
      <c r="H9" s="572">
        <f>-H3*'01 - Dados de Entrada'!$C$22</f>
        <v>-4043.0692566979205</v>
      </c>
      <c r="I9" s="572">
        <f>-I3*'01 - Dados de Entrada'!$C$22</f>
        <v>-4073.6971963975184</v>
      </c>
      <c r="J9" s="572">
        <f>-J3*'01 - Dados de Entrada'!$C$22</f>
        <v>-4104.325136097118</v>
      </c>
      <c r="K9" s="572">
        <f>-K3*'01 - Dados de Entrada'!$C$22</f>
        <v>-4134.953075796715</v>
      </c>
      <c r="L9" s="572">
        <f>-L3*'01 - Dados de Entrada'!$C$22</f>
        <v>-4165.5810154963146</v>
      </c>
      <c r="M9" s="572">
        <f>-M3*'01 - Dados de Entrada'!$C$22</f>
        <v>-4196.2089551959116</v>
      </c>
      <c r="N9" s="572">
        <f>-N3*'01 - Dados de Entrada'!$C$22</f>
        <v>-4218.1699958917889</v>
      </c>
      <c r="O9" s="572">
        <f>-O3*'01 - Dados de Entrada'!$C$22</f>
        <v>-4240.1310365876643</v>
      </c>
      <c r="P9" s="572">
        <f>-P3*'01 - Dados de Entrada'!$C$22</f>
        <v>-4262.0920772835398</v>
      </c>
      <c r="Q9" s="572">
        <f>-Q3*'01 - Dados de Entrada'!$C$22</f>
        <v>-4284.0531179794152</v>
      </c>
      <c r="R9" s="572">
        <f>-R3*'01 - Dados de Entrada'!$C$22</f>
        <v>-4306.0141586752907</v>
      </c>
      <c r="S9" s="572">
        <f>-S3*'01 - Dados de Entrada'!$C$22</f>
        <v>-4318.7941622909502</v>
      </c>
      <c r="T9" s="572">
        <f>-T3*'01 - Dados de Entrada'!$C$22</f>
        <v>-4331.5741659066098</v>
      </c>
      <c r="U9" s="572">
        <f>-U3*'01 - Dados de Entrada'!$C$22</f>
        <v>-4344.3908936705911</v>
      </c>
      <c r="V9" s="572">
        <f>-V3*'01 - Dados de Entrada'!$C$22</f>
        <v>-4357.1708972862507</v>
      </c>
      <c r="W9" s="572">
        <f>-W3*'01 - Dados de Entrada'!$C$22</f>
        <v>-4369.9509009019112</v>
      </c>
      <c r="X9" s="572">
        <f>-X3*'01 - Dados de Entrada'!$C$22</f>
        <v>-4374.5781435903391</v>
      </c>
      <c r="Y9" s="572">
        <f>-Y3*'01 - Dados de Entrada'!$C$22</f>
        <v>-4379.205386278767</v>
      </c>
      <c r="Z9" s="572">
        <f>-Z3*'01 - Dados de Entrada'!$C$22</f>
        <v>-4383.8326289671959</v>
      </c>
      <c r="AA9" s="572">
        <f>-AA3*'01 - Dados de Entrada'!$C$22</f>
        <v>-4388.4598716556256</v>
      </c>
      <c r="AB9" s="572">
        <f>-AB3*'01 - Dados de Entrada'!$C$22</f>
        <v>-4393.0503901957327</v>
      </c>
      <c r="AC9" s="572">
        <f>-AC3*'01 - Dados de Entrada'!$C$22</f>
        <v>-4389.8921134401398</v>
      </c>
      <c r="AD9" s="572">
        <f>-AD3*'01 - Dados de Entrada'!$C$22</f>
        <v>-4386.7338366845461</v>
      </c>
      <c r="AE9" s="572">
        <f>-AE3*'01 - Dados de Entrada'!$C$22</f>
        <v>-4383.5755599289514</v>
      </c>
      <c r="AF9" s="572">
        <f>-AF3*'01 - Dados de Entrada'!$C$22</f>
        <v>-4380.3805590250349</v>
      </c>
      <c r="AG9" s="572">
        <f>-AG3*'01 - Dados de Entrada'!$C$22</f>
        <v>-4377.2222822694412</v>
      </c>
      <c r="AH9" s="572">
        <f>-AH3*'01 - Dados de Entrada'!$C$22</f>
        <v>-4365.2134857685196</v>
      </c>
      <c r="AI9" s="572">
        <f>-AI3*'01 - Dados de Entrada'!$C$22</f>
        <v>-4353.2046892675971</v>
      </c>
      <c r="AJ9" s="572">
        <f>-AJ3*'01 - Dados de Entrada'!$C$22</f>
        <v>-4341.1591686183556</v>
      </c>
      <c r="AK9" s="572">
        <f>-AK3*'01 - Dados de Entrada'!$C$22</f>
        <v>-4329.1503721174331</v>
      </c>
    </row>
    <row r="10" spans="1:37" ht="13.15" customHeight="1" outlineLevel="1" x14ac:dyDescent="0.2">
      <c r="A10" s="562" t="s">
        <v>53</v>
      </c>
      <c r="B10" s="572">
        <f t="shared" si="1"/>
        <v>-97746.629050218486</v>
      </c>
      <c r="C10" s="572">
        <f>-C3*'01 - Dados de Entrada'!$C$23</f>
        <v>-2524.7594545993552</v>
      </c>
      <c r="D10" s="572">
        <f>-D3*'01 - Dados de Entrada'!$C$23</f>
        <v>-2551.7951927382005</v>
      </c>
      <c r="E10" s="572">
        <f>-E3*'01 - Dados de Entrada'!$C$23</f>
        <v>-2578.8309308770458</v>
      </c>
      <c r="F10" s="572">
        <f>-F3*'01 - Dados de Entrada'!$C$23</f>
        <v>-2605.8425083919951</v>
      </c>
      <c r="G10" s="572">
        <f>-G3*'01 - Dados de Entrada'!$C$23</f>
        <v>-2632.8782465308404</v>
      </c>
      <c r="H10" s="572">
        <f>-H3*'01 - Dados de Entrada'!$C$23</f>
        <v>-2659.9139846696849</v>
      </c>
      <c r="I10" s="572">
        <f>-I3*'01 - Dados de Entrada'!$C$23</f>
        <v>-2680.0639449983678</v>
      </c>
      <c r="J10" s="572">
        <f>-J3*'01 - Dados de Entrada'!$C$23</f>
        <v>-2700.2139053270512</v>
      </c>
      <c r="K10" s="572">
        <f>-K3*'01 - Dados de Entrada'!$C$23</f>
        <v>-2720.3638656557341</v>
      </c>
      <c r="L10" s="572">
        <f>-L3*'01 - Dados de Entrada'!$C$23</f>
        <v>-2740.5138259844175</v>
      </c>
      <c r="M10" s="572">
        <f>-M3*'01 - Dados de Entrada'!$C$23</f>
        <v>-2760.6637863131</v>
      </c>
      <c r="N10" s="572">
        <f>-N3*'01 - Dados de Entrada'!$C$23</f>
        <v>-2775.1118394024925</v>
      </c>
      <c r="O10" s="572">
        <f>-O3*'01 - Dados de Entrada'!$C$23</f>
        <v>-2789.5598924918845</v>
      </c>
      <c r="P10" s="572">
        <f>-P3*'01 - Dados de Entrada'!$C$23</f>
        <v>-2804.0079455812761</v>
      </c>
      <c r="Q10" s="572">
        <f>-Q3*'01 - Dados de Entrada'!$C$23</f>
        <v>-2818.4559986706681</v>
      </c>
      <c r="R10" s="572">
        <f>-R3*'01 - Dados de Entrada'!$C$23</f>
        <v>-2832.9040517600597</v>
      </c>
      <c r="S10" s="572">
        <f>-S3*'01 - Dados de Entrada'!$C$23</f>
        <v>-2841.3119488756256</v>
      </c>
      <c r="T10" s="572">
        <f>-T3*'01 - Dados de Entrada'!$C$23</f>
        <v>-2849.7198459911906</v>
      </c>
      <c r="U10" s="572">
        <f>-U3*'01 - Dados de Entrada'!$C$23</f>
        <v>-2858.1519037306525</v>
      </c>
      <c r="V10" s="572">
        <f>-V3*'01 - Dados de Entrada'!$C$23</f>
        <v>-2866.559800846218</v>
      </c>
      <c r="W10" s="572">
        <f>-W3*'01 - Dados de Entrada'!$C$23</f>
        <v>-2874.9676979617839</v>
      </c>
      <c r="X10" s="572">
        <f>-X3*'01 - Dados de Entrada'!$C$23</f>
        <v>-2878.0119365725914</v>
      </c>
      <c r="Y10" s="572">
        <f>-Y3*'01 - Dados de Entrada'!$C$23</f>
        <v>-2881.0561751833998</v>
      </c>
      <c r="Z10" s="572">
        <f>-Z3*'01 - Dados de Entrada'!$C$23</f>
        <v>-2884.1004137942082</v>
      </c>
      <c r="AA10" s="572">
        <f>-AA3*'01 - Dados de Entrada'!$C$23</f>
        <v>-2887.144652405017</v>
      </c>
      <c r="AB10" s="572">
        <f>-AB3*'01 - Dados de Entrada'!$C$23</f>
        <v>-2890.1647303919299</v>
      </c>
      <c r="AC10" s="572">
        <f>-AC3*'01 - Dados de Entrada'!$C$23</f>
        <v>-2888.0869167369342</v>
      </c>
      <c r="AD10" s="572">
        <f>-AD3*'01 - Dados de Entrada'!$C$23</f>
        <v>-2886.0091030819385</v>
      </c>
      <c r="AE10" s="572">
        <f>-AE3*'01 - Dados de Entrada'!$C$23</f>
        <v>-2883.9312894269419</v>
      </c>
      <c r="AF10" s="572">
        <f>-AF3*'01 - Dados de Entrada'!$C$23</f>
        <v>-2881.8293151480498</v>
      </c>
      <c r="AG10" s="572">
        <f>-AG3*'01 - Dados de Entrada'!$C$23</f>
        <v>-2879.7515014930536</v>
      </c>
      <c r="AH10" s="572">
        <f>-AH3*'01 - Dados de Entrada'!$C$23</f>
        <v>-2871.8509774792897</v>
      </c>
      <c r="AI10" s="572">
        <f>-AI3*'01 - Dados de Entrada'!$C$23</f>
        <v>-2863.9504534655243</v>
      </c>
      <c r="AJ10" s="572">
        <f>-AJ3*'01 - Dados de Entrada'!$C$23</f>
        <v>-2856.0257688278657</v>
      </c>
      <c r="AK10" s="572">
        <f>-AK3*'01 - Dados de Entrada'!$C$23</f>
        <v>-2848.1252448141013</v>
      </c>
    </row>
    <row r="11" spans="1:37" ht="13.15" customHeight="1" x14ac:dyDescent="0.2">
      <c r="A11" s="562"/>
      <c r="B11" s="572"/>
      <c r="C11" s="572"/>
      <c r="D11" s="572"/>
      <c r="E11" s="572"/>
      <c r="F11" s="572"/>
      <c r="G11" s="572"/>
      <c r="H11" s="572"/>
      <c r="I11" s="572"/>
      <c r="J11" s="572"/>
      <c r="K11" s="572"/>
      <c r="L11" s="572"/>
      <c r="M11" s="57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54"/>
      <c r="AH11" s="554"/>
      <c r="AI11" s="554"/>
      <c r="AJ11" s="554"/>
      <c r="AK11" s="554"/>
    </row>
    <row r="12" spans="1:37" s="8" customFormat="1" ht="13.15" customHeight="1" x14ac:dyDescent="0.2">
      <c r="A12" s="228" t="s">
        <v>1469</v>
      </c>
      <c r="B12" s="232">
        <f t="shared" si="1"/>
        <v>1676354.6882112466</v>
      </c>
      <c r="C12" s="232">
        <f t="shared" ref="C12:AK12" si="3">C3+C7</f>
        <v>43299.624646378936</v>
      </c>
      <c r="D12" s="232">
        <f t="shared" si="3"/>
        <v>43763.287555460134</v>
      </c>
      <c r="E12" s="232">
        <f t="shared" si="3"/>
        <v>44226.950464541333</v>
      </c>
      <c r="F12" s="232">
        <f t="shared" si="3"/>
        <v>44690.199018922707</v>
      </c>
      <c r="G12" s="232">
        <f t="shared" si="3"/>
        <v>45153.861928003913</v>
      </c>
      <c r="H12" s="232">
        <f t="shared" si="3"/>
        <v>45617.52483708509</v>
      </c>
      <c r="I12" s="232">
        <f t="shared" si="3"/>
        <v>45963.096656722002</v>
      </c>
      <c r="J12" s="232">
        <f t="shared" si="3"/>
        <v>46308.668476358929</v>
      </c>
      <c r="K12" s="232">
        <f t="shared" si="3"/>
        <v>46654.240295995834</v>
      </c>
      <c r="L12" s="232">
        <f t="shared" si="3"/>
        <v>46999.812115632754</v>
      </c>
      <c r="M12" s="232">
        <f t="shared" si="3"/>
        <v>47345.383935269667</v>
      </c>
      <c r="N12" s="232">
        <f t="shared" si="3"/>
        <v>47593.168045752747</v>
      </c>
      <c r="O12" s="232">
        <f t="shared" si="3"/>
        <v>47840.952156235813</v>
      </c>
      <c r="P12" s="232">
        <f t="shared" si="3"/>
        <v>48088.736266718886</v>
      </c>
      <c r="Q12" s="232">
        <f t="shared" si="3"/>
        <v>48336.520377201959</v>
      </c>
      <c r="R12" s="232">
        <f t="shared" si="3"/>
        <v>48584.304487685018</v>
      </c>
      <c r="S12" s="232">
        <f t="shared" si="3"/>
        <v>48728.499923216972</v>
      </c>
      <c r="T12" s="232">
        <f t="shared" si="3"/>
        <v>48872.695358748919</v>
      </c>
      <c r="U12" s="232">
        <f t="shared" si="3"/>
        <v>49017.305148980689</v>
      </c>
      <c r="V12" s="232">
        <f t="shared" si="3"/>
        <v>49161.500584512629</v>
      </c>
      <c r="W12" s="232">
        <f t="shared" si="3"/>
        <v>49305.69602004459</v>
      </c>
      <c r="X12" s="232">
        <f t="shared" si="3"/>
        <v>49357.904712219941</v>
      </c>
      <c r="Y12" s="232">
        <f t="shared" si="3"/>
        <v>49410.113404395306</v>
      </c>
      <c r="Z12" s="232">
        <f t="shared" si="3"/>
        <v>49462.322096570671</v>
      </c>
      <c r="AA12" s="232">
        <f t="shared" si="3"/>
        <v>49514.530788746044</v>
      </c>
      <c r="AB12" s="232">
        <f t="shared" si="3"/>
        <v>49566.325126221593</v>
      </c>
      <c r="AC12" s="232">
        <f t="shared" si="3"/>
        <v>49530.690622038412</v>
      </c>
      <c r="AD12" s="232">
        <f t="shared" si="3"/>
        <v>49495.056117855238</v>
      </c>
      <c r="AE12" s="232">
        <f t="shared" si="3"/>
        <v>49459.42161367205</v>
      </c>
      <c r="AF12" s="232">
        <f t="shared" si="3"/>
        <v>49423.372754789045</v>
      </c>
      <c r="AG12" s="232">
        <f t="shared" si="3"/>
        <v>49387.738250605864</v>
      </c>
      <c r="AH12" s="232">
        <f t="shared" si="3"/>
        <v>49252.244263769819</v>
      </c>
      <c r="AI12" s="232">
        <f t="shared" si="3"/>
        <v>49116.750276933744</v>
      </c>
      <c r="AJ12" s="232">
        <f t="shared" si="3"/>
        <v>48980.841935397897</v>
      </c>
      <c r="AK12" s="232">
        <f t="shared" si="3"/>
        <v>48845.347948561837</v>
      </c>
    </row>
    <row r="13" spans="1:37" ht="13.15" customHeight="1" x14ac:dyDescent="0.2">
      <c r="A13" s="563"/>
      <c r="B13" s="572"/>
      <c r="C13" s="572"/>
      <c r="D13" s="572"/>
      <c r="E13" s="572"/>
      <c r="F13" s="572"/>
      <c r="G13" s="572"/>
      <c r="H13" s="572"/>
      <c r="I13" s="572"/>
      <c r="J13" s="572"/>
      <c r="K13" s="572"/>
      <c r="L13" s="572"/>
      <c r="M13" s="572"/>
      <c r="N13" s="572"/>
      <c r="O13" s="572"/>
      <c r="P13" s="572"/>
      <c r="Q13" s="572"/>
      <c r="R13" s="572"/>
      <c r="S13" s="572"/>
      <c r="T13" s="572"/>
      <c r="U13" s="572"/>
      <c r="V13" s="572"/>
      <c r="W13" s="572"/>
      <c r="X13" s="572"/>
      <c r="Y13" s="572"/>
      <c r="Z13" s="572"/>
      <c r="AA13" s="572"/>
      <c r="AB13" s="572"/>
      <c r="AC13" s="572"/>
      <c r="AD13" s="572"/>
      <c r="AE13" s="572"/>
      <c r="AF13" s="572"/>
      <c r="AG13" s="554"/>
      <c r="AH13" s="554"/>
      <c r="AI13" s="554"/>
      <c r="AJ13" s="554"/>
      <c r="AK13" s="554"/>
    </row>
    <row r="14" spans="1:37" s="8" customFormat="1" ht="13.15" customHeight="1" x14ac:dyDescent="0.2">
      <c r="A14" s="228" t="s">
        <v>1470</v>
      </c>
      <c r="B14" s="232">
        <f t="shared" si="1"/>
        <v>-1430741.208076834</v>
      </c>
      <c r="C14" s="232">
        <f t="shared" ref="C14:AK14" si="4">SUM(C15:C26)</f>
        <v>-37795.571827543674</v>
      </c>
      <c r="D14" s="232">
        <f t="shared" si="4"/>
        <v>-40151.120824004793</v>
      </c>
      <c r="E14" s="232">
        <f t="shared" si="4"/>
        <v>-40241.820172830259</v>
      </c>
      <c r="F14" s="232">
        <f t="shared" si="4"/>
        <v>-40093.695445489429</v>
      </c>
      <c r="G14" s="232">
        <f t="shared" si="4"/>
        <v>-40143.798272075488</v>
      </c>
      <c r="H14" s="232">
        <f t="shared" si="4"/>
        <v>-38185.960939821831</v>
      </c>
      <c r="I14" s="232">
        <f t="shared" si="4"/>
        <v>-41340.287766651192</v>
      </c>
      <c r="J14" s="232">
        <f t="shared" si="4"/>
        <v>-39798.810778905026</v>
      </c>
      <c r="K14" s="232">
        <f t="shared" si="4"/>
        <v>-41840.170028173146</v>
      </c>
      <c r="L14" s="232">
        <f t="shared" si="4"/>
        <v>-41711.379377464655</v>
      </c>
      <c r="M14" s="232">
        <f t="shared" si="4"/>
        <v>-41559.852631396287</v>
      </c>
      <c r="N14" s="232">
        <f t="shared" si="4"/>
        <v>-41869.213919558832</v>
      </c>
      <c r="O14" s="232">
        <f t="shared" si="4"/>
        <v>-38830.145541544669</v>
      </c>
      <c r="P14" s="232">
        <f t="shared" si="4"/>
        <v>-41830.151581658843</v>
      </c>
      <c r="Q14" s="232">
        <f t="shared" si="4"/>
        <v>-40016.92772454134</v>
      </c>
      <c r="R14" s="232">
        <f t="shared" si="4"/>
        <v>-42013.766147892173</v>
      </c>
      <c r="S14" s="232">
        <f t="shared" si="4"/>
        <v>-42038.474459670564</v>
      </c>
      <c r="T14" s="232">
        <f t="shared" si="4"/>
        <v>-41778.684775005793</v>
      </c>
      <c r="U14" s="232">
        <f t="shared" si="4"/>
        <v>-42144.098434745509</v>
      </c>
      <c r="V14" s="232">
        <f t="shared" si="4"/>
        <v>-39148.176110285553</v>
      </c>
      <c r="W14" s="232">
        <f t="shared" si="4"/>
        <v>-41984.761471142796</v>
      </c>
      <c r="X14" s="232">
        <f t="shared" si="4"/>
        <v>-40057.086125410147</v>
      </c>
      <c r="Y14" s="232">
        <f t="shared" si="4"/>
        <v>-42136.724929649507</v>
      </c>
      <c r="Z14" s="232">
        <f t="shared" si="4"/>
        <v>-42168.149661042175</v>
      </c>
      <c r="AA14" s="232">
        <f t="shared" si="4"/>
        <v>-41897.668215511374</v>
      </c>
      <c r="AB14" s="232">
        <f t="shared" si="4"/>
        <v>-41937.153103722725</v>
      </c>
      <c r="AC14" s="232">
        <f t="shared" si="4"/>
        <v>-39072.322227228091</v>
      </c>
      <c r="AD14" s="232">
        <f t="shared" si="4"/>
        <v>-41995.793052019784</v>
      </c>
      <c r="AE14" s="232">
        <f t="shared" si="4"/>
        <v>-39949.776644464808</v>
      </c>
      <c r="AF14" s="232">
        <f t="shared" si="4"/>
        <v>-41785.137922327005</v>
      </c>
      <c r="AG14" s="232">
        <f t="shared" si="4"/>
        <v>-41781.73356563074</v>
      </c>
      <c r="AH14" s="232">
        <f t="shared" si="4"/>
        <v>-41693.4461313582</v>
      </c>
      <c r="AI14" s="232">
        <f t="shared" si="4"/>
        <v>-41636.726970667616</v>
      </c>
      <c r="AJ14" s="232">
        <f t="shared" si="4"/>
        <v>-38542.029129763527</v>
      </c>
      <c r="AK14" s="232">
        <f t="shared" si="4"/>
        <v>-41570.592167636074</v>
      </c>
    </row>
    <row r="15" spans="1:37" ht="13.15" customHeight="1" outlineLevel="1" x14ac:dyDescent="0.2">
      <c r="A15" s="562" t="s">
        <v>1471</v>
      </c>
      <c r="B15" s="572">
        <f t="shared" si="1"/>
        <v>-1424769.2955175228</v>
      </c>
      <c r="C15" s="572">
        <f>-'17 - Custos'!F7</f>
        <v>-39045.500256062063</v>
      </c>
      <c r="D15" s="572">
        <f>-'17 - Custos'!G7</f>
        <v>-39216.749725271802</v>
      </c>
      <c r="E15" s="572">
        <f>-'17 - Custos'!H7</f>
        <v>-39328.381826783436</v>
      </c>
      <c r="F15" s="572">
        <f>-'17 - Custos'!I7</f>
        <v>-39172.795900937846</v>
      </c>
      <c r="G15" s="572">
        <f>-'17 - Custos'!J7</f>
        <v>-39308.800376431776</v>
      </c>
      <c r="H15" s="572">
        <f>-'17 - Custos'!K7</f>
        <v>-40317.965965320516</v>
      </c>
      <c r="I15" s="572">
        <f>-'17 - Custos'!L7</f>
        <v>-40421.98079446108</v>
      </c>
      <c r="J15" s="572">
        <f>-'17 - Custos'!M7</f>
        <v>-40942.93036579348</v>
      </c>
      <c r="K15" s="572">
        <f>-'17 - Custos'!N7</f>
        <v>-40993.141786238055</v>
      </c>
      <c r="L15" s="572">
        <f>-'17 - Custos'!O7</f>
        <v>-40956.349735999502</v>
      </c>
      <c r="M15" s="572">
        <f>-'17 - Custos'!P7</f>
        <v>-40918.548002003146</v>
      </c>
      <c r="N15" s="572">
        <f>-'17 - Custos'!Q7</f>
        <v>-40903.824385375679</v>
      </c>
      <c r="O15" s="572">
        <f>-'17 - Custos'!R7</f>
        <v>-40952.087058626188</v>
      </c>
      <c r="P15" s="572">
        <f>-'17 - Custos'!S7</f>
        <v>-41000.349731876697</v>
      </c>
      <c r="Q15" s="572">
        <f>-'17 - Custos'!T7</f>
        <v>-41048.612405127198</v>
      </c>
      <c r="R15" s="572">
        <f>-'17 - Custos'!U7</f>
        <v>-41096.875078377707</v>
      </c>
      <c r="S15" s="572">
        <f>-'17 - Custos'!V7</f>
        <v>-41114.107554438902</v>
      </c>
      <c r="T15" s="572">
        <f>-'17 - Custos'!W7</f>
        <v>-41131.386197185326</v>
      </c>
      <c r="U15" s="572">
        <f>-'17 - Custos'!X7</f>
        <v>-41148.66301800323</v>
      </c>
      <c r="V15" s="572">
        <f>-'17 - Custos'!Y7</f>
        <v>-41165.895494064418</v>
      </c>
      <c r="W15" s="572">
        <f>-'17 - Custos'!Z7</f>
        <v>-41183.174136810841</v>
      </c>
      <c r="X15" s="572">
        <f>-'17 - Custos'!AA7</f>
        <v>-41173.388069983295</v>
      </c>
      <c r="Y15" s="572">
        <f>-'17 - Custos'!AB7</f>
        <v>-41163.602003155764</v>
      </c>
      <c r="Z15" s="572">
        <f>-'17 - Custos'!AC7</f>
        <v>-41153.815936328218</v>
      </c>
      <c r="AA15" s="572">
        <f>-'17 - Custos'!AD7</f>
        <v>-41143.983702815472</v>
      </c>
      <c r="AB15" s="572">
        <f>-'17 - Custos'!AE7</f>
        <v>-41134.15329123121</v>
      </c>
      <c r="AC15" s="572">
        <f>-'17 - Custos'!AF7</f>
        <v>-41044.956958027651</v>
      </c>
      <c r="AD15" s="572">
        <f>-'17 - Custos'!AG7</f>
        <v>-41009.011296045435</v>
      </c>
      <c r="AE15" s="572">
        <f>-'17 - Custos'!AH7</f>
        <v>-40973.065634063212</v>
      </c>
      <c r="AF15" s="572">
        <f>-'17 - Custos'!AI7</f>
        <v>-40937.121794009487</v>
      </c>
      <c r="AG15" s="572">
        <f>-'17 - Custos'!AJ7</f>
        <v>-40899.862764931422</v>
      </c>
      <c r="AH15" s="572">
        <f>-'17 - Custos'!AK7</f>
        <v>-40832.721444785653</v>
      </c>
      <c r="AI15" s="572">
        <f>-'17 - Custos'!AL7</f>
        <v>-40712.339987308122</v>
      </c>
      <c r="AJ15" s="572">
        <f>-'17 - Custos'!AM7</f>
        <v>-40645.118769609981</v>
      </c>
      <c r="AK15" s="572">
        <f>-'17 - Custos'!AN7</f>
        <v>-40578.034070038972</v>
      </c>
    </row>
    <row r="16" spans="1:37" ht="13.15" customHeight="1" outlineLevel="1" x14ac:dyDescent="0.2">
      <c r="A16" s="562" t="s">
        <v>1472</v>
      </c>
      <c r="B16" s="572">
        <f t="shared" si="1"/>
        <v>-42267.97743013109</v>
      </c>
      <c r="C16" s="572">
        <f>-'21 - Inadimplência'!C14</f>
        <v>-1046.8556727596131</v>
      </c>
      <c r="D16" s="572">
        <f>-'21 - Inadimplência'!D14</f>
        <v>-1063.0771156429203</v>
      </c>
      <c r="E16" s="572">
        <f>-'21 - Inadimplência'!E14</f>
        <v>-1079.2985585262272</v>
      </c>
      <c r="F16" s="572">
        <f>-'21 - Inadimplência'!F14</f>
        <v>-1095.5055050351968</v>
      </c>
      <c r="G16" s="572">
        <f>-'21 - Inadimplência'!G14</f>
        <v>-1111.726947918504</v>
      </c>
      <c r="H16" s="572">
        <f>-'21 - Inadimplência'!H14</f>
        <v>-1127.9483908018108</v>
      </c>
      <c r="I16" s="572">
        <f>-'21 - Inadimplência'!I14</f>
        <v>-1140.0383669990204</v>
      </c>
      <c r="J16" s="572">
        <f>-'21 - Inadimplência'!J14</f>
        <v>-1152.1283431962306</v>
      </c>
      <c r="K16" s="572">
        <f>-'21 - Inadimplência'!K14</f>
        <v>-1164.2183193934402</v>
      </c>
      <c r="L16" s="572">
        <f>-'21 - Inadimplência'!L14</f>
        <v>-1176.3082955906505</v>
      </c>
      <c r="M16" s="572">
        <f>-'21 - Inadimplência'!M14</f>
        <v>-1188.39827178786</v>
      </c>
      <c r="N16" s="572">
        <f>-'21 - Inadimplência'!N14</f>
        <v>-1197.0671036414954</v>
      </c>
      <c r="O16" s="572">
        <f>-'21 - Inadimplência'!O14</f>
        <v>-1205.7359354951304</v>
      </c>
      <c r="P16" s="572">
        <f>-'21 - Inadimplência'!P14</f>
        <v>-1214.4047673487655</v>
      </c>
      <c r="Q16" s="572">
        <f>-'21 - Inadimplência'!Q14</f>
        <v>-1223.0735992024008</v>
      </c>
      <c r="R16" s="572">
        <f>-'21 - Inadimplência'!R14</f>
        <v>-1231.7424310560357</v>
      </c>
      <c r="S16" s="572">
        <f>-'21 - Inadimplência'!S14</f>
        <v>-1236.7871693253751</v>
      </c>
      <c r="T16" s="572">
        <f>-'21 - Inadimplência'!T14</f>
        <v>-1241.8319075947143</v>
      </c>
      <c r="U16" s="572">
        <f>-'21 - Inadimplência'!U14</f>
        <v>-1246.8911422383915</v>
      </c>
      <c r="V16" s="572">
        <f>-'21 - Inadimplência'!V14</f>
        <v>-1251.9358805077306</v>
      </c>
      <c r="W16" s="572">
        <f>-'21 - Inadimplência'!W14</f>
        <v>-1256.9806187770703</v>
      </c>
      <c r="X16" s="572">
        <f>-'21 - Inadimplência'!X14</f>
        <v>-1258.8071619435548</v>
      </c>
      <c r="Y16" s="572">
        <f>-'21 - Inadimplência'!Y14</f>
        <v>-1260.6337051100397</v>
      </c>
      <c r="Z16" s="572">
        <f>-'21 - Inadimplência'!Z14</f>
        <v>-1262.4602482765247</v>
      </c>
      <c r="AA16" s="572">
        <f>-'21 - Inadimplência'!AA14</f>
        <v>-1264.2867914430101</v>
      </c>
      <c r="AB16" s="572">
        <f>-'21 - Inadimplência'!AB14</f>
        <v>-1266.0988382351577</v>
      </c>
      <c r="AC16" s="572">
        <f>-'21 - Inadimplência'!AC14</f>
        <v>-1264.8521500421602</v>
      </c>
      <c r="AD16" s="572">
        <f>-'21 - Inadimplência'!AD14</f>
        <v>-1263.6054618491628</v>
      </c>
      <c r="AE16" s="572">
        <f>-'21 - Inadimplência'!AE14</f>
        <v>-1262.3587736561649</v>
      </c>
      <c r="AF16" s="572">
        <f>-'21 - Inadimplência'!AF14</f>
        <v>-1261.0975890888296</v>
      </c>
      <c r="AG16" s="572">
        <f>-'21 - Inadimplência'!AG14</f>
        <v>-1259.850900895832</v>
      </c>
      <c r="AH16" s="572">
        <f>-'21 - Inadimplência'!AH14</f>
        <v>-1255.1105864875738</v>
      </c>
      <c r="AI16" s="572">
        <f>-'21 - Inadimplência'!AI14</f>
        <v>-1250.3702720793146</v>
      </c>
      <c r="AJ16" s="572">
        <f>-'21 - Inadimplência'!AJ14</f>
        <v>-1245.6154612967193</v>
      </c>
      <c r="AK16" s="572">
        <f>-'21 - Inadimplência'!AK14</f>
        <v>-1240.8751468884607</v>
      </c>
    </row>
    <row r="17" spans="1:37" ht="13.15" customHeight="1" outlineLevel="1" x14ac:dyDescent="0.2">
      <c r="A17" s="562" t="s">
        <v>1473</v>
      </c>
      <c r="B17" s="572">
        <f t="shared" si="1"/>
        <v>-6842.2640335152919</v>
      </c>
      <c r="C17" s="572">
        <f>-$B$3*0.01%</f>
        <v>-195.493258100437</v>
      </c>
      <c r="D17" s="572">
        <f t="shared" ref="D17:AK17" si="5">-$B$3*0.01%</f>
        <v>-195.493258100437</v>
      </c>
      <c r="E17" s="572">
        <f t="shared" si="5"/>
        <v>-195.493258100437</v>
      </c>
      <c r="F17" s="572">
        <f t="shared" si="5"/>
        <v>-195.493258100437</v>
      </c>
      <c r="G17" s="572">
        <f t="shared" si="5"/>
        <v>-195.493258100437</v>
      </c>
      <c r="H17" s="572">
        <f t="shared" si="5"/>
        <v>-195.493258100437</v>
      </c>
      <c r="I17" s="572">
        <f t="shared" si="5"/>
        <v>-195.493258100437</v>
      </c>
      <c r="J17" s="572">
        <f t="shared" si="5"/>
        <v>-195.493258100437</v>
      </c>
      <c r="K17" s="572">
        <f t="shared" si="5"/>
        <v>-195.493258100437</v>
      </c>
      <c r="L17" s="572">
        <f t="shared" si="5"/>
        <v>-195.493258100437</v>
      </c>
      <c r="M17" s="572">
        <f t="shared" si="5"/>
        <v>-195.493258100437</v>
      </c>
      <c r="N17" s="572">
        <f t="shared" si="5"/>
        <v>-195.493258100437</v>
      </c>
      <c r="O17" s="572">
        <f t="shared" si="5"/>
        <v>-195.493258100437</v>
      </c>
      <c r="P17" s="572">
        <f t="shared" si="5"/>
        <v>-195.493258100437</v>
      </c>
      <c r="Q17" s="572">
        <f t="shared" si="5"/>
        <v>-195.493258100437</v>
      </c>
      <c r="R17" s="572">
        <f t="shared" si="5"/>
        <v>-195.493258100437</v>
      </c>
      <c r="S17" s="572">
        <f t="shared" si="5"/>
        <v>-195.493258100437</v>
      </c>
      <c r="T17" s="572">
        <f t="shared" si="5"/>
        <v>-195.493258100437</v>
      </c>
      <c r="U17" s="572">
        <f t="shared" si="5"/>
        <v>-195.493258100437</v>
      </c>
      <c r="V17" s="572">
        <f t="shared" si="5"/>
        <v>-195.493258100437</v>
      </c>
      <c r="W17" s="572">
        <f t="shared" si="5"/>
        <v>-195.493258100437</v>
      </c>
      <c r="X17" s="572">
        <f t="shared" si="5"/>
        <v>-195.493258100437</v>
      </c>
      <c r="Y17" s="572">
        <f t="shared" si="5"/>
        <v>-195.493258100437</v>
      </c>
      <c r="Z17" s="572">
        <f t="shared" si="5"/>
        <v>-195.493258100437</v>
      </c>
      <c r="AA17" s="572">
        <f t="shared" si="5"/>
        <v>-195.493258100437</v>
      </c>
      <c r="AB17" s="572">
        <f t="shared" si="5"/>
        <v>-195.493258100437</v>
      </c>
      <c r="AC17" s="572">
        <f t="shared" si="5"/>
        <v>-195.493258100437</v>
      </c>
      <c r="AD17" s="572">
        <f t="shared" si="5"/>
        <v>-195.493258100437</v>
      </c>
      <c r="AE17" s="572">
        <f t="shared" si="5"/>
        <v>-195.493258100437</v>
      </c>
      <c r="AF17" s="572">
        <f t="shared" si="5"/>
        <v>-195.493258100437</v>
      </c>
      <c r="AG17" s="572">
        <f t="shared" si="5"/>
        <v>-195.493258100437</v>
      </c>
      <c r="AH17" s="572">
        <f t="shared" si="5"/>
        <v>-195.493258100437</v>
      </c>
      <c r="AI17" s="572">
        <f t="shared" si="5"/>
        <v>-195.493258100437</v>
      </c>
      <c r="AJ17" s="572">
        <f t="shared" si="5"/>
        <v>-195.493258100437</v>
      </c>
      <c r="AK17" s="572">
        <f t="shared" si="5"/>
        <v>-195.493258100437</v>
      </c>
    </row>
    <row r="18" spans="1:37" ht="13.15" customHeight="1" outlineLevel="1" x14ac:dyDescent="0.2">
      <c r="A18" s="562" t="s">
        <v>1474</v>
      </c>
      <c r="B18" s="572">
        <f t="shared" si="1"/>
        <v>-170</v>
      </c>
      <c r="C18" s="572">
        <v>0</v>
      </c>
      <c r="D18" s="572">
        <f>-'22 - Seguros'!$C$7</f>
        <v>-5</v>
      </c>
      <c r="E18" s="572">
        <f>-'22 - Seguros'!$C$7</f>
        <v>-5</v>
      </c>
      <c r="F18" s="572">
        <f>-'22 - Seguros'!$C$7</f>
        <v>-5</v>
      </c>
      <c r="G18" s="572">
        <f>-'22 - Seguros'!$C$7</f>
        <v>-5</v>
      </c>
      <c r="H18" s="572">
        <f>-'22 - Seguros'!$C$7</f>
        <v>-5</v>
      </c>
      <c r="I18" s="572">
        <f>-'22 - Seguros'!$C$7</f>
        <v>-5</v>
      </c>
      <c r="J18" s="572">
        <f>-'22 - Seguros'!$C$7</f>
        <v>-5</v>
      </c>
      <c r="K18" s="572">
        <f>-'22 - Seguros'!$C$7</f>
        <v>-5</v>
      </c>
      <c r="L18" s="572">
        <f>-'22 - Seguros'!$C$7</f>
        <v>-5</v>
      </c>
      <c r="M18" s="572">
        <f>-'22 - Seguros'!$C$7</f>
        <v>-5</v>
      </c>
      <c r="N18" s="572">
        <f>-'22 - Seguros'!$C$7</f>
        <v>-5</v>
      </c>
      <c r="O18" s="572">
        <f>-'22 - Seguros'!$C$7</f>
        <v>-5</v>
      </c>
      <c r="P18" s="572">
        <f>-'22 - Seguros'!$C$7</f>
        <v>-5</v>
      </c>
      <c r="Q18" s="572">
        <f>-'22 - Seguros'!$C$7</f>
        <v>-5</v>
      </c>
      <c r="R18" s="572">
        <f>-'22 - Seguros'!$C$7</f>
        <v>-5</v>
      </c>
      <c r="S18" s="572">
        <f>-'22 - Seguros'!$C$7</f>
        <v>-5</v>
      </c>
      <c r="T18" s="572">
        <f>-'22 - Seguros'!$C$7</f>
        <v>-5</v>
      </c>
      <c r="U18" s="572">
        <f>-'22 - Seguros'!$C$7</f>
        <v>-5</v>
      </c>
      <c r="V18" s="572">
        <f>-'22 - Seguros'!$C$7</f>
        <v>-5</v>
      </c>
      <c r="W18" s="572">
        <f>-'22 - Seguros'!$C$7</f>
        <v>-5</v>
      </c>
      <c r="X18" s="572">
        <f>-'22 - Seguros'!$C$7</f>
        <v>-5</v>
      </c>
      <c r="Y18" s="572">
        <f>-'22 - Seguros'!$C$7</f>
        <v>-5</v>
      </c>
      <c r="Z18" s="572">
        <f>-'22 - Seguros'!$C$7</f>
        <v>-5</v>
      </c>
      <c r="AA18" s="572">
        <f>-'22 - Seguros'!$C$7</f>
        <v>-5</v>
      </c>
      <c r="AB18" s="572">
        <f>-'22 - Seguros'!$C$7</f>
        <v>-5</v>
      </c>
      <c r="AC18" s="572">
        <f>-'22 - Seguros'!$C$7</f>
        <v>-5</v>
      </c>
      <c r="AD18" s="572">
        <f>-'22 - Seguros'!$C$7</f>
        <v>-5</v>
      </c>
      <c r="AE18" s="572">
        <f>-'22 - Seguros'!$C$7</f>
        <v>-5</v>
      </c>
      <c r="AF18" s="572">
        <f>-'22 - Seguros'!$C$7</f>
        <v>-5</v>
      </c>
      <c r="AG18" s="572">
        <f>-'22 - Seguros'!$C$7</f>
        <v>-5</v>
      </c>
      <c r="AH18" s="572">
        <f>-'22 - Seguros'!$C$7</f>
        <v>-5</v>
      </c>
      <c r="AI18" s="572">
        <f>-'22 - Seguros'!$C$7</f>
        <v>-5</v>
      </c>
      <c r="AJ18" s="572">
        <f>-'22 - Seguros'!$C$7</f>
        <v>-5</v>
      </c>
      <c r="AK18" s="572">
        <f>-'22 - Seguros'!$C$7</f>
        <v>-5</v>
      </c>
    </row>
    <row r="19" spans="1:37" ht="13.15" customHeight="1" outlineLevel="1" x14ac:dyDescent="0.2">
      <c r="A19" s="562" t="s">
        <v>1475</v>
      </c>
      <c r="B19" s="572">
        <f t="shared" si="1"/>
        <v>-165</v>
      </c>
      <c r="C19" s="572">
        <f>-'22 - Seguros'!$C$15</f>
        <v>-55</v>
      </c>
      <c r="D19" s="572">
        <f>-'22 - Seguros'!$C$15</f>
        <v>-55</v>
      </c>
      <c r="E19" s="572">
        <f>-'22 - Seguros'!$C$15</f>
        <v>-55</v>
      </c>
      <c r="F19" s="572">
        <v>0</v>
      </c>
      <c r="G19" s="572">
        <v>0</v>
      </c>
      <c r="H19" s="572">
        <v>0</v>
      </c>
      <c r="I19" s="572">
        <v>0</v>
      </c>
      <c r="J19" s="572">
        <v>0</v>
      </c>
      <c r="K19" s="572">
        <v>0</v>
      </c>
      <c r="L19" s="572">
        <v>0</v>
      </c>
      <c r="M19" s="572">
        <v>0</v>
      </c>
      <c r="N19" s="572">
        <v>0</v>
      </c>
      <c r="O19" s="572">
        <v>0</v>
      </c>
      <c r="P19" s="572">
        <v>0</v>
      </c>
      <c r="Q19" s="572">
        <v>0</v>
      </c>
      <c r="R19" s="572">
        <v>0</v>
      </c>
      <c r="S19" s="572">
        <v>0</v>
      </c>
      <c r="T19" s="572">
        <v>0</v>
      </c>
      <c r="U19" s="572">
        <v>0</v>
      </c>
      <c r="V19" s="572">
        <v>0</v>
      </c>
      <c r="W19" s="572">
        <v>0</v>
      </c>
      <c r="X19" s="572">
        <v>0</v>
      </c>
      <c r="Y19" s="572">
        <v>0</v>
      </c>
      <c r="Z19" s="572">
        <v>0</v>
      </c>
      <c r="AA19" s="572">
        <v>0</v>
      </c>
      <c r="AB19" s="572">
        <v>0</v>
      </c>
      <c r="AC19" s="572">
        <v>0</v>
      </c>
      <c r="AD19" s="572">
        <v>0</v>
      </c>
      <c r="AE19" s="572">
        <v>0</v>
      </c>
      <c r="AF19" s="572">
        <v>0</v>
      </c>
      <c r="AG19" s="572">
        <v>0</v>
      </c>
      <c r="AH19" s="572">
        <v>0</v>
      </c>
      <c r="AI19" s="572">
        <v>0</v>
      </c>
      <c r="AJ19" s="572">
        <v>0</v>
      </c>
      <c r="AK19" s="572">
        <v>0</v>
      </c>
    </row>
    <row r="20" spans="1:37" ht="13.15" customHeight="1" outlineLevel="1" x14ac:dyDescent="0.2">
      <c r="A20" s="562" t="s">
        <v>1476</v>
      </c>
      <c r="B20" s="572">
        <f t="shared" si="1"/>
        <v>-1881.7369626037512</v>
      </c>
      <c r="C20" s="572">
        <f>-'22 - Seguros'!$C$25</f>
        <v>-53.763913217250007</v>
      </c>
      <c r="D20" s="572">
        <f>-'22 - Seguros'!$C$25</f>
        <v>-53.763913217250007</v>
      </c>
      <c r="E20" s="572">
        <f>-'22 - Seguros'!$C$25</f>
        <v>-53.763913217250007</v>
      </c>
      <c r="F20" s="572">
        <f>-'22 - Seguros'!$C$25</f>
        <v>-53.763913217250007</v>
      </c>
      <c r="G20" s="572">
        <f>-'22 - Seguros'!$C$25</f>
        <v>-53.763913217250007</v>
      </c>
      <c r="H20" s="572">
        <f>-'22 - Seguros'!$C$25</f>
        <v>-53.763913217250007</v>
      </c>
      <c r="I20" s="572">
        <f>-'22 - Seguros'!$C$25</f>
        <v>-53.763913217250007</v>
      </c>
      <c r="J20" s="572">
        <f>-'22 - Seguros'!$C$25</f>
        <v>-53.763913217250007</v>
      </c>
      <c r="K20" s="572">
        <f>-'22 - Seguros'!$C$25</f>
        <v>-53.763913217250007</v>
      </c>
      <c r="L20" s="572">
        <f>-'22 - Seguros'!$C$25</f>
        <v>-53.763913217250007</v>
      </c>
      <c r="M20" s="572">
        <f>-'22 - Seguros'!$C$25</f>
        <v>-53.763913217250007</v>
      </c>
      <c r="N20" s="572">
        <f>-'22 - Seguros'!$C$25</f>
        <v>-53.763913217250007</v>
      </c>
      <c r="O20" s="572">
        <f>-'22 - Seguros'!$C$25</f>
        <v>-53.763913217250007</v>
      </c>
      <c r="P20" s="572">
        <f>-'22 - Seguros'!$C$25</f>
        <v>-53.763913217250007</v>
      </c>
      <c r="Q20" s="572">
        <f>-'22 - Seguros'!$C$25</f>
        <v>-53.763913217250007</v>
      </c>
      <c r="R20" s="572">
        <f>-'22 - Seguros'!$C$25</f>
        <v>-53.763913217250007</v>
      </c>
      <c r="S20" s="572">
        <f>-'22 - Seguros'!$C$25</f>
        <v>-53.763913217250007</v>
      </c>
      <c r="T20" s="572">
        <f>-'22 - Seguros'!$C$25</f>
        <v>-53.763913217250007</v>
      </c>
      <c r="U20" s="572">
        <f>-'22 - Seguros'!$C$25</f>
        <v>-53.763913217250007</v>
      </c>
      <c r="V20" s="572">
        <f>-'22 - Seguros'!$C$25</f>
        <v>-53.763913217250007</v>
      </c>
      <c r="W20" s="572">
        <f>-'22 - Seguros'!$C$25</f>
        <v>-53.763913217250007</v>
      </c>
      <c r="X20" s="572">
        <f>-'22 - Seguros'!$C$25</f>
        <v>-53.763913217250007</v>
      </c>
      <c r="Y20" s="572">
        <f>-'22 - Seguros'!$C$25</f>
        <v>-53.763913217250007</v>
      </c>
      <c r="Z20" s="572">
        <f>-'22 - Seguros'!$C$25</f>
        <v>-53.763913217250007</v>
      </c>
      <c r="AA20" s="572">
        <f>-'22 - Seguros'!$C$25</f>
        <v>-53.763913217250007</v>
      </c>
      <c r="AB20" s="572">
        <f>-'22 - Seguros'!$C$25</f>
        <v>-53.763913217250007</v>
      </c>
      <c r="AC20" s="572">
        <f>-'22 - Seguros'!$C$25</f>
        <v>-53.763913217250007</v>
      </c>
      <c r="AD20" s="572">
        <f>-'22 - Seguros'!$C$25</f>
        <v>-53.763913217250007</v>
      </c>
      <c r="AE20" s="572">
        <f>-'22 - Seguros'!$C$25</f>
        <v>-53.763913217250007</v>
      </c>
      <c r="AF20" s="572">
        <f>-'22 - Seguros'!$C$25</f>
        <v>-53.763913217250007</v>
      </c>
      <c r="AG20" s="572">
        <f>-'22 - Seguros'!$C$25</f>
        <v>-53.763913217250007</v>
      </c>
      <c r="AH20" s="572">
        <f>-'22 - Seguros'!$C$25</f>
        <v>-53.763913217250007</v>
      </c>
      <c r="AI20" s="572">
        <f>-'22 - Seguros'!$C$25</f>
        <v>-53.763913217250007</v>
      </c>
      <c r="AJ20" s="572">
        <f>-'22 - Seguros'!$C$25</f>
        <v>-53.763913217250007</v>
      </c>
      <c r="AK20" s="572">
        <f>-'22 - Seguros'!$C$25</f>
        <v>-53.763913217250007</v>
      </c>
    </row>
    <row r="21" spans="1:37" ht="13.15" customHeight="1" outlineLevel="1" x14ac:dyDescent="0.2">
      <c r="A21" s="562" t="s">
        <v>1477</v>
      </c>
      <c r="B21" s="572">
        <f t="shared" si="1"/>
        <v>-15.509323109</v>
      </c>
      <c r="C21" s="572">
        <f>-'22 - Seguros'!C36</f>
        <v>-3.667767168333333</v>
      </c>
      <c r="D21" s="572">
        <f>-'22 - Seguros'!D36</f>
        <v>-0.3078703716666667</v>
      </c>
      <c r="E21" s="572">
        <f>-'22 - Seguros'!E36</f>
        <v>-0.3078703716666667</v>
      </c>
      <c r="F21" s="572">
        <f>-'22 - Seguros'!F36</f>
        <v>0</v>
      </c>
      <c r="G21" s="572">
        <f>-'22 - Seguros'!G36</f>
        <v>-0.3078703716666667</v>
      </c>
      <c r="H21" s="572">
        <f>-'22 - Seguros'!H36</f>
        <v>-0.10252405333333332</v>
      </c>
      <c r="I21" s="572">
        <f>-'22 - Seguros'!I36</f>
        <v>-0.3078703716666667</v>
      </c>
      <c r="J21" s="572">
        <f>-'22 - Seguros'!J36</f>
        <v>-0.3078703716666667</v>
      </c>
      <c r="K21" s="572">
        <f>-'22 - Seguros'!K36</f>
        <v>0</v>
      </c>
      <c r="L21" s="572">
        <f>-'22 - Seguros'!L36</f>
        <v>-0.3078703716666667</v>
      </c>
      <c r="M21" s="572">
        <f>-'22 - Seguros'!M36</f>
        <v>-2.9961585453333339</v>
      </c>
      <c r="N21" s="572">
        <f>-'22 - Seguros'!N36</f>
        <v>-0.3078703716666667</v>
      </c>
      <c r="O21" s="572">
        <f>-'22 - Seguros'!O36</f>
        <v>-0.3078703716666667</v>
      </c>
      <c r="P21" s="572">
        <f>-'22 - Seguros'!P36</f>
        <v>0</v>
      </c>
      <c r="Q21" s="572">
        <f>-'22 - Seguros'!Q36</f>
        <v>-0.3078703716666667</v>
      </c>
      <c r="R21" s="572">
        <f>-'22 - Seguros'!R36</f>
        <v>-0.10252405333333332</v>
      </c>
      <c r="S21" s="572">
        <f>-'22 - Seguros'!S36</f>
        <v>-0.3078703716666667</v>
      </c>
      <c r="T21" s="572">
        <f>-'22 - Seguros'!T36</f>
        <v>-0.3078703716666667</v>
      </c>
      <c r="U21" s="572">
        <f>-'22 - Seguros'!U36</f>
        <v>0</v>
      </c>
      <c r="V21" s="572">
        <f>-'22 - Seguros'!V36</f>
        <v>-0.3078703716666667</v>
      </c>
      <c r="W21" s="572">
        <f>-'22 - Seguros'!W36</f>
        <v>-2.9961585453333339</v>
      </c>
      <c r="X21" s="572">
        <f>-'22 - Seguros'!X36</f>
        <v>-0.3078703716666667</v>
      </c>
      <c r="Y21" s="572">
        <f>-'22 - Seguros'!Y36</f>
        <v>-0.3078703716666667</v>
      </c>
      <c r="Z21" s="572">
        <f>-'22 - Seguros'!Z36</f>
        <v>0</v>
      </c>
      <c r="AA21" s="572">
        <f>-'22 - Seguros'!AA36</f>
        <v>-0.3078703716666667</v>
      </c>
      <c r="AB21" s="572">
        <f>-'22 - Seguros'!AB36</f>
        <v>-0.10252405333333332</v>
      </c>
      <c r="AC21" s="572">
        <f>-'22 - Seguros'!AC36</f>
        <v>-0.3078703716666667</v>
      </c>
      <c r="AD21" s="572">
        <f>-'22 - Seguros'!AD36</f>
        <v>-0.3078703716666667</v>
      </c>
      <c r="AE21" s="572">
        <f>-'22 - Seguros'!AE36</f>
        <v>0</v>
      </c>
      <c r="AF21" s="572">
        <f>-'22 - Seguros'!AF36</f>
        <v>-0.3078703716666667</v>
      </c>
      <c r="AG21" s="572">
        <f>-'22 - Seguros'!AG36</f>
        <v>0</v>
      </c>
      <c r="AH21" s="572">
        <f>-'22 - Seguros'!AH36</f>
        <v>0</v>
      </c>
      <c r="AI21" s="572">
        <f>-'22 - Seguros'!AI36</f>
        <v>0</v>
      </c>
      <c r="AJ21" s="572">
        <f>-'22 - Seguros'!AJ36</f>
        <v>0</v>
      </c>
      <c r="AK21" s="572">
        <f>-'22 - Seguros'!AK36</f>
        <v>0</v>
      </c>
    </row>
    <row r="22" spans="1:37" ht="13.15" customHeight="1" outlineLevel="1" x14ac:dyDescent="0.2">
      <c r="A22" s="562" t="s">
        <v>1478</v>
      </c>
      <c r="B22" s="572">
        <f t="shared" si="1"/>
        <v>-7567.8598211870294</v>
      </c>
      <c r="C22" s="572">
        <f>-'23 - ARIS'!E47</f>
        <v>-205.30800000000002</v>
      </c>
      <c r="D22" s="572">
        <f>-'23 - ARIS'!F47</f>
        <v>-206.86643999999998</v>
      </c>
      <c r="E22" s="572">
        <f>-'23 - ARIS'!G47</f>
        <v>-208.42488000000003</v>
      </c>
      <c r="F22" s="572">
        <f>-'23 - ARIS'!H47</f>
        <v>-209.98331999999999</v>
      </c>
      <c r="G22" s="572">
        <f>-'23 - ARIS'!I47</f>
        <v>-211.54176000000001</v>
      </c>
      <c r="H22" s="572">
        <f>-'23 - ARIS'!J47</f>
        <v>-213.1002</v>
      </c>
      <c r="I22" s="572">
        <f>-'23 - ARIS'!K47</f>
        <v>-214.04628</v>
      </c>
      <c r="J22" s="572">
        <f>-'23 - ARIS'!L47</f>
        <v>-214.99235999999999</v>
      </c>
      <c r="K22" s="572">
        <f>-'23 - ARIS'!M47</f>
        <v>-215.93735999999998</v>
      </c>
      <c r="L22" s="572">
        <f>-'23 - ARIS'!N47</f>
        <v>-216.88343999999998</v>
      </c>
      <c r="M22" s="572">
        <f>-'23 - ARIS'!O47</f>
        <v>-217.82951999999997</v>
      </c>
      <c r="N22" s="572">
        <f>-'23 - ARIS'!P47</f>
        <v>-218.33820000000003</v>
      </c>
      <c r="O22" s="572">
        <f>-'23 - ARIS'!Q47</f>
        <v>-218.84688</v>
      </c>
      <c r="P22" s="572">
        <f>-'23 - ARIS'!R47</f>
        <v>-219.35556000000003</v>
      </c>
      <c r="Q22" s="572">
        <f>-'23 - ARIS'!S47</f>
        <v>-219.86424</v>
      </c>
      <c r="R22" s="572">
        <f>-'23 - ARIS'!T47</f>
        <v>-220.37291999999999</v>
      </c>
      <c r="S22" s="572">
        <f>-'23 - ARIS'!U47</f>
        <v>-220.41503999999998</v>
      </c>
      <c r="T22" s="572">
        <f>-'23 - ARIS'!V47</f>
        <v>-220.45823999999999</v>
      </c>
      <c r="U22" s="572">
        <f>-'23 - ARIS'!W47</f>
        <v>-220.50036000000003</v>
      </c>
      <c r="V22" s="572">
        <f>-'23 - ARIS'!X47</f>
        <v>-220.54248000000001</v>
      </c>
      <c r="W22" s="572">
        <f>-'23 - ARIS'!Y47</f>
        <v>-220.58568</v>
      </c>
      <c r="X22" s="572">
        <f>-'23 - ARIS'!Z47</f>
        <v>-220.22604000000001</v>
      </c>
      <c r="Y22" s="572">
        <f>-'23 - ARIS'!AA47</f>
        <v>-219.8664</v>
      </c>
      <c r="Z22" s="572">
        <f>-'23 - ARIS'!AB47</f>
        <v>-219.50675999999999</v>
      </c>
      <c r="AA22" s="572">
        <f>-'23 - ARIS'!AC47</f>
        <v>-219.14604</v>
      </c>
      <c r="AB22" s="572">
        <f>-'23 - ARIS'!AD47</f>
        <v>-218.78639999999999</v>
      </c>
      <c r="AC22" s="572">
        <f>-'23 - ARIS'!AE47</f>
        <v>-218.03471999999999</v>
      </c>
      <c r="AD22" s="572">
        <f>-'23 - ARIS'!AF47</f>
        <v>-217.28303999999997</v>
      </c>
      <c r="AE22" s="572">
        <f>-'23 - ARIS'!AG47</f>
        <v>-216.53136000000001</v>
      </c>
      <c r="AF22" s="572">
        <f>-'23 - ARIS'!AH47</f>
        <v>-215.78075999999999</v>
      </c>
      <c r="AG22" s="572">
        <f>-'23 - ARIS'!AI47</f>
        <v>-215.78025920621411</v>
      </c>
      <c r="AH22" s="572">
        <f>-'23 - ARIS'!AJ47</f>
        <v>-215.02862136655855</v>
      </c>
      <c r="AI22" s="572">
        <f>-'23 - ARIS'!AK47</f>
        <v>-213.79702078565543</v>
      </c>
      <c r="AJ22" s="572">
        <f>-'23 - ARIS'!AL47</f>
        <v>-212.56542020475226</v>
      </c>
      <c r="AK22" s="572">
        <f>-'23 - ARIS'!AM47</f>
        <v>-211.33381962384914</v>
      </c>
    </row>
    <row r="23" spans="1:37" ht="13.15" customHeight="1" outlineLevel="1" x14ac:dyDescent="0.2">
      <c r="A23" s="562" t="s">
        <v>1479</v>
      </c>
      <c r="B23" s="572">
        <f t="shared" si="1"/>
        <v>-38640</v>
      </c>
      <c r="C23" s="572">
        <f>-'24 - SAMAE'!G53/1000</f>
        <v>-1104</v>
      </c>
      <c r="D23" s="572">
        <f>C23</f>
        <v>-1104</v>
      </c>
      <c r="E23" s="572">
        <f t="shared" ref="E23:AK23" si="6">D23</f>
        <v>-1104</v>
      </c>
      <c r="F23" s="572">
        <f t="shared" si="6"/>
        <v>-1104</v>
      </c>
      <c r="G23" s="572">
        <f t="shared" si="6"/>
        <v>-1104</v>
      </c>
      <c r="H23" s="572">
        <f t="shared" si="6"/>
        <v>-1104</v>
      </c>
      <c r="I23" s="572">
        <f t="shared" si="6"/>
        <v>-1104</v>
      </c>
      <c r="J23" s="572">
        <f t="shared" si="6"/>
        <v>-1104</v>
      </c>
      <c r="K23" s="572">
        <f t="shared" si="6"/>
        <v>-1104</v>
      </c>
      <c r="L23" s="572">
        <f t="shared" si="6"/>
        <v>-1104</v>
      </c>
      <c r="M23" s="572">
        <f t="shared" si="6"/>
        <v>-1104</v>
      </c>
      <c r="N23" s="572">
        <f t="shared" si="6"/>
        <v>-1104</v>
      </c>
      <c r="O23" s="572">
        <f t="shared" si="6"/>
        <v>-1104</v>
      </c>
      <c r="P23" s="572">
        <f t="shared" si="6"/>
        <v>-1104</v>
      </c>
      <c r="Q23" s="572">
        <f t="shared" si="6"/>
        <v>-1104</v>
      </c>
      <c r="R23" s="572">
        <f t="shared" si="6"/>
        <v>-1104</v>
      </c>
      <c r="S23" s="572">
        <f t="shared" si="6"/>
        <v>-1104</v>
      </c>
      <c r="T23" s="572">
        <f t="shared" si="6"/>
        <v>-1104</v>
      </c>
      <c r="U23" s="572">
        <f t="shared" si="6"/>
        <v>-1104</v>
      </c>
      <c r="V23" s="572">
        <f t="shared" si="6"/>
        <v>-1104</v>
      </c>
      <c r="W23" s="572">
        <f t="shared" si="6"/>
        <v>-1104</v>
      </c>
      <c r="X23" s="572">
        <f t="shared" si="6"/>
        <v>-1104</v>
      </c>
      <c r="Y23" s="572">
        <f t="shared" si="6"/>
        <v>-1104</v>
      </c>
      <c r="Z23" s="572">
        <f t="shared" si="6"/>
        <v>-1104</v>
      </c>
      <c r="AA23" s="572">
        <f t="shared" si="6"/>
        <v>-1104</v>
      </c>
      <c r="AB23" s="572">
        <f t="shared" si="6"/>
        <v>-1104</v>
      </c>
      <c r="AC23" s="572">
        <f t="shared" si="6"/>
        <v>-1104</v>
      </c>
      <c r="AD23" s="572">
        <f t="shared" si="6"/>
        <v>-1104</v>
      </c>
      <c r="AE23" s="572">
        <f t="shared" si="6"/>
        <v>-1104</v>
      </c>
      <c r="AF23" s="572">
        <f t="shared" si="6"/>
        <v>-1104</v>
      </c>
      <c r="AG23" s="572">
        <f t="shared" si="6"/>
        <v>-1104</v>
      </c>
      <c r="AH23" s="572">
        <f t="shared" si="6"/>
        <v>-1104</v>
      </c>
      <c r="AI23" s="572">
        <f t="shared" si="6"/>
        <v>-1104</v>
      </c>
      <c r="AJ23" s="572">
        <f t="shared" si="6"/>
        <v>-1104</v>
      </c>
      <c r="AK23" s="572">
        <f t="shared" si="6"/>
        <v>-1104</v>
      </c>
    </row>
    <row r="24" spans="1:37" ht="13.15" customHeight="1" outlineLevel="1" x14ac:dyDescent="0.2">
      <c r="A24" s="562" t="s">
        <v>1480</v>
      </c>
      <c r="B24" s="572">
        <f t="shared" si="1"/>
        <v>0</v>
      </c>
      <c r="C24" s="572">
        <f>-'24 - SAMAE'!$N$55*'18 - Tarifa - RSU'!D9*12/1000</f>
        <v>0</v>
      </c>
      <c r="D24" s="572">
        <f>-'24 - SAMAE'!$N$55*'18 - Tarifa - RSU'!E9*12/1000</f>
        <v>0</v>
      </c>
      <c r="E24" s="572">
        <f>-'24 - SAMAE'!$N$55*'18 - Tarifa - RSU'!F9*12/1000</f>
        <v>0</v>
      </c>
      <c r="F24" s="572">
        <f>-'24 - SAMAE'!$N$55*'18 - Tarifa - RSU'!G9*12/1000</f>
        <v>0</v>
      </c>
      <c r="G24" s="572">
        <f>-'24 - SAMAE'!$N$55*'18 - Tarifa - RSU'!H9*12/1000</f>
        <v>0</v>
      </c>
      <c r="H24" s="572">
        <f>-'24 - SAMAE'!$N$55*'18 - Tarifa - RSU'!I9*12/1000</f>
        <v>0</v>
      </c>
      <c r="I24" s="572">
        <f>-'24 - SAMAE'!$N$55*'18 - Tarifa - RSU'!J9*12/1000</f>
        <v>0</v>
      </c>
      <c r="J24" s="572">
        <f>-'24 - SAMAE'!$N$55*'18 - Tarifa - RSU'!K9*12/1000</f>
        <v>0</v>
      </c>
      <c r="K24" s="572">
        <f>-'24 - SAMAE'!$N$55*'18 - Tarifa - RSU'!L9*12/1000</f>
        <v>0</v>
      </c>
      <c r="L24" s="572">
        <f>-'24 - SAMAE'!$N$55*'18 - Tarifa - RSU'!M9*12/1000</f>
        <v>0</v>
      </c>
      <c r="M24" s="572">
        <f>-'24 - SAMAE'!$N$55*'18 - Tarifa - RSU'!N9*12/1000</f>
        <v>0</v>
      </c>
      <c r="N24" s="572">
        <f>-'24 - SAMAE'!$N$55*'18 - Tarifa - RSU'!O9*12/1000</f>
        <v>0</v>
      </c>
      <c r="O24" s="572">
        <f>-'24 - SAMAE'!$N$55*'18 - Tarifa - RSU'!P9*12/1000</f>
        <v>0</v>
      </c>
      <c r="P24" s="572">
        <f>-'24 - SAMAE'!$N$55*'18 - Tarifa - RSU'!Q9*12/1000</f>
        <v>0</v>
      </c>
      <c r="Q24" s="572">
        <f>-'24 - SAMAE'!$N$55*'18 - Tarifa - RSU'!R9*12/1000</f>
        <v>0</v>
      </c>
      <c r="R24" s="572">
        <f>-'24 - SAMAE'!$N$55*'18 - Tarifa - RSU'!S9*12/1000</f>
        <v>0</v>
      </c>
      <c r="S24" s="572">
        <f>-'24 - SAMAE'!$N$55*'18 - Tarifa - RSU'!T9*12/1000</f>
        <v>0</v>
      </c>
      <c r="T24" s="572">
        <f>-'24 - SAMAE'!$N$55*'18 - Tarifa - RSU'!U9*12/1000</f>
        <v>0</v>
      </c>
      <c r="U24" s="572">
        <f>-'24 - SAMAE'!$N$55*'18 - Tarifa - RSU'!V9*12/1000</f>
        <v>0</v>
      </c>
      <c r="V24" s="572">
        <f>-'24 - SAMAE'!$N$55*'18 - Tarifa - RSU'!W9*12/1000</f>
        <v>0</v>
      </c>
      <c r="W24" s="572">
        <f>-'24 - SAMAE'!$N$55*'18 - Tarifa - RSU'!X9*12/1000</f>
        <v>0</v>
      </c>
      <c r="X24" s="572">
        <f>-'24 - SAMAE'!$N$55*'18 - Tarifa - RSU'!Y9*12/1000</f>
        <v>0</v>
      </c>
      <c r="Y24" s="572">
        <f>-'24 - SAMAE'!$N$55*'18 - Tarifa - RSU'!Z9*12/1000</f>
        <v>0</v>
      </c>
      <c r="Z24" s="572">
        <f>-'24 - SAMAE'!$N$55*'18 - Tarifa - RSU'!AA9*12/1000</f>
        <v>0</v>
      </c>
      <c r="AA24" s="572">
        <f>-'24 - SAMAE'!$N$55*'18 - Tarifa - RSU'!AB9*12/1000</f>
        <v>0</v>
      </c>
      <c r="AB24" s="572">
        <f>-'24 - SAMAE'!$N$55*'18 - Tarifa - RSU'!AC9*12/1000</f>
        <v>0</v>
      </c>
      <c r="AC24" s="572">
        <f>-'24 - SAMAE'!$N$55*'18 - Tarifa - RSU'!AD9*12/1000</f>
        <v>0</v>
      </c>
      <c r="AD24" s="572">
        <f>-'24 - SAMAE'!$N$55*'18 - Tarifa - RSU'!AE9*12/1000</f>
        <v>0</v>
      </c>
      <c r="AE24" s="572">
        <f>-'24 - SAMAE'!$N$55*'18 - Tarifa - RSU'!AF9*12/1000</f>
        <v>0</v>
      </c>
      <c r="AF24" s="572">
        <f>-'24 - SAMAE'!$N$55*'18 - Tarifa - RSU'!AG9*12/1000</f>
        <v>0</v>
      </c>
      <c r="AG24" s="572">
        <f>-'24 - SAMAE'!$N$55*'18 - Tarifa - RSU'!AH9*12/1000</f>
        <v>0</v>
      </c>
      <c r="AH24" s="572">
        <f>-'24 - SAMAE'!$N$55*'18 - Tarifa - RSU'!AI9*12/1000</f>
        <v>0</v>
      </c>
      <c r="AI24" s="572">
        <f>-'24 - SAMAE'!$N$55*'18 - Tarifa - RSU'!AJ9*12/1000</f>
        <v>0</v>
      </c>
      <c r="AJ24" s="572">
        <f>-'24 - SAMAE'!$N$55*'18 - Tarifa - RSU'!AK9*12/1000</f>
        <v>0</v>
      </c>
      <c r="AK24" s="572">
        <f>-'24 - SAMAE'!$N$55*'18 - Tarifa - RSU'!AL9*12/1000</f>
        <v>0</v>
      </c>
    </row>
    <row r="25" spans="1:37" ht="13.15" customHeight="1" outlineLevel="1" x14ac:dyDescent="0.2">
      <c r="A25" s="562" t="s">
        <v>1481</v>
      </c>
      <c r="B25" s="572">
        <f t="shared" si="1"/>
        <v>75337.867651235414</v>
      </c>
      <c r="C25" s="572">
        <f>-'25- Crédito PIS-COFINS'!F187</f>
        <v>3914.0170397640254</v>
      </c>
      <c r="D25" s="572">
        <f>-'25- Crédito PIS-COFINS'!G187</f>
        <v>1749.1374985992773</v>
      </c>
      <c r="E25" s="572">
        <f>-'25- Crédito PIS-COFINS'!H187</f>
        <v>1787.850134168759</v>
      </c>
      <c r="F25" s="572">
        <f>-'25- Crédito PIS-COFINS'!I187</f>
        <v>1742.8464518013009</v>
      </c>
      <c r="G25" s="572">
        <f>-'25- Crédito PIS-COFINS'!J187</f>
        <v>1846.8358539641456</v>
      </c>
      <c r="H25" s="572">
        <f>-'25- Crédito PIS-COFINS'!K187</f>
        <v>1939.1441996715162</v>
      </c>
      <c r="I25" s="572">
        <f>-'25- Crédito PIS-COFINS'!L187</f>
        <v>1794.3427164982613</v>
      </c>
      <c r="J25" s="572">
        <f>-'25- Crédito PIS-COFINS'!M187</f>
        <v>3869.8053317740323</v>
      </c>
      <c r="K25" s="572">
        <f>-'25- Crédito PIS-COFINS'!N187</f>
        <v>1891.3846087760389</v>
      </c>
      <c r="L25" s="572">
        <f>-'25- Crédito PIS-COFINS'!O187</f>
        <v>1852.0579358148552</v>
      </c>
      <c r="M25" s="572">
        <f>-'25- Crédito PIS-COFINS'!P187</f>
        <v>1956.6526922577418</v>
      </c>
      <c r="N25" s="572">
        <f>-'25- Crédito PIS-COFINS'!Q187</f>
        <v>1808.5808111476963</v>
      </c>
      <c r="O25" s="572">
        <f>-'25- Crédito PIS-COFINS'!R187</f>
        <v>1991.5656622660042</v>
      </c>
      <c r="P25" s="572">
        <f>-'25- Crédito PIS-COFINS'!S187</f>
        <v>1817.5464488843113</v>
      </c>
      <c r="Q25" s="572">
        <f>-'25- Crédito PIS-COFINS'!T187</f>
        <v>3829.7637614776186</v>
      </c>
      <c r="R25" s="572">
        <f>-'25- Crédito PIS-COFINS'!U187</f>
        <v>1893.583976912593</v>
      </c>
      <c r="S25" s="572">
        <f>-'25- Crédito PIS-COFINS'!V187</f>
        <v>1891.4003457830702</v>
      </c>
      <c r="T25" s="572">
        <f>-'25- Crédito PIS-COFINS'!W187</f>
        <v>1862.787411463597</v>
      </c>
      <c r="U25" s="572">
        <f>-'25- Crédito PIS-COFINS'!X187</f>
        <v>1826.7894568138024</v>
      </c>
      <c r="V25" s="572">
        <f>-'25- Crédito PIS-COFINS'!Y187</f>
        <v>1935.2390739759464</v>
      </c>
      <c r="W25" s="572">
        <f>-'25- Crédito PIS-COFINS'!Z187</f>
        <v>2037.2322943081394</v>
      </c>
      <c r="X25" s="572">
        <f>-'25- Crédito PIS-COFINS'!AA187</f>
        <v>3809.2309882060663</v>
      </c>
      <c r="Y25" s="572">
        <f>-'25- Crédito PIS-COFINS'!AB187</f>
        <v>1862.5184203056594</v>
      </c>
      <c r="Z25" s="572">
        <f>-'25- Crédito PIS-COFINS'!AC187</f>
        <v>1825.8904548802529</v>
      </c>
      <c r="AA25" s="572">
        <f>-'25- Crédito PIS-COFINS'!AD187</f>
        <v>1922.2133604364642</v>
      </c>
      <c r="AB25" s="572">
        <f>-'25- Crédito PIS-COFINS'!AE187</f>
        <v>1895.5759211146631</v>
      </c>
      <c r="AC25" s="572">
        <f>-'25- Crédito PIS-COFINS'!AF187</f>
        <v>1897.1391305310847</v>
      </c>
      <c r="AD25" s="572">
        <f>-'25- Crédito PIS-COFINS'!AG187</f>
        <v>1852.6717875641734</v>
      </c>
      <c r="AE25" s="572">
        <f>-'25- Crédito PIS-COFINS'!AH187</f>
        <v>3860.436294572261</v>
      </c>
      <c r="AF25" s="572">
        <f>-'25- Crédito PIS-COFINS'!AI187</f>
        <v>1842.7580624606708</v>
      </c>
      <c r="AG25" s="572">
        <f>-'25- Crédito PIS-COFINS'!AJ187</f>
        <v>1948.5937307204256</v>
      </c>
      <c r="AH25" s="572">
        <f>-'25- Crédito PIS-COFINS'!AK187</f>
        <v>1801.571692599272</v>
      </c>
      <c r="AI25" s="572">
        <f>-'25- Crédito PIS-COFINS'!AL187</f>
        <v>1898.0374808231666</v>
      </c>
      <c r="AJ25" s="572">
        <f>-'25- Crédito PIS-COFINS'!AM187</f>
        <v>1868.1823806656184</v>
      </c>
      <c r="AK25" s="572">
        <f>-'25- Crédito PIS-COFINS'!AN187</f>
        <v>1814.484240232895</v>
      </c>
    </row>
    <row r="26" spans="1:37" ht="13.15" customHeight="1" outlineLevel="1" x14ac:dyDescent="0.2">
      <c r="A26" s="562" t="s">
        <v>1482</v>
      </c>
      <c r="B26" s="572">
        <f t="shared" si="1"/>
        <v>16240.567360000005</v>
      </c>
      <c r="C26" s="572">
        <f>'14 - Investimentos'!E76/1000</f>
        <v>0</v>
      </c>
      <c r="D26" s="572">
        <f>'14 - Investimentos'!F76/1000</f>
        <v>0</v>
      </c>
      <c r="E26" s="572">
        <f>'14 - Investimentos'!G76/1000</f>
        <v>0</v>
      </c>
      <c r="F26" s="572">
        <f>'14 - Investimentos'!H76/1000</f>
        <v>0</v>
      </c>
      <c r="G26" s="572">
        <f>'14 - Investimentos'!I76/1000</f>
        <v>0</v>
      </c>
      <c r="H26" s="572">
        <f>'14 - Investimentos'!J76/1000</f>
        <v>2892.2691120000004</v>
      </c>
      <c r="I26" s="572">
        <f>'14 - Investimentos'!K76/1000</f>
        <v>0</v>
      </c>
      <c r="J26" s="572">
        <f>'14 - Investimentos'!L76/1000</f>
        <v>0</v>
      </c>
      <c r="K26" s="572">
        <f>'14 - Investimentos'!M76/1000</f>
        <v>0</v>
      </c>
      <c r="L26" s="572">
        <f>'14 - Investimentos'!N76/1000</f>
        <v>144.66920000000002</v>
      </c>
      <c r="M26" s="572">
        <f>'14 - Investimentos'!O76/1000</f>
        <v>169.52380000000002</v>
      </c>
      <c r="N26" s="572">
        <f>'14 - Investimentos'!P76/1000</f>
        <v>0</v>
      </c>
      <c r="O26" s="572">
        <f>'14 - Investimentos'!Q76/1000</f>
        <v>2913.5237120000002</v>
      </c>
      <c r="P26" s="572">
        <f>'14 - Investimentos'!R76/1000</f>
        <v>144.66920000000002</v>
      </c>
      <c r="Q26" s="572">
        <f>'14 - Investimentos'!S76/1000</f>
        <v>3.4238000000000004</v>
      </c>
      <c r="R26" s="572">
        <f>'14 - Investimentos'!T76/1000</f>
        <v>0</v>
      </c>
      <c r="S26" s="572">
        <f>'14 - Investimentos'!U76/1000</f>
        <v>0</v>
      </c>
      <c r="T26" s="572">
        <f>'14 - Investimentos'!V76/1000</f>
        <v>310.76920000000001</v>
      </c>
      <c r="U26" s="572">
        <f>'14 - Investimentos'!W76/1000</f>
        <v>3.4238000000000004</v>
      </c>
      <c r="V26" s="572">
        <f>'14 - Investimentos'!X76/1000</f>
        <v>2913.5237120000002</v>
      </c>
      <c r="W26" s="572">
        <f>'14 - Investimentos'!Y76/1000</f>
        <v>0</v>
      </c>
      <c r="X26" s="572">
        <f>'14 - Investimentos'!Z76/1000</f>
        <v>144.66920000000002</v>
      </c>
      <c r="Y26" s="572">
        <f>'14 - Investimentos'!AA76/1000</f>
        <v>3.4238000000000004</v>
      </c>
      <c r="Z26" s="572">
        <f>'14 - Investimentos'!AB76/1000</f>
        <v>0</v>
      </c>
      <c r="AA26" s="572">
        <f>'14 - Investimentos'!AC76/1000</f>
        <v>166.1</v>
      </c>
      <c r="AB26" s="572">
        <f>'14 - Investimentos'!AD76/1000</f>
        <v>144.66920000000002</v>
      </c>
      <c r="AC26" s="572">
        <f>'14 - Investimentos'!AE76/1000</f>
        <v>2916.9475120000002</v>
      </c>
      <c r="AD26" s="572">
        <f>'14 - Investimentos'!AF76/1000</f>
        <v>0</v>
      </c>
      <c r="AE26" s="572">
        <f>'14 - Investimentos'!AG76/1000</f>
        <v>0</v>
      </c>
      <c r="AF26" s="572">
        <f>'14 - Investimentos'!AH76/1000</f>
        <v>144.66920000000002</v>
      </c>
      <c r="AG26" s="572">
        <f>'14 - Investimentos'!AI76/1000</f>
        <v>3.4238000000000004</v>
      </c>
      <c r="AH26" s="572">
        <f>'14 - Investimentos'!AJ76/1000</f>
        <v>166.1</v>
      </c>
      <c r="AI26" s="572">
        <f>'14 - Investimentos'!AK76/1000</f>
        <v>0</v>
      </c>
      <c r="AJ26" s="572">
        <f>'14 - Investimentos'!AL76/1000</f>
        <v>3051.3453120000004</v>
      </c>
      <c r="AK26" s="572">
        <f>'14 - Investimentos'!AM76/1000</f>
        <v>3.4238000000000004</v>
      </c>
    </row>
    <row r="27" spans="1:37" s="8" customFormat="1" ht="13.15" customHeight="1" x14ac:dyDescent="0.2">
      <c r="A27" s="228" t="s">
        <v>1483</v>
      </c>
      <c r="B27" s="232">
        <f t="shared" si="1"/>
        <v>245613.48013441329</v>
      </c>
      <c r="C27" s="232">
        <f t="shared" ref="C27:AK27" si="7">C12+C14</f>
        <v>5504.0528188352619</v>
      </c>
      <c r="D27" s="232">
        <f t="shared" si="7"/>
        <v>3612.1667314553415</v>
      </c>
      <c r="E27" s="232">
        <f t="shared" si="7"/>
        <v>3985.1302917110734</v>
      </c>
      <c r="F27" s="232">
        <f t="shared" si="7"/>
        <v>4596.5035734332778</v>
      </c>
      <c r="G27" s="232">
        <f t="shared" si="7"/>
        <v>5010.0636559284249</v>
      </c>
      <c r="H27" s="232">
        <f t="shared" si="7"/>
        <v>7431.5638972632587</v>
      </c>
      <c r="I27" s="232">
        <f t="shared" si="7"/>
        <v>4622.8088900708099</v>
      </c>
      <c r="J27" s="232">
        <f t="shared" si="7"/>
        <v>6509.8576974539028</v>
      </c>
      <c r="K27" s="232">
        <f t="shared" si="7"/>
        <v>4814.070267822688</v>
      </c>
      <c r="L27" s="232">
        <f t="shared" si="7"/>
        <v>5288.4327381680996</v>
      </c>
      <c r="M27" s="232">
        <f t="shared" si="7"/>
        <v>5785.5313038733802</v>
      </c>
      <c r="N27" s="232">
        <f t="shared" si="7"/>
        <v>5723.9541261939157</v>
      </c>
      <c r="O27" s="232">
        <f t="shared" si="7"/>
        <v>9010.8066146911442</v>
      </c>
      <c r="P27" s="232">
        <f t="shared" si="7"/>
        <v>6258.5846850600428</v>
      </c>
      <c r="Q27" s="232">
        <f t="shared" si="7"/>
        <v>8319.5926526606199</v>
      </c>
      <c r="R27" s="232">
        <f t="shared" si="7"/>
        <v>6570.5383397928454</v>
      </c>
      <c r="S27" s="232">
        <f t="shared" si="7"/>
        <v>6690.025463546408</v>
      </c>
      <c r="T27" s="232">
        <f t="shared" si="7"/>
        <v>7094.0105837431256</v>
      </c>
      <c r="U27" s="232">
        <f t="shared" si="7"/>
        <v>6873.2067142351807</v>
      </c>
      <c r="V27" s="232">
        <f t="shared" si="7"/>
        <v>10013.324474227076</v>
      </c>
      <c r="W27" s="232">
        <f t="shared" si="7"/>
        <v>7320.9345489017942</v>
      </c>
      <c r="X27" s="232">
        <f t="shared" si="7"/>
        <v>9300.8185868097935</v>
      </c>
      <c r="Y27" s="232">
        <f t="shared" si="7"/>
        <v>7273.3884747457996</v>
      </c>
      <c r="Z27" s="232">
        <f t="shared" si="7"/>
        <v>7294.1724355284969</v>
      </c>
      <c r="AA27" s="232">
        <f t="shared" si="7"/>
        <v>7616.86257323467</v>
      </c>
      <c r="AB27" s="232">
        <f t="shared" si="7"/>
        <v>7629.1720224988676</v>
      </c>
      <c r="AC27" s="232">
        <f t="shared" si="7"/>
        <v>10458.368394810321</v>
      </c>
      <c r="AD27" s="232">
        <f t="shared" si="7"/>
        <v>7499.2630658354537</v>
      </c>
      <c r="AE27" s="232">
        <f t="shared" si="7"/>
        <v>9509.644969207242</v>
      </c>
      <c r="AF27" s="232">
        <f t="shared" si="7"/>
        <v>7638.2348324620398</v>
      </c>
      <c r="AG27" s="232">
        <f t="shared" si="7"/>
        <v>7606.0046849751234</v>
      </c>
      <c r="AH27" s="232">
        <f t="shared" si="7"/>
        <v>7558.798132411619</v>
      </c>
      <c r="AI27" s="232">
        <f t="shared" si="7"/>
        <v>7480.0233062661282</v>
      </c>
      <c r="AJ27" s="232">
        <f t="shared" si="7"/>
        <v>10438.81280563437</v>
      </c>
      <c r="AK27" s="232">
        <f t="shared" si="7"/>
        <v>7274.7557809257632</v>
      </c>
    </row>
    <row r="28" spans="1:37" ht="13.15" customHeight="1" outlineLevel="1" x14ac:dyDescent="0.2">
      <c r="A28" s="563"/>
      <c r="B28" s="572"/>
      <c r="C28" s="572"/>
      <c r="D28" s="572"/>
      <c r="E28" s="572"/>
      <c r="F28" s="572"/>
      <c r="G28" s="572"/>
      <c r="H28" s="572"/>
      <c r="I28" s="572"/>
      <c r="J28" s="572"/>
      <c r="K28" s="572"/>
      <c r="L28" s="572"/>
      <c r="M28" s="572"/>
      <c r="N28" s="572"/>
      <c r="O28" s="572"/>
      <c r="P28" s="572"/>
      <c r="Q28" s="572"/>
      <c r="R28" s="572"/>
      <c r="S28" s="572"/>
      <c r="T28" s="572"/>
      <c r="U28" s="572"/>
      <c r="V28" s="572"/>
      <c r="W28" s="572"/>
      <c r="X28" s="572"/>
      <c r="Y28" s="572"/>
      <c r="Z28" s="572"/>
      <c r="AA28" s="572"/>
      <c r="AB28" s="572"/>
      <c r="AC28" s="572"/>
      <c r="AD28" s="572"/>
      <c r="AE28" s="572"/>
      <c r="AF28" s="572"/>
      <c r="AG28" s="554"/>
      <c r="AH28" s="554"/>
      <c r="AI28" s="554"/>
      <c r="AJ28" s="554"/>
      <c r="AK28" s="554"/>
    </row>
    <row r="29" spans="1:37" ht="13.15" customHeight="1" outlineLevel="1" x14ac:dyDescent="0.2">
      <c r="A29" s="563" t="s">
        <v>1484</v>
      </c>
      <c r="B29" s="572">
        <f t="shared" si="1"/>
        <v>346731.33368524973</v>
      </c>
      <c r="C29" s="572">
        <f>SUM('26 - IFRIC 12'!D6,'26 - IFRIC 12'!D17)</f>
        <v>0</v>
      </c>
      <c r="D29" s="572">
        <f>SUM('26 - IFRIC 12'!E6,'26 - IFRIC 12'!E17)</f>
        <v>2291.6805863607419</v>
      </c>
      <c r="E29" s="572">
        <f>SUM('26 - IFRIC 12'!F6,'26 - IFRIC 12'!F17)</f>
        <v>2457.9324141397374</v>
      </c>
      <c r="F29" s="572">
        <f>SUM('26 - IFRIC 12'!G6,'26 - IFRIC 12'!G17)</f>
        <v>2691.5871740325779</v>
      </c>
      <c r="G29" s="572">
        <f>SUM('26 - IFRIC 12'!H6,'26 - IFRIC 12'!H17)</f>
        <v>2858.8572391166445</v>
      </c>
      <c r="H29" s="572">
        <f>SUM('26 - IFRIC 12'!I6,'26 - IFRIC 12'!I17)</f>
        <v>3160.1495604164611</v>
      </c>
      <c r="I29" s="572">
        <f>SUM('26 - IFRIC 12'!J6,'26 - IFRIC 12'!J17)</f>
        <v>3546.0916765089719</v>
      </c>
      <c r="J29" s="572">
        <f>SUM('26 - IFRIC 12'!K6,'26 - IFRIC 12'!K17)</f>
        <v>3772.099788492128</v>
      </c>
      <c r="K29" s="572">
        <f>SUM('26 - IFRIC 12'!L6,'26 - IFRIC 12'!L17)</f>
        <v>6078.6324784010567</v>
      </c>
      <c r="L29" s="572">
        <f>SUM('26 - IFRIC 12'!M6,'26 - IFRIC 12'!M17)</f>
        <v>6483.613510048046</v>
      </c>
      <c r="M29" s="572">
        <f>SUM('26 - IFRIC 12'!N6,'26 - IFRIC 12'!N17)</f>
        <v>6892.7854657802645</v>
      </c>
      <c r="N29" s="572">
        <f>SUM('26 - IFRIC 12'!O6,'26 - IFRIC 12'!O17)</f>
        <v>7445.7931733088826</v>
      </c>
      <c r="O29" s="572">
        <f>SUM('26 - IFRIC 12'!P6,'26 - IFRIC 12'!P17)</f>
        <v>7838.5361767811974</v>
      </c>
      <c r="P29" s="572">
        <f>SUM('26 - IFRIC 12'!Q6,'26 - IFRIC 12'!Q17)</f>
        <v>8436.5543573034283</v>
      </c>
      <c r="Q29" s="572">
        <f>SUM('26 - IFRIC 12'!R6,'26 - IFRIC 12'!R17)</f>
        <v>8826.0309279295434</v>
      </c>
      <c r="R29" s="572">
        <f>SUM('26 - IFRIC 12'!S6,'26 - IFRIC 12'!S17)</f>
        <v>11223.356186496017</v>
      </c>
      <c r="S29" s="572">
        <f>SUM('26 - IFRIC 12'!T6,'26 - IFRIC 12'!T17)</f>
        <v>11798.921099091587</v>
      </c>
      <c r="T29" s="572">
        <f>SUM('26 - IFRIC 12'!U6,'26 - IFRIC 12'!U17)</f>
        <v>12331.771027356965</v>
      </c>
      <c r="U29" s="572">
        <f>SUM('26 - IFRIC 12'!V6,'26 - IFRIC 12'!V17)</f>
        <v>12837.413190437002</v>
      </c>
      <c r="V29" s="572">
        <f>SUM('26 - IFRIC 12'!W6,'26 - IFRIC 12'!W17)</f>
        <v>13236.398057408589</v>
      </c>
      <c r="W29" s="572">
        <f>SUM('26 - IFRIC 12'!X6,'26 - IFRIC 12'!X17)</f>
        <v>13724.984370338821</v>
      </c>
      <c r="X29" s="572">
        <f>SUM('26 - IFRIC 12'!Y6,'26 - IFRIC 12'!Y17)</f>
        <v>14285.959930907842</v>
      </c>
      <c r="Y29" s="572">
        <f>SUM('26 - IFRIC 12'!Z6,'26 - IFRIC 12'!Z17)</f>
        <v>16455.784751207069</v>
      </c>
      <c r="Z29" s="572">
        <f>SUM('26 - IFRIC 12'!AA6,'26 - IFRIC 12'!AA17)</f>
        <v>16712.308888449035</v>
      </c>
      <c r="AA29" s="572">
        <f>SUM('26 - IFRIC 12'!AB6,'26 - IFRIC 12'!AB17)</f>
        <v>16779.249071653954</v>
      </c>
      <c r="AB29" s="572">
        <f>SUM('26 - IFRIC 12'!AC6,'26 - IFRIC 12'!AC17)</f>
        <v>16825.40406341722</v>
      </c>
      <c r="AC29" s="572">
        <f>SUM('26 - IFRIC 12'!AD6,'26 - IFRIC 12'!AD17)</f>
        <v>16695.589617045305</v>
      </c>
      <c r="AD29" s="572">
        <f>SUM('26 - IFRIC 12'!AE6,'26 - IFRIC 12'!AE17)</f>
        <v>16339.702130405287</v>
      </c>
      <c r="AE29" s="572">
        <f>SUM('26 - IFRIC 12'!AF6,'26 - IFRIC 12'!AF17)</f>
        <v>15727.139061520495</v>
      </c>
      <c r="AF29" s="572">
        <f>SUM('26 - IFRIC 12'!AG6,'26 - IFRIC 12'!AG17)</f>
        <v>16580.288779133713</v>
      </c>
      <c r="AG29" s="572">
        <f>SUM('26 - IFRIC 12'!AH6,'26 - IFRIC 12'!AH17)</f>
        <v>15180.911652309172</v>
      </c>
      <c r="AH29" s="572">
        <f>SUM('26 - IFRIC 12'!AI6,'26 - IFRIC 12'!AI17)</f>
        <v>13457.738895419732</v>
      </c>
      <c r="AI29" s="572">
        <f>SUM('26 - IFRIC 12'!AJ6,'26 - IFRIC 12'!AJ17)</f>
        <v>11065.014900844264</v>
      </c>
      <c r="AJ29" s="572">
        <f>SUM('26 - IFRIC 12'!AK6,'26 - IFRIC 12'!AK17)</f>
        <v>8176.6575967337494</v>
      </c>
      <c r="AK29" s="572">
        <f>SUM('26 - IFRIC 12'!AL6,'26 - IFRIC 12'!AL17)</f>
        <v>4516.3958864541773</v>
      </c>
    </row>
    <row r="30" spans="1:37" ht="13.15" customHeight="1" outlineLevel="1" x14ac:dyDescent="0.2">
      <c r="A30" s="563" t="s">
        <v>1485</v>
      </c>
      <c r="B30" s="572">
        <f t="shared" si="1"/>
        <v>-490101.76893124974</v>
      </c>
      <c r="C30" s="572">
        <f>SUM('26 - IFRIC 12'!D7,'26 - IFRIC 12'!D18)</f>
        <v>-679.3787256434963</v>
      </c>
      <c r="D30" s="572">
        <f>SUM('26 - IFRIC 12'!E7,'26 - IFRIC 12'!E18)</f>
        <v>-752.69582921706706</v>
      </c>
      <c r="E30" s="572">
        <f>SUM('26 - IFRIC 12'!F7,'26 - IFRIC 12'!F18)</f>
        <v>-852.95771517640378</v>
      </c>
      <c r="F30" s="572">
        <f>SUM('26 - IFRIC 12'!G7,'26 - IFRIC 12'!G18)</f>
        <v>-937.94054757358276</v>
      </c>
      <c r="G30" s="572">
        <f>SUM('26 - IFRIC 12'!H7,'26 - IFRIC 12'!H18)</f>
        <v>-1074.2126850320474</v>
      </c>
      <c r="H30" s="572">
        <f>SUM('26 - IFRIC 12'!I7,'26 - IFRIC 12'!I18)</f>
        <v>-1250.8029487466702</v>
      </c>
      <c r="I30" s="572">
        <f>SUM('26 - IFRIC 12'!J7,'26 - IFRIC 12'!J18)</f>
        <v>-1380.8149129988071</v>
      </c>
      <c r="J30" s="572">
        <f>SUM('26 - IFRIC 12'!K7,'26 - IFRIC 12'!K18)</f>
        <v>-2315.6413955595845</v>
      </c>
      <c r="K30" s="572">
        <f>SUM('26 - IFRIC 12'!L7,'26 - IFRIC 12'!L18)</f>
        <v>-2569.5427893329206</v>
      </c>
      <c r="L30" s="572">
        <f>SUM('26 - IFRIC 12'!M7,'26 - IFRIC 12'!M18)</f>
        <v>-2847.4871142321281</v>
      </c>
      <c r="M30" s="572">
        <f>SUM('26 - IFRIC 12'!N7,'26 - IFRIC 12'!N18)</f>
        <v>-3211.0699839760991</v>
      </c>
      <c r="N30" s="572">
        <f>SUM('26 - IFRIC 12'!O7,'26 - IFRIC 12'!O18)</f>
        <v>-3532.4814400020778</v>
      </c>
      <c r="O30" s="572">
        <f>SUM('26 - IFRIC 12'!P7,'26 - IFRIC 12'!P18)</f>
        <v>-3980.8748782239763</v>
      </c>
      <c r="P30" s="572">
        <f>SUM('26 - IFRIC 12'!Q7,'26 - IFRIC 12'!Q18)</f>
        <v>-4369.7484155921084</v>
      </c>
      <c r="Q30" s="572">
        <f>SUM('26 - IFRIC 12'!R7,'26 - IFRIC 12'!R18)</f>
        <v>-5845.3227872137004</v>
      </c>
      <c r="R30" s="572">
        <f>SUM('26 - IFRIC 12'!S7,'26 - IFRIC 12'!S18)</f>
        <v>-6478.6534597516193</v>
      </c>
      <c r="S30" s="572">
        <f>SUM('26 - IFRIC 12'!T7,'26 - IFRIC 12'!T18)</f>
        <v>-7153.3176144854688</v>
      </c>
      <c r="T30" s="572">
        <f>SUM('26 - IFRIC 12'!U7,'26 - IFRIC 12'!U18)</f>
        <v>-7891.9436734059454</v>
      </c>
      <c r="U30" s="572">
        <f>SUM('26 - IFRIC 12'!V7,'26 - IFRIC 12'!V18)</f>
        <v>-8654.0803385116487</v>
      </c>
      <c r="V30" s="572">
        <f>SUM('26 - IFRIC 12'!W7,'26 - IFRIC 12'!W18)</f>
        <v>-9581.5254804902106</v>
      </c>
      <c r="W30" s="572">
        <f>SUM('26 - IFRIC 12'!X7,'26 - IFRIC 12'!X18)</f>
        <v>-10696.837566972516</v>
      </c>
      <c r="X30" s="572">
        <f>SUM('26 - IFRIC 12'!Y7,'26 - IFRIC 12'!Y18)</f>
        <v>-13274.652566218503</v>
      </c>
      <c r="Y30" s="572">
        <f>SUM('26 - IFRIC 12'!Z7,'26 - IFRIC 12'!Z18)</f>
        <v>-14611.302182046667</v>
      </c>
      <c r="Z30" s="572">
        <f>SUM('26 - IFRIC 12'!AA7,'26 - IFRIC 12'!AA18)</f>
        <v>-16010.981848201704</v>
      </c>
      <c r="AA30" s="572">
        <f>SUM('26 - IFRIC 12'!AB7,'26 - IFRIC 12'!AB18)</f>
        <v>-17669.891767790592</v>
      </c>
      <c r="AB30" s="572">
        <f>SUM('26 - IFRIC 12'!AC7,'26 - IFRIC 12'!AC18)</f>
        <v>-19493.613412376089</v>
      </c>
      <c r="AC30" s="572">
        <f>SUM('26 - IFRIC 12'!AD7,'26 - IFRIC 12'!AD18)</f>
        <v>-21462.088286442246</v>
      </c>
      <c r="AD30" s="572">
        <f>SUM('26 - IFRIC 12'!AE7,'26 - IFRIC 12'!AE18)</f>
        <v>-23608.479002121014</v>
      </c>
      <c r="AE30" s="572">
        <f>SUM('26 - IFRIC 12'!AF7,'26 - IFRIC 12'!AF18)</f>
        <v>-29038.07262377999</v>
      </c>
      <c r="AF30" s="572">
        <f>SUM('26 - IFRIC 12'!AG7,'26 - IFRIC 12'!AG18)</f>
        <v>-31908.02122260342</v>
      </c>
      <c r="AG30" s="572">
        <f>SUM('26 - IFRIC 12'!AH7,'26 - IFRIC 12'!AH18)</f>
        <v>-35366.192942337315</v>
      </c>
      <c r="AH30" s="572">
        <f>SUM('26 - IFRIC 12'!AI7,'26 - IFRIC 12'!AI18)</f>
        <v>-38751.93027161678</v>
      </c>
      <c r="AI30" s="572">
        <f>SUM('26 - IFRIC 12'!AJ7,'26 - IFRIC 12'!AJ18)</f>
        <v>-42933.562670405605</v>
      </c>
      <c r="AJ30" s="572">
        <f>SUM('26 - IFRIC 12'!AK7,'26 - IFRIC 12'!AK18)</f>
        <v>-47404.593204151868</v>
      </c>
      <c r="AK30" s="572">
        <f>SUM('26 - IFRIC 12'!AL7,'26 - IFRIC 12'!AL18)</f>
        <v>-52511.056629019768</v>
      </c>
    </row>
    <row r="31" spans="1:37" ht="13.15" customHeight="1" outlineLevel="1" x14ac:dyDescent="0.2">
      <c r="A31" s="563" t="s">
        <v>1486</v>
      </c>
      <c r="B31" s="572">
        <f t="shared" si="1"/>
        <v>-30102.010623004055</v>
      </c>
      <c r="C31" s="572">
        <f>-'27 - Financiamento'!C48</f>
        <v>-952.67497993874986</v>
      </c>
      <c r="D31" s="572">
        <f>-'27 - Financiamento'!D48</f>
        <v>-1905.3499598774997</v>
      </c>
      <c r="E31" s="572">
        <f>-'27 - Financiamento'!E48</f>
        <v>-1905.3499598774997</v>
      </c>
      <c r="F31" s="572">
        <f>-'27 - Financiamento'!F48</f>
        <v>-1667.1812148928122</v>
      </c>
      <c r="G31" s="572">
        <f>-'27 - Financiamento'!G48</f>
        <v>-1429.0124699081248</v>
      </c>
      <c r="H31" s="572">
        <f>-'27 - Financiamento'!H48</f>
        <v>-1190.8437249234373</v>
      </c>
      <c r="I31" s="572">
        <f>-'27 - Financiamento'!I48</f>
        <v>-952.67497993874986</v>
      </c>
      <c r="J31" s="572">
        <f>-'27 - Financiamento'!J48</f>
        <v>-714.50623495406239</v>
      </c>
      <c r="K31" s="572">
        <f>-'27 - Financiamento'!K48</f>
        <v>-476.33748996937493</v>
      </c>
      <c r="L31" s="572">
        <f>-'27 - Financiamento'!L48</f>
        <v>-238.16874498468746</v>
      </c>
      <c r="M31" s="572">
        <f>-'27 - Financiamento'!M48</f>
        <v>-559.4090978155499</v>
      </c>
      <c r="N31" s="572">
        <f>-'27 - Financiamento'!N48</f>
        <v>-1118.8181956310998</v>
      </c>
      <c r="O31" s="572">
        <f>-'27 - Financiamento'!O48</f>
        <v>-1118.8181956310998</v>
      </c>
      <c r="P31" s="572">
        <f>-'27 - Financiamento'!P48</f>
        <v>-978.96592117721229</v>
      </c>
      <c r="Q31" s="572">
        <f>-'27 - Financiamento'!Q48</f>
        <v>-839.1136467233249</v>
      </c>
      <c r="R31" s="572">
        <f>-'27 - Financiamento'!R48</f>
        <v>-699.2613722694374</v>
      </c>
      <c r="S31" s="572">
        <f>-'27 - Financiamento'!S48</f>
        <v>-559.40909781555001</v>
      </c>
      <c r="T31" s="572">
        <f>-'27 - Financiamento'!T48</f>
        <v>-419.55682336166257</v>
      </c>
      <c r="U31" s="572">
        <f>-'27 - Financiamento'!U48</f>
        <v>-279.70454890777512</v>
      </c>
      <c r="V31" s="572">
        <f>-'27 - Financiamento'!V48</f>
        <v>-139.85227445388762</v>
      </c>
      <c r="W31" s="572">
        <f>-'27 - Financiamento'!W48</f>
        <v>-940.54476574979992</v>
      </c>
      <c r="X31" s="572">
        <f>-'27 - Financiamento'!X48</f>
        <v>-1881.0895314995998</v>
      </c>
      <c r="Y31" s="572">
        <f>-'27 - Financiamento'!Y48</f>
        <v>-1881.0895314996001</v>
      </c>
      <c r="Z31" s="572">
        <f>-'27 - Financiamento'!Z48</f>
        <v>-1645.9533400621501</v>
      </c>
      <c r="AA31" s="572">
        <f>-'27 - Financiamento'!AA48</f>
        <v>-1410.8171486246999</v>
      </c>
      <c r="AB31" s="572">
        <f>-'27 - Financiamento'!AB48</f>
        <v>-1175.68095718725</v>
      </c>
      <c r="AC31" s="572">
        <f>-'27 - Financiamento'!AC48</f>
        <v>-940.54476574979992</v>
      </c>
      <c r="AD31" s="572">
        <f>-'27 - Financiamento'!AD48</f>
        <v>-705.40857431234986</v>
      </c>
      <c r="AE31" s="572">
        <f>-'27 - Financiamento'!AE48</f>
        <v>-470.2723828748999</v>
      </c>
      <c r="AF31" s="572">
        <f>-'27 - Financiamento'!AF48</f>
        <v>-235.1361914374499</v>
      </c>
      <c r="AG31" s="572">
        <f>-'27 - Financiamento'!AG48</f>
        <v>-191.56128598709998</v>
      </c>
      <c r="AH31" s="572">
        <f>-'27 - Financiamento'!AH48</f>
        <v>-191.56128598709998</v>
      </c>
      <c r="AI31" s="572">
        <f>-'27 - Financiamento'!AI48</f>
        <v>-143.67096449032499</v>
      </c>
      <c r="AJ31" s="572">
        <f>-'27 - Financiamento'!AJ48</f>
        <v>-95.780642993549989</v>
      </c>
      <c r="AK31" s="572">
        <f>-'27 - Financiamento'!AK48</f>
        <v>-47.890321496774995</v>
      </c>
    </row>
    <row r="32" spans="1:37" ht="13.15" customHeight="1" x14ac:dyDescent="0.2">
      <c r="A32" s="598"/>
      <c r="B32" s="403"/>
      <c r="C32" s="403"/>
      <c r="D32" s="403"/>
      <c r="E32" s="403"/>
      <c r="F32" s="403"/>
      <c r="G32" s="403"/>
      <c r="H32" s="403"/>
      <c r="I32" s="403"/>
      <c r="J32" s="403"/>
      <c r="K32" s="403"/>
      <c r="L32" s="403"/>
      <c r="M32" s="403"/>
      <c r="N32" s="403"/>
      <c r="O32" s="403"/>
      <c r="P32" s="403"/>
      <c r="Q32" s="403"/>
      <c r="R32" s="403"/>
      <c r="S32" s="403"/>
      <c r="T32" s="403"/>
      <c r="U32" s="403"/>
      <c r="V32" s="403"/>
      <c r="W32" s="403"/>
      <c r="X32" s="403"/>
      <c r="Y32" s="403"/>
      <c r="Z32" s="403"/>
      <c r="AA32" s="403"/>
      <c r="AB32" s="403"/>
      <c r="AC32" s="403"/>
      <c r="AD32" s="403"/>
      <c r="AE32" s="403"/>
      <c r="AF32" s="403"/>
      <c r="AG32" s="403"/>
      <c r="AH32" s="403"/>
      <c r="AI32" s="403"/>
      <c r="AJ32" s="403"/>
      <c r="AK32" s="403"/>
    </row>
    <row r="33" spans="1:37" s="8" customFormat="1" ht="13.15" customHeight="1" x14ac:dyDescent="0.2">
      <c r="A33" s="229" t="s">
        <v>1487</v>
      </c>
      <c r="B33" s="232">
        <f t="shared" si="1"/>
        <v>72141.034265409369</v>
      </c>
      <c r="C33" s="232">
        <f>SUM(C27:C31)</f>
        <v>3871.9991132530158</v>
      </c>
      <c r="D33" s="232">
        <f t="shared" ref="D33:AK33" si="8">SUM(D27:D31)</f>
        <v>3245.8015287215167</v>
      </c>
      <c r="E33" s="232">
        <f t="shared" si="8"/>
        <v>3684.7550307969068</v>
      </c>
      <c r="F33" s="232">
        <f t="shared" si="8"/>
        <v>4682.9689849994611</v>
      </c>
      <c r="G33" s="232">
        <f t="shared" si="8"/>
        <v>5365.6957401048967</v>
      </c>
      <c r="H33" s="232">
        <f t="shared" si="8"/>
        <v>8150.0667840096121</v>
      </c>
      <c r="I33" s="232">
        <f t="shared" si="8"/>
        <v>5835.4106736422245</v>
      </c>
      <c r="J33" s="232">
        <f t="shared" si="8"/>
        <v>7251.8098554323833</v>
      </c>
      <c r="K33" s="232">
        <f t="shared" si="8"/>
        <v>7846.8224669214487</v>
      </c>
      <c r="L33" s="232">
        <f t="shared" si="8"/>
        <v>8686.3903889993308</v>
      </c>
      <c r="M33" s="232">
        <f t="shared" si="8"/>
        <v>8907.8376878619947</v>
      </c>
      <c r="N33" s="232">
        <f t="shared" si="8"/>
        <v>8518.4476638696196</v>
      </c>
      <c r="O33" s="232">
        <f t="shared" si="8"/>
        <v>11749.649717617267</v>
      </c>
      <c r="P33" s="232">
        <f t="shared" si="8"/>
        <v>9346.4247055941505</v>
      </c>
      <c r="Q33" s="232">
        <f t="shared" si="8"/>
        <v>10461.187146653139</v>
      </c>
      <c r="R33" s="232">
        <f t="shared" si="8"/>
        <v>10615.979694267808</v>
      </c>
      <c r="S33" s="232">
        <f t="shared" si="8"/>
        <v>10776.219850336976</v>
      </c>
      <c r="T33" s="232">
        <f t="shared" si="8"/>
        <v>11114.281114332482</v>
      </c>
      <c r="U33" s="232">
        <f t="shared" si="8"/>
        <v>10776.835017252757</v>
      </c>
      <c r="V33" s="232">
        <f t="shared" si="8"/>
        <v>13528.344776691565</v>
      </c>
      <c r="W33" s="232">
        <f t="shared" si="8"/>
        <v>9408.5365865182994</v>
      </c>
      <c r="X33" s="232">
        <f t="shared" si="8"/>
        <v>8431.0364199995311</v>
      </c>
      <c r="Y33" s="232">
        <f t="shared" si="8"/>
        <v>7236.7815124066019</v>
      </c>
      <c r="Z33" s="232">
        <f t="shared" si="8"/>
        <v>6349.5461357136783</v>
      </c>
      <c r="AA33" s="232">
        <f t="shared" si="8"/>
        <v>5315.402728473332</v>
      </c>
      <c r="AB33" s="232">
        <f t="shared" si="8"/>
        <v>3785.2817163527479</v>
      </c>
      <c r="AC33" s="232">
        <f t="shared" si="8"/>
        <v>4751.3249596635806</v>
      </c>
      <c r="AD33" s="232">
        <f t="shared" si="8"/>
        <v>-474.922380192623</v>
      </c>
      <c r="AE33" s="232">
        <f t="shared" si="8"/>
        <v>-4271.5609759271538</v>
      </c>
      <c r="AF33" s="232">
        <f t="shared" si="8"/>
        <v>-7924.6338024451179</v>
      </c>
      <c r="AG33" s="232">
        <f t="shared" si="8"/>
        <v>-12770.837891040119</v>
      </c>
      <c r="AH33" s="232">
        <f t="shared" si="8"/>
        <v>-17926.954529772531</v>
      </c>
      <c r="AI33" s="232">
        <f t="shared" si="8"/>
        <v>-24532.195427785537</v>
      </c>
      <c r="AJ33" s="232">
        <f t="shared" si="8"/>
        <v>-28884.903444777301</v>
      </c>
      <c r="AK33" s="232">
        <f t="shared" si="8"/>
        <v>-40767.795283136598</v>
      </c>
    </row>
    <row r="34" spans="1:37" ht="13.15" customHeight="1" x14ac:dyDescent="0.2">
      <c r="A34" s="563"/>
      <c r="B34" s="572"/>
      <c r="C34" s="572"/>
      <c r="D34" s="572"/>
      <c r="E34" s="572"/>
      <c r="F34" s="572"/>
      <c r="G34" s="572"/>
      <c r="H34" s="572"/>
      <c r="I34" s="572"/>
      <c r="J34" s="572"/>
      <c r="K34" s="572"/>
      <c r="L34" s="572"/>
      <c r="M34" s="572"/>
      <c r="N34" s="572"/>
      <c r="O34" s="572"/>
      <c r="P34" s="572"/>
      <c r="Q34" s="572"/>
      <c r="R34" s="572"/>
      <c r="S34" s="572"/>
      <c r="T34" s="572"/>
      <c r="U34" s="572"/>
      <c r="V34" s="572"/>
      <c r="W34" s="572"/>
      <c r="X34" s="572"/>
      <c r="Y34" s="572"/>
      <c r="Z34" s="572"/>
      <c r="AA34" s="572"/>
      <c r="AB34" s="572"/>
      <c r="AC34" s="572"/>
      <c r="AD34" s="572"/>
      <c r="AE34" s="572"/>
      <c r="AF34" s="572"/>
      <c r="AG34" s="554"/>
      <c r="AH34" s="554"/>
      <c r="AI34" s="554"/>
      <c r="AJ34" s="554"/>
      <c r="AK34" s="554"/>
    </row>
    <row r="35" spans="1:37" ht="13.15" customHeight="1" x14ac:dyDescent="0.2">
      <c r="A35" s="228" t="s">
        <v>1488</v>
      </c>
      <c r="B35" s="232">
        <f t="shared" si="1"/>
        <v>-42218.184770149419</v>
      </c>
      <c r="C35" s="232">
        <f>SUM(C36:C38)</f>
        <v>-251.65343858883637</v>
      </c>
      <c r="D35" s="232">
        <f t="shared" ref="D35:AK35" si="9">SUM(D36:D38)</f>
        <v>-758.29084072988849</v>
      </c>
      <c r="E35" s="232">
        <f t="shared" si="9"/>
        <v>-791.33938726440647</v>
      </c>
      <c r="F35" s="232">
        <f t="shared" si="9"/>
        <v>-843.84744865692164</v>
      </c>
      <c r="G35" s="232">
        <f t="shared" si="9"/>
        <v>-870.72686932605393</v>
      </c>
      <c r="H35" s="232">
        <f t="shared" si="9"/>
        <v>-2195.877419020771</v>
      </c>
      <c r="I35" s="232">
        <f t="shared" si="9"/>
        <v>-1674.9404992074965</v>
      </c>
      <c r="J35" s="232">
        <f t="shared" si="9"/>
        <v>-1475.0720530768494</v>
      </c>
      <c r="K35" s="232">
        <f t="shared" si="9"/>
        <v>-1817.3306283091658</v>
      </c>
      <c r="L35" s="232">
        <f t="shared" si="9"/>
        <v>-2060.5231828958395</v>
      </c>
      <c r="M35" s="232">
        <f t="shared" si="9"/>
        <v>-2166.3897387645184</v>
      </c>
      <c r="N35" s="232">
        <f t="shared" si="9"/>
        <v>-2173.9339649973313</v>
      </c>
      <c r="O35" s="232">
        <f t="shared" si="9"/>
        <v>-4289.1166612817278</v>
      </c>
      <c r="P35" s="232">
        <f t="shared" si="9"/>
        <v>-3507.5994315844873</v>
      </c>
      <c r="Q35" s="232">
        <f t="shared" si="9"/>
        <v>-3208.0153374711563</v>
      </c>
      <c r="R35" s="232">
        <f t="shared" si="9"/>
        <v>-3286.6912775222409</v>
      </c>
      <c r="S35" s="232">
        <f t="shared" si="9"/>
        <v>-3322.8862474761236</v>
      </c>
      <c r="T35" s="232">
        <f t="shared" si="9"/>
        <v>-3528.383857782665</v>
      </c>
      <c r="U35" s="232">
        <f t="shared" si="9"/>
        <v>-3413.5886100280859</v>
      </c>
      <c r="V35" s="232">
        <f t="shared" si="9"/>
        <v>-5375.0929157220835</v>
      </c>
      <c r="W35" s="232">
        <f t="shared" si="9"/>
        <v>-3986.5470336438148</v>
      </c>
      <c r="X35" s="232">
        <f t="shared" si="9"/>
        <v>-3179.1603138075398</v>
      </c>
      <c r="Y35" s="232">
        <f t="shared" si="9"/>
        <v>-2794.4059783878456</v>
      </c>
      <c r="Z35" s="232">
        <f t="shared" si="9"/>
        <v>-2490.4495519257071</v>
      </c>
      <c r="AA35" s="232">
        <f t="shared" si="9"/>
        <v>-2182.8517149902159</v>
      </c>
      <c r="AB35" s="232">
        <f t="shared" si="9"/>
        <v>-1754.7797519195219</v>
      </c>
      <c r="AC35" s="232">
        <f t="shared" si="9"/>
        <v>-3119.337465660552</v>
      </c>
      <c r="AD35" s="232">
        <f t="shared" si="9"/>
        <v>-1381.8531216727747</v>
      </c>
      <c r="AE35" s="232">
        <f t="shared" si="9"/>
        <v>-1116.2612125997503</v>
      </c>
      <c r="AF35" s="232">
        <f t="shared" si="9"/>
        <v>1082.4553520357731</v>
      </c>
      <c r="AG35" s="232">
        <f t="shared" si="9"/>
        <v>1240.7810218440122</v>
      </c>
      <c r="AH35" s="232">
        <f t="shared" si="9"/>
        <v>2966.9478464392078</v>
      </c>
      <c r="AI35" s="232">
        <f t="shared" si="9"/>
        <v>5020.9111153302183</v>
      </c>
      <c r="AJ35" s="232">
        <f t="shared" si="9"/>
        <v>6341.4998952795795</v>
      </c>
      <c r="AK35" s="232">
        <f t="shared" si="9"/>
        <v>10146.165953236166</v>
      </c>
    </row>
    <row r="36" spans="1:37" ht="13.15" customHeight="1" outlineLevel="1" x14ac:dyDescent="0.2">
      <c r="A36" s="562" t="s">
        <v>1489</v>
      </c>
      <c r="B36" s="572">
        <f t="shared" si="1"/>
        <v>-30847.04718519059</v>
      </c>
      <c r="C36" s="572">
        <f>'28 - Imposto de Renda'!C12</f>
        <v>-178.68635190355616</v>
      </c>
      <c r="D36" s="572">
        <f>'28 - Imposto de Renda'!D12</f>
        <v>0</v>
      </c>
      <c r="E36" s="572">
        <f>'28 - Imposto de Renda'!E12</f>
        <v>0</v>
      </c>
      <c r="F36" s="572">
        <f>'28 - Imposto de Renda'!F12</f>
        <v>0</v>
      </c>
      <c r="G36" s="572">
        <f>'28 - Imposto de Renda'!G12</f>
        <v>0</v>
      </c>
      <c r="H36" s="572">
        <f>'28 - Imposto de Renda'!H12</f>
        <v>-918.22981207946896</v>
      </c>
      <c r="I36" s="572">
        <f>'28 - Imposto de Renda'!I12</f>
        <v>-468.36696119311046</v>
      </c>
      <c r="J36" s="572">
        <f>'28 - Imposto de Renda'!J12</f>
        <v>-297.90249771747216</v>
      </c>
      <c r="K36" s="572">
        <f>'28 - Imposto de Renda'!K12</f>
        <v>-29.169159542597839</v>
      </c>
      <c r="L36" s="572">
        <f>'28 - Imposto de Renda'!L12</f>
        <v>-167.10303008709695</v>
      </c>
      <c r="M36" s="572">
        <f>'28 - Imposto de Renda'!M12</f>
        <v>-211.37875885612021</v>
      </c>
      <c r="N36" s="572">
        <f>'28 - Imposto de Renda'!N12</f>
        <v>-155.80755859329093</v>
      </c>
      <c r="O36" s="572">
        <f>'28 - Imposto de Renda'!O12</f>
        <v>-1698.1745132450114</v>
      </c>
      <c r="P36" s="572">
        <f>'28 - Imposto de Renda'!P12</f>
        <v>-1070.5032444507076</v>
      </c>
      <c r="Q36" s="572">
        <f>'28 - Imposto de Renda'!Q12</f>
        <v>-859.24550976432363</v>
      </c>
      <c r="R36" s="572">
        <f>'28 - Imposto de Renda'!R12</f>
        <v>-459.89035016085177</v>
      </c>
      <c r="S36" s="572">
        <f>'28 - Imposto de Renda'!S12</f>
        <v>-498.7341897127144</v>
      </c>
      <c r="T36" s="572">
        <f>'28 - Imposto de Renda'!T12</f>
        <v>-689.45218337536573</v>
      </c>
      <c r="U36" s="572">
        <f>'28 - Imposto de Renda'!U12</f>
        <v>-669.79879961185122</v>
      </c>
      <c r="V36" s="572">
        <f>'28 - Imposto de Renda'!V12</f>
        <v>-2222.4964684232973</v>
      </c>
      <c r="W36" s="572">
        <f>'28 - Imposto de Renda'!W12</f>
        <v>-1312.5993271479986</v>
      </c>
      <c r="X36" s="572">
        <f>'28 - Imposto de Renda'!X12</f>
        <v>-835.7979799875485</v>
      </c>
      <c r="Y36" s="572">
        <f>'28 - Imposto de Renda'!Y12</f>
        <v>-329.52496697155004</v>
      </c>
      <c r="Z36" s="572">
        <f>'28 - Imposto de Renda'!Z12</f>
        <v>-393.4903550265866</v>
      </c>
      <c r="AA36" s="572">
        <f>'28 - Imposto de Renda'!AA12</f>
        <v>-536.29342731249244</v>
      </c>
      <c r="AB36" s="572">
        <f>'28 - Imposto de Renda'!AB12</f>
        <v>-636.13039138790441</v>
      </c>
      <c r="AC36" s="572">
        <f>'28 - Imposto de Renda'!AC12</f>
        <v>-2135.5325075251299</v>
      </c>
      <c r="AD36" s="572">
        <f>'28 - Imposto de Renda'!AD12</f>
        <v>-1457.2561398074427</v>
      </c>
      <c r="AE36" s="572">
        <f>'28 - Imposto de Renda'!AE12</f>
        <v>-1976.3829986764185</v>
      </c>
      <c r="AF36" s="572">
        <f>'28 - Imposto de Renda'!AF12</f>
        <v>-837.11715031614722</v>
      </c>
      <c r="AG36" s="572">
        <f>'28 - Imposto de Renda'!AG12</f>
        <v>-1829.6108497470059</v>
      </c>
      <c r="AH36" s="572">
        <f>'28 - Imposto de Renda'!AH12</f>
        <v>-1817.8092116061298</v>
      </c>
      <c r="AI36" s="572">
        <f>'28 - Imposto de Renda'!AI12</f>
        <v>-1810.0880854439511</v>
      </c>
      <c r="AJ36" s="572">
        <f>'28 - Imposto de Renda'!AJ12</f>
        <v>-2561.7580406602051</v>
      </c>
      <c r="AK36" s="572">
        <f>'28 - Imposto de Renda'!AK12</f>
        <v>-1782.7163648572471</v>
      </c>
    </row>
    <row r="37" spans="1:37" ht="13.15" customHeight="1" outlineLevel="1" x14ac:dyDescent="0.2">
      <c r="A37" s="562" t="s">
        <v>1438</v>
      </c>
      <c r="B37" s="572">
        <f t="shared" si="1"/>
        <v>-11371.137584958835</v>
      </c>
      <c r="C37" s="572">
        <f>'28 - Imposto de Renda'!C13</f>
        <v>-72.967086685280208</v>
      </c>
      <c r="D37" s="572">
        <f>'28 - Imposto de Renda'!D13</f>
        <v>0</v>
      </c>
      <c r="E37" s="572">
        <f>'28 - Imposto de Renda'!E13</f>
        <v>0</v>
      </c>
      <c r="F37" s="572">
        <f>'28 - Imposto de Renda'!F13</f>
        <v>0</v>
      </c>
      <c r="G37" s="572">
        <f>'28 - Imposto de Renda'!G13</f>
        <v>0</v>
      </c>
      <c r="H37" s="572">
        <f>'28 - Imposto de Renda'!H13</f>
        <v>-339.20273234860883</v>
      </c>
      <c r="I37" s="572">
        <f>'28 - Imposto de Renda'!I13</f>
        <v>-177.25210602951975</v>
      </c>
      <c r="J37" s="572">
        <f>'28 - Imposto de Renda'!J13</f>
        <v>-115.88489917828997</v>
      </c>
      <c r="K37" s="572">
        <f>'28 - Imposto de Renda'!K13</f>
        <v>-17.501495725558701</v>
      </c>
      <c r="L37" s="572">
        <f>'28 - Imposto de Renda'!L13</f>
        <v>-68.797090831354907</v>
      </c>
      <c r="M37" s="572">
        <f>'28 - Imposto de Renda'!M13</f>
        <v>-84.736353188203267</v>
      </c>
      <c r="N37" s="572">
        <f>'28 - Imposto de Renda'!N13</f>
        <v>-64.730721093584734</v>
      </c>
      <c r="O37" s="572">
        <f>'28 - Imposto de Renda'!O13</f>
        <v>-619.98282476820407</v>
      </c>
      <c r="P37" s="572">
        <f>'28 - Imposto de Renda'!P13</f>
        <v>-394.02116800225474</v>
      </c>
      <c r="Q37" s="572">
        <f>'28 - Imposto de Renda'!Q13</f>
        <v>-317.96838351515652</v>
      </c>
      <c r="R37" s="572">
        <f>'28 - Imposto de Renda'!R13</f>
        <v>-174.20052605790664</v>
      </c>
      <c r="S37" s="572">
        <f>'28 - Imposto de Renda'!S13</f>
        <v>-188.18430829657717</v>
      </c>
      <c r="T37" s="572">
        <f>'28 - Imposto de Renda'!T13</f>
        <v>-256.84278601513165</v>
      </c>
      <c r="U37" s="572">
        <f>'28 - Imposto de Renda'!U13</f>
        <v>-249.76756786026644</v>
      </c>
      <c r="V37" s="572">
        <f>'28 - Imposto de Renda'!V13</f>
        <v>-808.73872863238705</v>
      </c>
      <c r="W37" s="572">
        <f>'28 - Imposto de Renda'!W13</f>
        <v>-481.17575777327949</v>
      </c>
      <c r="X37" s="572">
        <f>'28 - Imposto de Renda'!X13</f>
        <v>-309.52727279551743</v>
      </c>
      <c r="Y37" s="572">
        <f>'28 - Imposto de Renda'!Y13</f>
        <v>-127.26898810975801</v>
      </c>
      <c r="Z37" s="572">
        <f>'28 - Imposto de Renda'!Z13</f>
        <v>-150.29652780957116</v>
      </c>
      <c r="AA37" s="572">
        <f>'28 - Imposto de Renda'!AA13</f>
        <v>-201.70563383249728</v>
      </c>
      <c r="AB37" s="572">
        <f>'28 - Imposto de Renda'!AB13</f>
        <v>-237.64694089964559</v>
      </c>
      <c r="AC37" s="572">
        <f>'28 - Imposto de Renda'!AC13</f>
        <v>-777.4317027090467</v>
      </c>
      <c r="AD37" s="572">
        <f>'28 - Imposto de Renda'!AD13</f>
        <v>-533.2522103306793</v>
      </c>
      <c r="AE37" s="572">
        <f>'28 - Imposto de Renda'!AE13</f>
        <v>-720.13787952351072</v>
      </c>
      <c r="AF37" s="572">
        <f>'28 - Imposto de Renda'!AF13</f>
        <v>-310.002174113813</v>
      </c>
      <c r="AG37" s="572">
        <f>'28 - Imposto de Renda'!AG13</f>
        <v>-667.29990590892214</v>
      </c>
      <c r="AH37" s="572">
        <f>'28 - Imposto de Renda'!AH13</f>
        <v>-663.05131617820666</v>
      </c>
      <c r="AI37" s="572">
        <f>'28 - Imposto de Renda'!AI13</f>
        <v>-660.27171075982233</v>
      </c>
      <c r="AJ37" s="572">
        <f>'28 - Imposto de Renda'!AJ13</f>
        <v>-930.87289463767377</v>
      </c>
      <c r="AK37" s="572">
        <f>'28 - Imposto de Renda'!AK13</f>
        <v>-650.41789134860892</v>
      </c>
    </row>
    <row r="38" spans="1:37" ht="13.15" customHeight="1" outlineLevel="1" x14ac:dyDescent="0.2">
      <c r="A38" s="562" t="s">
        <v>1490</v>
      </c>
      <c r="B38" s="572">
        <f t="shared" si="1"/>
        <v>0</v>
      </c>
      <c r="C38" s="572">
        <f>-'26 - IFRIC 12'!D26-'26 - IFRIC 12'!D27</f>
        <v>0</v>
      </c>
      <c r="D38" s="572">
        <f>-'26 - IFRIC 12'!E26-'26 - IFRIC 12'!E27</f>
        <v>-758.29084072988849</v>
      </c>
      <c r="E38" s="572">
        <f>-'26 - IFRIC 12'!F26-'26 - IFRIC 12'!F27</f>
        <v>-791.33938726440647</v>
      </c>
      <c r="F38" s="572">
        <f>-'26 - IFRIC 12'!G26-'26 - IFRIC 12'!G27</f>
        <v>-843.84744865692164</v>
      </c>
      <c r="G38" s="572">
        <f>-'26 - IFRIC 12'!H26-'26 - IFRIC 12'!H27</f>
        <v>-870.72686932605393</v>
      </c>
      <c r="H38" s="572">
        <f>-'26 - IFRIC 12'!I26-'26 - IFRIC 12'!I27</f>
        <v>-938.44487459269305</v>
      </c>
      <c r="I38" s="572">
        <f>-'26 - IFRIC 12'!J26-'26 - IFRIC 12'!J27</f>
        <v>-1029.3214319848662</v>
      </c>
      <c r="J38" s="572">
        <f>-'26 - IFRIC 12'!K26-'26 - IFRIC 12'!K27</f>
        <v>-1061.2846561810873</v>
      </c>
      <c r="K38" s="572">
        <f>-'26 - IFRIC 12'!L26-'26 - IFRIC 12'!L27</f>
        <v>-1770.6599730410094</v>
      </c>
      <c r="L38" s="572">
        <f>-'26 - IFRIC 12'!M26-'26 - IFRIC 12'!M27</f>
        <v>-1824.6230619773874</v>
      </c>
      <c r="M38" s="572">
        <f>-'26 - IFRIC 12'!N26-'26 - IFRIC 12'!N27</f>
        <v>-1870.2746267201951</v>
      </c>
      <c r="N38" s="572">
        <f>-'26 - IFRIC 12'!O26-'26 - IFRIC 12'!O27</f>
        <v>-1953.3956853104555</v>
      </c>
      <c r="O38" s="572">
        <f>-'26 - IFRIC 12'!P26-'26 - IFRIC 12'!P27</f>
        <v>-1970.9593232685122</v>
      </c>
      <c r="P38" s="572">
        <f>-'26 - IFRIC 12'!Q26-'26 - IFRIC 12'!Q27</f>
        <v>-2043.0750191315251</v>
      </c>
      <c r="Q38" s="572">
        <f>-'26 - IFRIC 12'!R26-'26 - IFRIC 12'!R27</f>
        <v>-2030.8014441916762</v>
      </c>
      <c r="R38" s="572">
        <f>-'26 - IFRIC 12'!S26-'26 - IFRIC 12'!S27</f>
        <v>-2652.6004013034826</v>
      </c>
      <c r="S38" s="572">
        <f>-'26 - IFRIC 12'!T26-'26 - IFRIC 12'!T27</f>
        <v>-2635.9677494668322</v>
      </c>
      <c r="T38" s="572">
        <f>-'26 - IFRIC 12'!U26-'26 - IFRIC 12'!U27</f>
        <v>-2582.0888883921675</v>
      </c>
      <c r="U38" s="572">
        <f>-'26 - IFRIC 12'!V26-'26 - IFRIC 12'!V27</f>
        <v>-2494.0222425559682</v>
      </c>
      <c r="V38" s="572">
        <f>-'26 - IFRIC 12'!W26-'26 - IFRIC 12'!W27</f>
        <v>-2343.8577186663993</v>
      </c>
      <c r="W38" s="572">
        <f>-'26 - IFRIC 12'!X26-'26 - IFRIC 12'!X27</f>
        <v>-2192.7719487225368</v>
      </c>
      <c r="X38" s="572">
        <f>-'26 - IFRIC 12'!Y26-'26 - IFRIC 12'!Y27</f>
        <v>-2033.8350610244738</v>
      </c>
      <c r="Y38" s="572">
        <f>-'26 - IFRIC 12'!Z26-'26 - IFRIC 12'!Z27</f>
        <v>-2337.6120233065376</v>
      </c>
      <c r="Z38" s="572">
        <f>-'26 - IFRIC 12'!AA26-'26 - IFRIC 12'!AA27</f>
        <v>-1946.6626690895491</v>
      </c>
      <c r="AA38" s="572">
        <f>-'26 - IFRIC 12'!AB26-'26 - IFRIC 12'!AB27</f>
        <v>-1444.8526538452261</v>
      </c>
      <c r="AB38" s="572">
        <f>-'26 - IFRIC 12'!AC26-'26 - IFRIC 12'!AC27</f>
        <v>-881.00241963197186</v>
      </c>
      <c r="AC38" s="572">
        <f>-'26 - IFRIC 12'!AD26-'26 - IFRIC 12'!AD27</f>
        <v>-206.37325542637518</v>
      </c>
      <c r="AD38" s="572">
        <f>-'26 - IFRIC 12'!AE26-'26 - IFRIC 12'!AE27</f>
        <v>608.65522846534714</v>
      </c>
      <c r="AE38" s="572">
        <f>-'26 - IFRIC 12'!AF26-'26 - IFRIC 12'!AF27</f>
        <v>1580.2596656001788</v>
      </c>
      <c r="AF38" s="572">
        <f>-'26 - IFRIC 12'!AG26-'26 - IFRIC 12'!AG27</f>
        <v>2229.5746764657333</v>
      </c>
      <c r="AG38" s="572">
        <f>-'26 - IFRIC 12'!AH26-'26 - IFRIC 12'!AH27</f>
        <v>3737.6917774999401</v>
      </c>
      <c r="AH38" s="572">
        <f>-'26 - IFRIC 12'!AI26-'26 - IFRIC 12'!AI27</f>
        <v>5447.808374223544</v>
      </c>
      <c r="AI38" s="572">
        <f>-'26 - IFRIC 12'!AJ26-'26 - IFRIC 12'!AJ27</f>
        <v>7491.2709115339921</v>
      </c>
      <c r="AJ38" s="572">
        <f>-'26 - IFRIC 12'!AK26-'26 - IFRIC 12'!AK27</f>
        <v>9834.1308305774583</v>
      </c>
      <c r="AK38" s="572">
        <f>-'26 - IFRIC 12'!AL26-'26 - IFRIC 12'!AL27</f>
        <v>12579.300209442023</v>
      </c>
    </row>
    <row r="39" spans="1:37" ht="13.15" customHeight="1" x14ac:dyDescent="0.2">
      <c r="A39" s="563"/>
      <c r="B39" s="572"/>
      <c r="C39" s="572"/>
      <c r="D39" s="572"/>
      <c r="E39" s="572"/>
      <c r="F39" s="572"/>
      <c r="G39" s="572"/>
      <c r="H39" s="572"/>
      <c r="I39" s="572"/>
      <c r="J39" s="572"/>
      <c r="K39" s="572"/>
      <c r="L39" s="572"/>
      <c r="M39" s="572"/>
      <c r="N39" s="572"/>
      <c r="O39" s="572"/>
      <c r="P39" s="572"/>
      <c r="Q39" s="572"/>
      <c r="R39" s="572"/>
      <c r="S39" s="572"/>
      <c r="T39" s="572"/>
      <c r="U39" s="572"/>
      <c r="V39" s="572"/>
      <c r="W39" s="572"/>
      <c r="X39" s="572"/>
      <c r="Y39" s="572"/>
      <c r="Z39" s="572"/>
      <c r="AA39" s="572"/>
      <c r="AB39" s="572"/>
      <c r="AC39" s="572"/>
      <c r="AD39" s="572"/>
      <c r="AE39" s="572"/>
      <c r="AF39" s="572"/>
      <c r="AG39" s="554"/>
      <c r="AH39" s="554"/>
      <c r="AI39" s="554"/>
      <c r="AJ39" s="554"/>
      <c r="AK39" s="554"/>
    </row>
    <row r="40" spans="1:37" s="8" customFormat="1" ht="13.15" customHeight="1" x14ac:dyDescent="0.2">
      <c r="A40" s="231" t="s">
        <v>1491</v>
      </c>
      <c r="B40" s="233">
        <f t="shared" si="1"/>
        <v>29922.849495259878</v>
      </c>
      <c r="C40" s="233">
        <f>C33+C35</f>
        <v>3620.3456746641796</v>
      </c>
      <c r="D40" s="233">
        <f t="shared" ref="D40:AK40" si="10">D33+D35</f>
        <v>2487.5106879916284</v>
      </c>
      <c r="E40" s="233">
        <f t="shared" si="10"/>
        <v>2893.4156435325003</v>
      </c>
      <c r="F40" s="233">
        <f t="shared" si="10"/>
        <v>3839.1215363425395</v>
      </c>
      <c r="G40" s="233">
        <f t="shared" si="10"/>
        <v>4494.9688707788428</v>
      </c>
      <c r="H40" s="233">
        <f t="shared" si="10"/>
        <v>5954.1893649888407</v>
      </c>
      <c r="I40" s="233">
        <f t="shared" si="10"/>
        <v>4160.4701744347276</v>
      </c>
      <c r="J40" s="233">
        <f t="shared" si="10"/>
        <v>5776.7378023555339</v>
      </c>
      <c r="K40" s="233">
        <f t="shared" si="10"/>
        <v>6029.4918386122827</v>
      </c>
      <c r="L40" s="233">
        <f t="shared" si="10"/>
        <v>6625.8672061034913</v>
      </c>
      <c r="M40" s="233">
        <f t="shared" si="10"/>
        <v>6741.4479490974763</v>
      </c>
      <c r="N40" s="233">
        <f t="shared" si="10"/>
        <v>6344.5136988722879</v>
      </c>
      <c r="O40" s="233">
        <f t="shared" si="10"/>
        <v>7460.5330563355392</v>
      </c>
      <c r="P40" s="233">
        <f t="shared" si="10"/>
        <v>5838.8252740096632</v>
      </c>
      <c r="Q40" s="233">
        <f t="shared" si="10"/>
        <v>7253.171809181983</v>
      </c>
      <c r="R40" s="233">
        <f t="shared" si="10"/>
        <v>7329.2884167455668</v>
      </c>
      <c r="S40" s="233">
        <f t="shared" si="10"/>
        <v>7453.3336028608528</v>
      </c>
      <c r="T40" s="233">
        <f t="shared" si="10"/>
        <v>7585.897256549817</v>
      </c>
      <c r="U40" s="233">
        <f t="shared" si="10"/>
        <v>7363.2464072246712</v>
      </c>
      <c r="V40" s="233">
        <f t="shared" si="10"/>
        <v>8153.2518609694816</v>
      </c>
      <c r="W40" s="233">
        <f t="shared" si="10"/>
        <v>5421.9895528744846</v>
      </c>
      <c r="X40" s="233">
        <f t="shared" si="10"/>
        <v>5251.8761061919913</v>
      </c>
      <c r="Y40" s="233">
        <f t="shared" si="10"/>
        <v>4442.3755340187563</v>
      </c>
      <c r="Z40" s="233">
        <f t="shared" si="10"/>
        <v>3859.0965837879712</v>
      </c>
      <c r="AA40" s="233">
        <f t="shared" si="10"/>
        <v>3132.5510134831161</v>
      </c>
      <c r="AB40" s="233">
        <f t="shared" si="10"/>
        <v>2030.501964433226</v>
      </c>
      <c r="AC40" s="233">
        <f t="shared" si="10"/>
        <v>1631.9874940030286</v>
      </c>
      <c r="AD40" s="233">
        <f t="shared" si="10"/>
        <v>-1856.7755018653977</v>
      </c>
      <c r="AE40" s="233">
        <f t="shared" si="10"/>
        <v>-5387.822188526904</v>
      </c>
      <c r="AF40" s="233">
        <f t="shared" si="10"/>
        <v>-6842.1784504093448</v>
      </c>
      <c r="AG40" s="233">
        <f t="shared" si="10"/>
        <v>-11530.056869196107</v>
      </c>
      <c r="AH40" s="233">
        <f t="shared" si="10"/>
        <v>-14960.006683333322</v>
      </c>
      <c r="AI40" s="233">
        <f t="shared" si="10"/>
        <v>-19511.284312455318</v>
      </c>
      <c r="AJ40" s="233">
        <f t="shared" si="10"/>
        <v>-22543.403549497722</v>
      </c>
      <c r="AK40" s="233">
        <f t="shared" si="10"/>
        <v>-30621.629329900432</v>
      </c>
    </row>
  </sheetData>
  <phoneticPr fontId="8" type="noConversion"/>
  <pageMargins left="0.51181102362204722" right="0.51181102362204722" top="0.78740157480314965" bottom="0.78740157480314965" header="0.31496062992125984" footer="0.31496062992125984"/>
  <pageSetup paperSize="9" scale="25" fitToWidth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Planilha32"/>
  <dimension ref="A1:AK43"/>
  <sheetViews>
    <sheetView showGridLines="0" zoomScale="85" zoomScaleNormal="85" workbookViewId="0">
      <selection activeCell="B4" sqref="B4"/>
    </sheetView>
  </sheetViews>
  <sheetFormatPr defaultColWidth="8.7109375" defaultRowHeight="13.15" customHeight="1" outlineLevelRow="1" x14ac:dyDescent="0.2"/>
  <cols>
    <col min="1" max="1" width="62.28515625" style="207" bestFit="1" customWidth="1"/>
    <col min="2" max="2" width="10.7109375" style="210" bestFit="1" customWidth="1"/>
    <col min="3" max="13" width="8.28515625" style="207" bestFit="1" customWidth="1"/>
    <col min="14" max="37" width="9.28515625" style="207" bestFit="1" customWidth="1"/>
    <col min="38" max="16384" width="8.7109375" style="207"/>
  </cols>
  <sheetData>
    <row r="1" spans="1:37" ht="13.15" customHeight="1" x14ac:dyDescent="0.2">
      <c r="A1" s="208" t="s">
        <v>1492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573"/>
      <c r="N1" s="574"/>
      <c r="O1" s="574"/>
      <c r="P1" s="574"/>
      <c r="Q1" s="209"/>
      <c r="R1" s="734"/>
      <c r="S1" s="734"/>
      <c r="T1" s="734"/>
      <c r="U1" s="734"/>
      <c r="V1" s="734"/>
      <c r="W1" s="734"/>
      <c r="X1" s="734"/>
      <c r="Y1" s="734"/>
      <c r="Z1" s="734"/>
      <c r="AA1" s="734"/>
      <c r="AB1" s="734"/>
      <c r="AC1" s="734"/>
      <c r="AD1" s="734"/>
      <c r="AE1" s="734"/>
      <c r="AF1" s="734"/>
      <c r="AG1" s="573"/>
      <c r="AH1" s="573"/>
      <c r="AI1" s="573"/>
      <c r="AJ1" s="573"/>
      <c r="AK1" s="573"/>
    </row>
    <row r="2" spans="1:37" ht="13.15" customHeight="1" x14ac:dyDescent="0.2">
      <c r="A2" s="210"/>
      <c r="C2" s="575">
        <f>'30 - Dem. Resultados'!C3-'31 - Fluxo de Caixa'!C7</f>
        <v>4150.2895144098948</v>
      </c>
      <c r="D2" s="575">
        <f>'30 - Dem. Resultados'!D3-'31 - Fluxo de Caixa'!D7</f>
        <v>44.442309269332327</v>
      </c>
      <c r="E2" s="575">
        <f>'30 - Dem. Resultados'!E3-'31 - Fluxo de Caixa'!E7</f>
        <v>4194.7318236792344</v>
      </c>
      <c r="F2" s="575">
        <f>'30 - Dem. Resultados'!F3-'31 - Fluxo de Caixa'!F7</f>
        <v>88.844902444594481</v>
      </c>
      <c r="G2" s="575">
        <f>'30 - Dem. Resultados'!G3-'31 - Fluxo de Caixa'!G7</f>
        <v>4239.1741329485667</v>
      </c>
      <c r="H2" s="575">
        <f>'30 - Dem. Resultados'!H3-'31 - Fluxo de Caixa'!H7</f>
        <v>133.28721171392681</v>
      </c>
      <c r="I2" s="575">
        <f>'30 - Dem. Resultados'!I3-'31 - Fluxo de Caixa'!I7</f>
        <v>4272.2973554066775</v>
      </c>
      <c r="J2" s="575">
        <f>'30 - Dem. Resultados'!J3-'31 - Fluxo de Caixa'!J7</f>
        <v>166.41043417203764</v>
      </c>
      <c r="K2" s="575">
        <f>'30 - Dem. Resultados'!K3-'31 - Fluxo de Caixa'!K7</f>
        <v>4305.4205778647811</v>
      </c>
      <c r="L2" s="575">
        <f>'30 - Dem. Resultados'!L3-'31 - Fluxo de Caixa'!L7</f>
        <v>199.53365663014847</v>
      </c>
      <c r="M2" s="575">
        <f>'30 - Dem. Resultados'!M3-'31 - Fluxo de Caixa'!M7</f>
        <v>4338.5438003228919</v>
      </c>
      <c r="N2" s="575">
        <f>'30 - Dem. Resultados'!N3-'31 - Fluxo de Caixa'!N7</f>
        <v>223.28388088667998</v>
      </c>
      <c r="O2" s="575">
        <f>'30 - Dem. Resultados'!O3-'31 - Fluxo de Caixa'!O7</f>
        <v>4362.2940245794307</v>
      </c>
      <c r="P2" s="575">
        <f>'30 - Dem. Resultados'!P3-'31 - Fluxo de Caixa'!P7</f>
        <v>247.03410514321877</v>
      </c>
      <c r="Q2" s="575">
        <f>'30 - Dem. Resultados'!Q3-'31 - Fluxo de Caixa'!Q7</f>
        <v>4386.0442488359622</v>
      </c>
      <c r="R2" s="575">
        <f>'30 - Dem. Resultados'!R3-'31 - Fluxo de Caixa'!R7</f>
        <v>270.78432939975028</v>
      </c>
      <c r="S2" s="575">
        <f>'30 - Dem. Resultados'!S3-'31 - Fluxo de Caixa'!S7</f>
        <v>4399.8654495738811</v>
      </c>
      <c r="T2" s="575">
        <f>'30 - Dem. Resultados'!T3-'31 - Fluxo de Caixa'!T7</f>
        <v>284.60553013766912</v>
      </c>
      <c r="U2" s="575">
        <f>'30 - Dem. Resultados'!U3-'31 - Fluxo de Caixa'!U7</f>
        <v>4413.7263664058701</v>
      </c>
      <c r="V2" s="575">
        <f>'30 - Dem. Resultados'!V3-'31 - Fluxo de Caixa'!V7</f>
        <v>298.42673087558069</v>
      </c>
      <c r="W2" s="575">
        <f>'30 - Dem. Resultados'!W3-'31 - Fluxo de Caixa'!W7</f>
        <v>4427.5475671437889</v>
      </c>
      <c r="X2" s="575">
        <f>'30 - Dem. Resultados'!X3-'31 - Fluxo de Caixa'!X7</f>
        <v>303.43095872896083</v>
      </c>
      <c r="Y2" s="575">
        <f>'30 - Dem. Resultados'!Y3-'31 - Fluxo de Caixa'!Y7</f>
        <v>4432.5517949971763</v>
      </c>
      <c r="Z2" s="575">
        <f>'30 - Dem. Resultados'!Z3-'31 - Fluxo de Caixa'!Z7</f>
        <v>308.43518658234825</v>
      </c>
      <c r="AA2" s="575">
        <f>'30 - Dem. Resultados'!AA3-'31 - Fluxo de Caixa'!AA7</f>
        <v>4437.5560228505565</v>
      </c>
      <c r="AB2" s="575">
        <f>'30 - Dem. Resultados'!AB3-'31 - Fluxo de Caixa'!AB7</f>
        <v>313.39969834165822</v>
      </c>
      <c r="AC2" s="575">
        <f>'30 - Dem. Resultados'!AC3-'31 - Fluxo de Caixa'!AC7</f>
        <v>4434.1404387601506</v>
      </c>
      <c r="AD2" s="575">
        <f>'30 - Dem. Resultados'!AD3-'31 - Fluxo de Caixa'!AD7</f>
        <v>309.98411425125232</v>
      </c>
      <c r="AE2" s="575">
        <f>'30 - Dem. Resultados'!AE3-'31 - Fluxo de Caixa'!AE7</f>
        <v>4430.7248546697519</v>
      </c>
      <c r="AF2" s="575">
        <f>'30 - Dem. Resultados'!AF3-'31 - Fluxo de Caixa'!AF7</f>
        <v>306.52881406676897</v>
      </c>
      <c r="AG2" s="575">
        <f>'30 - Dem. Resultados'!AG3-'31 - Fluxo de Caixa'!AG7</f>
        <v>4427.309270579346</v>
      </c>
      <c r="AH2" s="575">
        <f>'30 - Dem. Resultados'!AH3-'31 - Fluxo de Caixa'!AH7</f>
        <v>293.54165130441834</v>
      </c>
      <c r="AI2" s="575">
        <f>'30 - Dem. Resultados'!AI3-'31 - Fluxo de Caixa'!AI7</f>
        <v>4414.3221078169881</v>
      </c>
      <c r="AJ2" s="575">
        <f>'30 - Dem. Resultados'!AJ3-'31 - Fluxo de Caixa'!AJ7</f>
        <v>280.51477244799753</v>
      </c>
      <c r="AK2" s="575">
        <f>'30 - Dem. Resultados'!AK3-'31 - Fluxo de Caixa'!AK7</f>
        <v>4401.3349450546375</v>
      </c>
    </row>
    <row r="3" spans="1:37" s="210" customFormat="1" ht="13.15" customHeight="1" x14ac:dyDescent="0.2">
      <c r="A3" s="213" t="s">
        <v>1493</v>
      </c>
      <c r="B3" s="213" t="s">
        <v>71</v>
      </c>
      <c r="C3" s="213" t="s">
        <v>775</v>
      </c>
      <c r="D3" s="213" t="s">
        <v>776</v>
      </c>
      <c r="E3" s="213" t="s">
        <v>777</v>
      </c>
      <c r="F3" s="213" t="s">
        <v>778</v>
      </c>
      <c r="G3" s="213" t="s">
        <v>779</v>
      </c>
      <c r="H3" s="213" t="s">
        <v>780</v>
      </c>
      <c r="I3" s="213" t="s">
        <v>781</v>
      </c>
      <c r="J3" s="213" t="s">
        <v>782</v>
      </c>
      <c r="K3" s="213" t="s">
        <v>783</v>
      </c>
      <c r="L3" s="213" t="s">
        <v>717</v>
      </c>
      <c r="M3" s="213" t="s">
        <v>718</v>
      </c>
      <c r="N3" s="213" t="s">
        <v>719</v>
      </c>
      <c r="O3" s="213" t="s">
        <v>720</v>
      </c>
      <c r="P3" s="213" t="s">
        <v>721</v>
      </c>
      <c r="Q3" s="213" t="s">
        <v>722</v>
      </c>
      <c r="R3" s="213" t="s">
        <v>723</v>
      </c>
      <c r="S3" s="213" t="s">
        <v>724</v>
      </c>
      <c r="T3" s="213" t="s">
        <v>725</v>
      </c>
      <c r="U3" s="213" t="s">
        <v>726</v>
      </c>
      <c r="V3" s="213" t="s">
        <v>727</v>
      </c>
      <c r="W3" s="213" t="s">
        <v>728</v>
      </c>
      <c r="X3" s="213" t="s">
        <v>729</v>
      </c>
      <c r="Y3" s="213" t="s">
        <v>730</v>
      </c>
      <c r="Z3" s="213" t="s">
        <v>731</v>
      </c>
      <c r="AA3" s="213" t="s">
        <v>732</v>
      </c>
      <c r="AB3" s="213" t="s">
        <v>733</v>
      </c>
      <c r="AC3" s="213" t="s">
        <v>734</v>
      </c>
      <c r="AD3" s="213" t="s">
        <v>735</v>
      </c>
      <c r="AE3" s="213" t="s">
        <v>736</v>
      </c>
      <c r="AF3" s="213" t="s">
        <v>737</v>
      </c>
      <c r="AG3" s="213" t="s">
        <v>738</v>
      </c>
      <c r="AH3" s="213" t="s">
        <v>739</v>
      </c>
      <c r="AI3" s="213" t="s">
        <v>740</v>
      </c>
      <c r="AJ3" s="213" t="s">
        <v>741</v>
      </c>
      <c r="AK3" s="213" t="s">
        <v>742</v>
      </c>
    </row>
    <row r="4" spans="1:37" s="210" customFormat="1" ht="13.15" customHeight="1" x14ac:dyDescent="0.2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</row>
    <row r="5" spans="1:37" s="210" customFormat="1" ht="13.15" customHeight="1" x14ac:dyDescent="0.2">
      <c r="A5" s="208" t="s">
        <v>1494</v>
      </c>
      <c r="B5" s="215">
        <f>C5</f>
        <v>0</v>
      </c>
      <c r="C5" s="215">
        <v>0</v>
      </c>
      <c r="D5" s="215">
        <f>C38</f>
        <v>-1.5063505998114124E-12</v>
      </c>
      <c r="E5" s="215">
        <f t="shared" ref="E5:AK5" si="0">D38</f>
        <v>9654.5672053779817</v>
      </c>
      <c r="F5" s="215">
        <f t="shared" si="0"/>
        <v>8694.9286819771005</v>
      </c>
      <c r="G5" s="215">
        <f t="shared" si="0"/>
        <v>9506.8494204201543</v>
      </c>
      <c r="H5" s="215">
        <f t="shared" si="0"/>
        <v>9669.635016853219</v>
      </c>
      <c r="I5" s="215">
        <f t="shared" si="0"/>
        <v>11162.128122805876</v>
      </c>
      <c r="J5" s="215">
        <f t="shared" si="0"/>
        <v>11600.977886878896</v>
      </c>
      <c r="K5" s="215">
        <f t="shared" si="0"/>
        <v>3049.7312166788611</v>
      </c>
      <c r="L5" s="215">
        <f t="shared" si="0"/>
        <v>4534.6374476222236</v>
      </c>
      <c r="M5" s="215">
        <f t="shared" si="0"/>
        <v>6372.1339193695731</v>
      </c>
      <c r="N5" s="215">
        <f t="shared" si="0"/>
        <v>20000</v>
      </c>
      <c r="O5" s="215">
        <f t="shared" si="0"/>
        <v>20000</v>
      </c>
      <c r="P5" s="215">
        <f t="shared" si="0"/>
        <v>20000</v>
      </c>
      <c r="Q5" s="215">
        <f t="shared" si="0"/>
        <v>20000</v>
      </c>
      <c r="R5" s="215">
        <f t="shared" si="0"/>
        <v>20000</v>
      </c>
      <c r="S5" s="215">
        <f t="shared" si="0"/>
        <v>20000</v>
      </c>
      <c r="T5" s="215">
        <f t="shared" si="0"/>
        <v>20000</v>
      </c>
      <c r="U5" s="215">
        <f t="shared" si="0"/>
        <v>20000</v>
      </c>
      <c r="V5" s="215">
        <f t="shared" si="0"/>
        <v>20000</v>
      </c>
      <c r="W5" s="215">
        <f t="shared" si="0"/>
        <v>20000</v>
      </c>
      <c r="X5" s="215">
        <f t="shared" si="0"/>
        <v>20000</v>
      </c>
      <c r="Y5" s="215">
        <f t="shared" si="0"/>
        <v>20000</v>
      </c>
      <c r="Z5" s="215">
        <f t="shared" si="0"/>
        <v>20000</v>
      </c>
      <c r="AA5" s="215">
        <f t="shared" si="0"/>
        <v>20000</v>
      </c>
      <c r="AB5" s="215">
        <f t="shared" si="0"/>
        <v>20000</v>
      </c>
      <c r="AC5" s="215">
        <f t="shared" si="0"/>
        <v>20000</v>
      </c>
      <c r="AD5" s="215">
        <f t="shared" si="0"/>
        <v>20000</v>
      </c>
      <c r="AE5" s="215">
        <f t="shared" si="0"/>
        <v>20000</v>
      </c>
      <c r="AF5" s="215">
        <f t="shared" si="0"/>
        <v>20000</v>
      </c>
      <c r="AG5" s="215">
        <f t="shared" si="0"/>
        <v>20000</v>
      </c>
      <c r="AH5" s="215">
        <f t="shared" si="0"/>
        <v>20000</v>
      </c>
      <c r="AI5" s="215">
        <f t="shared" si="0"/>
        <v>20000</v>
      </c>
      <c r="AJ5" s="215">
        <f t="shared" si="0"/>
        <v>20000</v>
      </c>
      <c r="AK5" s="215">
        <f t="shared" si="0"/>
        <v>20000</v>
      </c>
    </row>
    <row r="6" spans="1:37" s="210" customFormat="1" ht="13.15" customHeight="1" x14ac:dyDescent="0.2">
      <c r="A6" s="211"/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</row>
    <row r="7" spans="1:37" ht="13.15" customHeight="1" x14ac:dyDescent="0.2">
      <c r="A7" s="576" t="s">
        <v>1495</v>
      </c>
      <c r="B7" s="577">
        <f t="shared" ref="B7:B10" si="1" xml:space="preserve"> SUM( $C7:$AK7 )</f>
        <v>1872392.2184220739</v>
      </c>
      <c r="C7" s="578">
        <f t="shared" ref="C7:AK7" si="2">SUM(C8:C10)</f>
        <v>46344.899577577205</v>
      </c>
      <c r="D7" s="578">
        <f t="shared" si="2"/>
        <v>50991.461545494676</v>
      </c>
      <c r="E7" s="577">
        <f t="shared" si="2"/>
        <v>47381.886793861675</v>
      </c>
      <c r="F7" s="577">
        <f t="shared" si="2"/>
        <v>52028.005265395303</v>
      </c>
      <c r="G7" s="577">
        <f t="shared" si="2"/>
        <v>48418.390797668239</v>
      </c>
      <c r="H7" s="577">
        <f t="shared" si="2"/>
        <v>53064.992481679765</v>
      </c>
      <c r="I7" s="577">
        <f t="shared" si="2"/>
        <v>49328.981544560673</v>
      </c>
      <c r="J7" s="577">
        <f t="shared" si="2"/>
        <v>53837.867672368986</v>
      </c>
      <c r="K7" s="577">
        <f t="shared" si="2"/>
        <v>50101.856735249894</v>
      </c>
      <c r="L7" s="577">
        <f t="shared" si="2"/>
        <v>54610.7428630582</v>
      </c>
      <c r="M7" s="577">
        <f t="shared" si="2"/>
        <v>50874.731925939108</v>
      </c>
      <c r="N7" s="577">
        <f t="shared" si="2"/>
        <v>55278.95290716317</v>
      </c>
      <c r="O7" s="577">
        <f t="shared" si="2"/>
        <v>51428.903825258254</v>
      </c>
      <c r="P7" s="577">
        <f t="shared" si="2"/>
        <v>55833.124806482301</v>
      </c>
      <c r="Q7" s="577">
        <f t="shared" si="2"/>
        <v>51983.0757245774</v>
      </c>
      <c r="R7" s="577">
        <f t="shared" si="2"/>
        <v>56387.29670580144</v>
      </c>
      <c r="S7" s="577">
        <f t="shared" si="2"/>
        <v>52426.373527938624</v>
      </c>
      <c r="T7" s="577">
        <f t="shared" si="2"/>
        <v>56709.791389686143</v>
      </c>
      <c r="U7" s="577">
        <f t="shared" si="2"/>
        <v>52749.311708207177</v>
      </c>
      <c r="V7" s="577">
        <f t="shared" si="2"/>
        <v>57032.769286048773</v>
      </c>
      <c r="W7" s="577">
        <f t="shared" si="2"/>
        <v>53071.806392091887</v>
      </c>
      <c r="X7" s="577">
        <f t="shared" si="2"/>
        <v>57256.807772722867</v>
      </c>
      <c r="Y7" s="577">
        <f t="shared" si="2"/>
        <v>53188.571708670817</v>
      </c>
      <c r="Z7" s="577">
        <f t="shared" si="2"/>
        <v>57373.573089301812</v>
      </c>
      <c r="AA7" s="577">
        <f t="shared" si="2"/>
        <v>53305.337025249784</v>
      </c>
      <c r="AB7" s="577">
        <f t="shared" si="2"/>
        <v>57489.894909496936</v>
      </c>
      <c r="AC7" s="577">
        <f t="shared" si="2"/>
        <v>53327.597895978528</v>
      </c>
      <c r="AD7" s="577">
        <f t="shared" si="2"/>
        <v>57410.197947387511</v>
      </c>
      <c r="AE7" s="577">
        <f t="shared" si="2"/>
        <v>53247.900933869081</v>
      </c>
      <c r="AF7" s="577">
        <f t="shared" si="2"/>
        <v>57330.057488894221</v>
      </c>
      <c r="AG7" s="577">
        <f t="shared" si="2"/>
        <v>53167.720759281721</v>
      </c>
      <c r="AH7" s="577">
        <f t="shared" si="2"/>
        <v>57143.477898281373</v>
      </c>
      <c r="AI7" s="577">
        <f t="shared" si="2"/>
        <v>52864.686961493499</v>
      </c>
      <c r="AJ7" s="577">
        <f t="shared" si="2"/>
        <v>56840.000604109315</v>
      </c>
      <c r="AK7" s="577">
        <f t="shared" si="2"/>
        <v>52561.169951227384</v>
      </c>
    </row>
    <row r="8" spans="1:37" s="210" customFormat="1" ht="13.15" customHeight="1" outlineLevel="1" x14ac:dyDescent="0.2">
      <c r="A8" s="576" t="s">
        <v>1496</v>
      </c>
      <c r="B8" s="215">
        <f t="shared" si="1"/>
        <v>-82540.362582295915</v>
      </c>
      <c r="C8" s="578">
        <f>-SUM(C9:C10)/365*30</f>
        <v>-4150.2895144098984</v>
      </c>
      <c r="D8" s="578">
        <f t="shared" ref="D8:AK8" si="3">-SUM(D9:D10)/365*30-C8</f>
        <v>-44.442309269335055</v>
      </c>
      <c r="E8" s="577">
        <f t="shared" si="3"/>
        <v>-4194.7318236792325</v>
      </c>
      <c r="F8" s="577">
        <f t="shared" si="3"/>
        <v>-88.844902444594481</v>
      </c>
      <c r="G8" s="577">
        <f t="shared" si="3"/>
        <v>-4239.1741329485676</v>
      </c>
      <c r="H8" s="577">
        <f t="shared" si="3"/>
        <v>-133.28721171392772</v>
      </c>
      <c r="I8" s="577">
        <f t="shared" si="3"/>
        <v>-4272.2973554066757</v>
      </c>
      <c r="J8" s="577">
        <f t="shared" si="3"/>
        <v>-166.41043417203855</v>
      </c>
      <c r="K8" s="577">
        <f t="shared" si="3"/>
        <v>-4305.4205778647847</v>
      </c>
      <c r="L8" s="577">
        <f t="shared" si="3"/>
        <v>-199.53365663014847</v>
      </c>
      <c r="M8" s="577">
        <f t="shared" si="3"/>
        <v>-4338.5438003228928</v>
      </c>
      <c r="N8" s="577">
        <f t="shared" si="3"/>
        <v>-223.28388088668362</v>
      </c>
      <c r="O8" s="577">
        <f t="shared" si="3"/>
        <v>-4362.294024579428</v>
      </c>
      <c r="P8" s="577">
        <f t="shared" si="3"/>
        <v>-247.03410514321786</v>
      </c>
      <c r="Q8" s="577">
        <f t="shared" si="3"/>
        <v>-4386.0442488359622</v>
      </c>
      <c r="R8" s="577">
        <f t="shared" si="3"/>
        <v>-270.7843293997521</v>
      </c>
      <c r="S8" s="577">
        <f t="shared" si="3"/>
        <v>-4399.8654495738792</v>
      </c>
      <c r="T8" s="577">
        <f t="shared" si="3"/>
        <v>-284.6055301376673</v>
      </c>
      <c r="U8" s="577">
        <f t="shared" si="3"/>
        <v>-4413.726366405871</v>
      </c>
      <c r="V8" s="577">
        <f t="shared" si="3"/>
        <v>-298.42673087558342</v>
      </c>
      <c r="W8" s="577">
        <f t="shared" si="3"/>
        <v>-4427.5475671437871</v>
      </c>
      <c r="X8" s="577">
        <f t="shared" si="3"/>
        <v>-303.43095872896538</v>
      </c>
      <c r="Y8" s="577">
        <f t="shared" si="3"/>
        <v>-4432.5517949971718</v>
      </c>
      <c r="Z8" s="577">
        <f t="shared" si="3"/>
        <v>-308.43518658234825</v>
      </c>
      <c r="AA8" s="577">
        <f t="shared" si="3"/>
        <v>-4437.5560228505565</v>
      </c>
      <c r="AB8" s="577">
        <f t="shared" si="3"/>
        <v>-313.3996983416564</v>
      </c>
      <c r="AC8" s="577">
        <f t="shared" si="3"/>
        <v>-4434.1404387601533</v>
      </c>
      <c r="AD8" s="577">
        <f t="shared" si="3"/>
        <v>-309.98411425125141</v>
      </c>
      <c r="AE8" s="577">
        <f t="shared" si="3"/>
        <v>-4430.7248546697492</v>
      </c>
      <c r="AF8" s="577">
        <f t="shared" si="3"/>
        <v>-306.52881406677079</v>
      </c>
      <c r="AG8" s="577">
        <f t="shared" si="3"/>
        <v>-4427.3092705793442</v>
      </c>
      <c r="AH8" s="577">
        <f t="shared" si="3"/>
        <v>-293.54165130442016</v>
      </c>
      <c r="AI8" s="577">
        <f t="shared" si="3"/>
        <v>-4414.32210781699</v>
      </c>
      <c r="AJ8" s="577">
        <f t="shared" si="3"/>
        <v>-280.5147724479948</v>
      </c>
      <c r="AK8" s="577">
        <f t="shared" si="3"/>
        <v>-4401.3349450546375</v>
      </c>
    </row>
    <row r="9" spans="1:37" ht="13.15" customHeight="1" outlineLevel="1" x14ac:dyDescent="0.2">
      <c r="A9" s="576" t="s">
        <v>1465</v>
      </c>
      <c r="B9" s="215">
        <f t="shared" si="1"/>
        <v>546000</v>
      </c>
      <c r="C9" s="578">
        <f>'30 - Dem. Resultados'!C4</f>
        <v>15600</v>
      </c>
      <c r="D9" s="578">
        <f>'30 - Dem. Resultados'!D4</f>
        <v>15600</v>
      </c>
      <c r="E9" s="577">
        <f>'30 - Dem. Resultados'!E4</f>
        <v>15600</v>
      </c>
      <c r="F9" s="577">
        <f>'30 - Dem. Resultados'!F4</f>
        <v>15600</v>
      </c>
      <c r="G9" s="577">
        <f>'30 - Dem. Resultados'!G4</f>
        <v>15600</v>
      </c>
      <c r="H9" s="577">
        <f>'30 - Dem. Resultados'!H4</f>
        <v>15600</v>
      </c>
      <c r="I9" s="577">
        <f>'30 - Dem. Resultados'!I4</f>
        <v>15600</v>
      </c>
      <c r="J9" s="577">
        <f>'30 - Dem. Resultados'!J4</f>
        <v>15600</v>
      </c>
      <c r="K9" s="577">
        <f>'30 - Dem. Resultados'!K4</f>
        <v>15600</v>
      </c>
      <c r="L9" s="577">
        <f>'30 - Dem. Resultados'!L4</f>
        <v>15600</v>
      </c>
      <c r="M9" s="577">
        <f>'30 - Dem. Resultados'!M4</f>
        <v>15600</v>
      </c>
      <c r="N9" s="577">
        <f>'30 - Dem. Resultados'!N4</f>
        <v>15600</v>
      </c>
      <c r="O9" s="577">
        <f>'30 - Dem. Resultados'!O4</f>
        <v>15600</v>
      </c>
      <c r="P9" s="577">
        <f>'30 - Dem. Resultados'!P4</f>
        <v>15600</v>
      </c>
      <c r="Q9" s="577">
        <f>'30 - Dem. Resultados'!Q4</f>
        <v>15600</v>
      </c>
      <c r="R9" s="577">
        <f>'30 - Dem. Resultados'!R4</f>
        <v>15600</v>
      </c>
      <c r="S9" s="577">
        <f>'30 - Dem. Resultados'!S4</f>
        <v>15600</v>
      </c>
      <c r="T9" s="577">
        <f>'30 - Dem. Resultados'!T4</f>
        <v>15600</v>
      </c>
      <c r="U9" s="577">
        <f>'30 - Dem. Resultados'!U4</f>
        <v>15600</v>
      </c>
      <c r="V9" s="577">
        <f>'30 - Dem. Resultados'!V4</f>
        <v>15600</v>
      </c>
      <c r="W9" s="577">
        <f>'30 - Dem. Resultados'!W4</f>
        <v>15600</v>
      </c>
      <c r="X9" s="577">
        <f>'30 - Dem. Resultados'!X4</f>
        <v>15600</v>
      </c>
      <c r="Y9" s="577">
        <f>'30 - Dem. Resultados'!Y4</f>
        <v>15600</v>
      </c>
      <c r="Z9" s="577">
        <f>'30 - Dem. Resultados'!Z4</f>
        <v>15600</v>
      </c>
      <c r="AA9" s="577">
        <f>'30 - Dem. Resultados'!AA4</f>
        <v>15600</v>
      </c>
      <c r="AB9" s="577">
        <f>'30 - Dem. Resultados'!AB4</f>
        <v>15600</v>
      </c>
      <c r="AC9" s="577">
        <f>'30 - Dem. Resultados'!AC4</f>
        <v>15600</v>
      </c>
      <c r="AD9" s="577">
        <f>'30 - Dem. Resultados'!AD4</f>
        <v>15600</v>
      </c>
      <c r="AE9" s="577">
        <f>'30 - Dem. Resultados'!AE4</f>
        <v>15600</v>
      </c>
      <c r="AF9" s="577">
        <f>'30 - Dem. Resultados'!AF4</f>
        <v>15600</v>
      </c>
      <c r="AG9" s="577">
        <f>'30 - Dem. Resultados'!AG4</f>
        <v>15600</v>
      </c>
      <c r="AH9" s="577">
        <f>'30 - Dem. Resultados'!AH4</f>
        <v>15600</v>
      </c>
      <c r="AI9" s="577">
        <f>'30 - Dem. Resultados'!AI4</f>
        <v>15600</v>
      </c>
      <c r="AJ9" s="577">
        <f>'30 - Dem. Resultados'!AJ4</f>
        <v>15600</v>
      </c>
      <c r="AK9" s="577">
        <f>'30 - Dem. Resultados'!AK4</f>
        <v>15600</v>
      </c>
    </row>
    <row r="10" spans="1:37" ht="13.15" customHeight="1" outlineLevel="1" x14ac:dyDescent="0.2">
      <c r="A10" s="579" t="s">
        <v>1466</v>
      </c>
      <c r="B10" s="215">
        <f t="shared" si="1"/>
        <v>1408932.5810043695</v>
      </c>
      <c r="C10" s="578">
        <f>'30 - Dem. Resultados'!C5</f>
        <v>34895.1890919871</v>
      </c>
      <c r="D10" s="578">
        <f>'30 - Dem. Resultados'!D5</f>
        <v>35435.903854764008</v>
      </c>
      <c r="E10" s="577">
        <f>'30 - Dem. Resultados'!E5</f>
        <v>35976.618617540909</v>
      </c>
      <c r="F10" s="577">
        <f>'30 - Dem. Resultados'!F5</f>
        <v>36516.850167839897</v>
      </c>
      <c r="G10" s="577">
        <f>'30 - Dem. Resultados'!G5</f>
        <v>37057.564930616805</v>
      </c>
      <c r="H10" s="577">
        <f>'30 - Dem. Resultados'!H5</f>
        <v>37598.279693393692</v>
      </c>
      <c r="I10" s="577">
        <f>'30 - Dem. Resultados'!I5</f>
        <v>38001.27889996735</v>
      </c>
      <c r="J10" s="577">
        <f>'30 - Dem. Resultados'!J5</f>
        <v>38404.278106541024</v>
      </c>
      <c r="K10" s="577">
        <f>'30 - Dem. Resultados'!K5</f>
        <v>38807.277313114675</v>
      </c>
      <c r="L10" s="577">
        <f>'30 - Dem. Resultados'!L5</f>
        <v>39210.276519688348</v>
      </c>
      <c r="M10" s="577">
        <f>'30 - Dem. Resultados'!M5</f>
        <v>39613.275726262</v>
      </c>
      <c r="N10" s="577">
        <f>'30 - Dem. Resultados'!N5</f>
        <v>39902.23678804985</v>
      </c>
      <c r="O10" s="577">
        <f>'30 - Dem. Resultados'!O5</f>
        <v>40191.197849837685</v>
      </c>
      <c r="P10" s="577">
        <f>'30 - Dem. Resultados'!P5</f>
        <v>40480.15891162552</v>
      </c>
      <c r="Q10" s="577">
        <f>'30 - Dem. Resultados'!Q5</f>
        <v>40769.119973413362</v>
      </c>
      <c r="R10" s="577">
        <f>'30 - Dem. Resultados'!R5</f>
        <v>41058.08103520119</v>
      </c>
      <c r="S10" s="577">
        <f>'30 - Dem. Resultados'!S5</f>
        <v>41226.238977512505</v>
      </c>
      <c r="T10" s="577">
        <f>'30 - Dem. Resultados'!T5</f>
        <v>41394.396919823812</v>
      </c>
      <c r="U10" s="577">
        <f>'30 - Dem. Resultados'!U5</f>
        <v>41563.038074613047</v>
      </c>
      <c r="V10" s="577">
        <f>'30 - Dem. Resultados'!V5</f>
        <v>41731.196016924354</v>
      </c>
      <c r="W10" s="577">
        <f>'30 - Dem. Resultados'!W5</f>
        <v>41899.353959235676</v>
      </c>
      <c r="X10" s="577">
        <f>'30 - Dem. Resultados'!X5</f>
        <v>41960.238731451827</v>
      </c>
      <c r="Y10" s="577">
        <f>'30 - Dem. Resultados'!Y5</f>
        <v>42021.123503667994</v>
      </c>
      <c r="Z10" s="577">
        <f>'30 - Dem. Resultados'!Z5</f>
        <v>42082.00827588416</v>
      </c>
      <c r="AA10" s="577">
        <f>'30 - Dem. Resultados'!AA5</f>
        <v>42142.893048100341</v>
      </c>
      <c r="AB10" s="577">
        <f>'30 - Dem. Resultados'!AB5</f>
        <v>42203.294607838594</v>
      </c>
      <c r="AC10" s="577">
        <f>'30 - Dem. Resultados'!AC5</f>
        <v>42161.738334738679</v>
      </c>
      <c r="AD10" s="577">
        <f>'30 - Dem. Resultados'!AD5</f>
        <v>42120.182061638763</v>
      </c>
      <c r="AE10" s="577">
        <f>'30 - Dem. Resultados'!AE5</f>
        <v>42078.625788538833</v>
      </c>
      <c r="AF10" s="577">
        <f>'30 - Dem. Resultados'!AF5</f>
        <v>42036.58630296099</v>
      </c>
      <c r="AG10" s="577">
        <f>'30 - Dem. Resultados'!AG5</f>
        <v>41995.030029861067</v>
      </c>
      <c r="AH10" s="577">
        <f>'30 - Dem. Resultados'!AH5</f>
        <v>41837.019549585792</v>
      </c>
      <c r="AI10" s="577">
        <f>'30 - Dem. Resultados'!AI5</f>
        <v>41679.009069310487</v>
      </c>
      <c r="AJ10" s="577">
        <f>'30 - Dem. Resultados'!AJ5</f>
        <v>41520.515376557312</v>
      </c>
      <c r="AK10" s="577">
        <f>'30 - Dem. Resultados'!AK5</f>
        <v>41362.504896282022</v>
      </c>
    </row>
    <row r="11" spans="1:37" ht="13.15" customHeight="1" x14ac:dyDescent="0.2">
      <c r="A11" s="580"/>
      <c r="B11" s="577"/>
      <c r="C11" s="577"/>
      <c r="D11" s="57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81"/>
      <c r="AH11" s="581"/>
      <c r="AI11" s="582"/>
      <c r="AJ11" s="582"/>
      <c r="AK11" s="582"/>
    </row>
    <row r="12" spans="1:37" ht="13.15" customHeight="1" x14ac:dyDescent="0.2">
      <c r="A12" s="576" t="s">
        <v>1497</v>
      </c>
      <c r="B12" s="577">
        <f t="shared" ref="B12:B17" si="4" xml:space="preserve"> SUM( $C12:$AK12 )</f>
        <v>-1679262.9738496882</v>
      </c>
      <c r="C12" s="578">
        <f t="shared" ref="C12:AK12" si="5">SUM(C13:C17)</f>
        <v>-41524.204255981167</v>
      </c>
      <c r="D12" s="578">
        <f t="shared" si="5"/>
        <v>-47244.481171672945</v>
      </c>
      <c r="E12" s="577">
        <f t="shared" si="5"/>
        <v>-43859.115100000097</v>
      </c>
      <c r="F12" s="577">
        <f t="shared" si="5"/>
        <v>-47346.937908367312</v>
      </c>
      <c r="G12" s="577">
        <f t="shared" si="5"/>
        <v>-43904.67697924644</v>
      </c>
      <c r="H12" s="577">
        <f t="shared" si="5"/>
        <v>-47005.324762345896</v>
      </c>
      <c r="I12" s="577">
        <f t="shared" si="5"/>
        <v>-45617.284983285499</v>
      </c>
      <c r="J12" s="577">
        <f t="shared" si="5"/>
        <v>-48011.36090728885</v>
      </c>
      <c r="K12" s="577">
        <f t="shared" si="5"/>
        <v>-45460.570595531542</v>
      </c>
      <c r="L12" s="577">
        <f t="shared" si="5"/>
        <v>-49866.762477479322</v>
      </c>
      <c r="M12" s="577">
        <f t="shared" si="5"/>
        <v>-45552.286623305576</v>
      </c>
      <c r="N12" s="577">
        <f t="shared" si="5"/>
        <v>-50079.028154435437</v>
      </c>
      <c r="O12" s="577">
        <f t="shared" si="5"/>
        <v>-45173.377697104392</v>
      </c>
      <c r="P12" s="577">
        <f t="shared" si="5"/>
        <v>-51116.345606041032</v>
      </c>
      <c r="Q12" s="577">
        <f t="shared" si="5"/>
        <v>-45447.218028865573</v>
      </c>
      <c r="R12" s="577">
        <f t="shared" si="5"/>
        <v>-50384.372425664296</v>
      </c>
      <c r="S12" s="577">
        <f t="shared" si="5"/>
        <v>-47039.608485557423</v>
      </c>
      <c r="T12" s="577">
        <f t="shared" si="5"/>
        <v>-50528.80321522498</v>
      </c>
      <c r="U12" s="577">
        <f t="shared" si="5"/>
        <v>-47393.865021352794</v>
      </c>
      <c r="V12" s="577">
        <f t="shared" si="5"/>
        <v>-50275.499319453105</v>
      </c>
      <c r="W12" s="577">
        <f t="shared" si="5"/>
        <v>-47921.548265390578</v>
      </c>
      <c r="X12" s="577">
        <f t="shared" si="5"/>
        <v>-49488.863944168414</v>
      </c>
      <c r="Y12" s="577">
        <f t="shared" si="5"/>
        <v>-46582.240434883024</v>
      </c>
      <c r="Z12" s="577">
        <f t="shared" si="5"/>
        <v>-51012.44531283102</v>
      </c>
      <c r="AA12" s="577">
        <f t="shared" si="5"/>
        <v>-46663.259236108541</v>
      </c>
      <c r="AB12" s="577">
        <f t="shared" si="5"/>
        <v>-51124.769731063127</v>
      </c>
      <c r="AC12" s="577">
        <f t="shared" si="5"/>
        <v>-46251.516122485991</v>
      </c>
      <c r="AD12" s="577">
        <f t="shared" si="5"/>
        <v>-52048.49860683961</v>
      </c>
      <c r="AE12" s="577">
        <f t="shared" si="5"/>
        <v>-47069.336122715678</v>
      </c>
      <c r="AF12" s="577">
        <f t="shared" si="5"/>
        <v>-50832.182824224285</v>
      </c>
      <c r="AG12" s="577">
        <f t="shared" si="5"/>
        <v>-48690.537056598325</v>
      </c>
      <c r="AH12" s="577">
        <f t="shared" si="5"/>
        <v>-52054.901146394586</v>
      </c>
      <c r="AI12" s="577">
        <f t="shared" si="5"/>
        <v>-48480.45903482211</v>
      </c>
      <c r="AJ12" s="577">
        <f t="shared" si="5"/>
        <v>-50126.367764543589</v>
      </c>
      <c r="AK12" s="577">
        <f t="shared" si="5"/>
        <v>-48084.92452841554</v>
      </c>
    </row>
    <row r="13" spans="1:37" s="210" customFormat="1" ht="13.15" customHeight="1" outlineLevel="1" x14ac:dyDescent="0.2">
      <c r="A13" s="576" t="s">
        <v>1498</v>
      </c>
      <c r="B13" s="215">
        <f t="shared" si="4"/>
        <v>60491.626278172858</v>
      </c>
      <c r="C13" s="225">
        <f>-SUM(C14)/365*30</f>
        <v>3106.4853556885214</v>
      </c>
      <c r="D13" s="225">
        <f>-SUM(D14)/365*30-C13</f>
        <v>193.60676683242036</v>
      </c>
      <c r="E13" s="215">
        <f t="shared" ref="E13:AK13" si="6">-SUM(E14)/365*30-D13</f>
        <v>3113.9400966878748</v>
      </c>
      <c r="F13" s="215">
        <f t="shared" si="6"/>
        <v>181.43213170851686</v>
      </c>
      <c r="G13" s="215">
        <f t="shared" si="6"/>
        <v>3118.0581372291945</v>
      </c>
      <c r="H13" s="215">
        <f t="shared" si="6"/>
        <v>20.513994810955865</v>
      </c>
      <c r="I13" s="215">
        <f t="shared" si="6"/>
        <v>3377.3178764206491</v>
      </c>
      <c r="J13" s="215">
        <f t="shared" si="6"/>
        <v>-106.18274390790748</v>
      </c>
      <c r="K13" s="215">
        <f t="shared" si="6"/>
        <v>3545.1008284152895</v>
      </c>
      <c r="L13" s="215">
        <f t="shared" si="6"/>
        <v>-116.76827684285172</v>
      </c>
      <c r="M13" s="215">
        <f t="shared" si="6"/>
        <v>3532.6465753137795</v>
      </c>
      <c r="N13" s="215">
        <f t="shared" si="6"/>
        <v>-91.341321651409544</v>
      </c>
      <c r="O13" s="215">
        <f t="shared" si="6"/>
        <v>3282.8601332852177</v>
      </c>
      <c r="P13" s="215">
        <f t="shared" si="6"/>
        <v>155.23451726208486</v>
      </c>
      <c r="Q13" s="215">
        <f t="shared" si="6"/>
        <v>3133.8280354399431</v>
      </c>
      <c r="R13" s="215">
        <f t="shared" si="6"/>
        <v>319.35822329092025</v>
      </c>
      <c r="S13" s="215">
        <f t="shared" si="6"/>
        <v>3135.8588555861124</v>
      </c>
      <c r="T13" s="215">
        <f t="shared" si="6"/>
        <v>298.00564646915791</v>
      </c>
      <c r="U13" s="215">
        <f t="shared" si="6"/>
        <v>3165.8928550167743</v>
      </c>
      <c r="V13" s="215">
        <f t="shared" si="6"/>
        <v>51.765455417654721</v>
      </c>
      <c r="W13" s="215">
        <f t="shared" si="6"/>
        <v>3399.0368572790135</v>
      </c>
      <c r="X13" s="215">
        <f t="shared" si="6"/>
        <v>-106.67361409461773</v>
      </c>
      <c r="Y13" s="215">
        <f t="shared" si="6"/>
        <v>3569.9660740658101</v>
      </c>
      <c r="Z13" s="215">
        <f t="shared" si="6"/>
        <v>-104.09075945960376</v>
      </c>
      <c r="AA13" s="215">
        <f t="shared" si="6"/>
        <v>3547.7347223783468</v>
      </c>
      <c r="AB13" s="215">
        <f t="shared" si="6"/>
        <v>-100.84542618195837</v>
      </c>
      <c r="AC13" s="215">
        <f t="shared" si="6"/>
        <v>3312.2691708856369</v>
      </c>
      <c r="AD13" s="215">
        <f t="shared" si="6"/>
        <v>139.43984708859216</v>
      </c>
      <c r="AE13" s="215">
        <f t="shared" si="6"/>
        <v>3144.1034387578306</v>
      </c>
      <c r="AF13" s="215">
        <f t="shared" si="6"/>
        <v>290.29145896767659</v>
      </c>
      <c r="AG13" s="215">
        <f t="shared" si="6"/>
        <v>3143.8236286184115</v>
      </c>
      <c r="AH13" s="215">
        <f t="shared" si="6"/>
        <v>283.03495752061872</v>
      </c>
      <c r="AI13" s="215">
        <f t="shared" si="6"/>
        <v>3139.1617797945278</v>
      </c>
      <c r="AJ13" s="215">
        <f t="shared" si="6"/>
        <v>28.676230870967174</v>
      </c>
      <c r="AK13" s="215">
        <f t="shared" si="6"/>
        <v>3388.08476920871</v>
      </c>
    </row>
    <row r="14" spans="1:37" ht="13.15" customHeight="1" outlineLevel="1" x14ac:dyDescent="0.2">
      <c r="A14" s="579" t="s">
        <v>1470</v>
      </c>
      <c r="B14" s="215">
        <f t="shared" si="4"/>
        <v>-1430741.208076834</v>
      </c>
      <c r="C14" s="578">
        <f>'30 - Dem. Resultados'!C14</f>
        <v>-37795.571827543674</v>
      </c>
      <c r="D14" s="578">
        <f>'30 - Dem. Resultados'!D14</f>
        <v>-40151.120824004793</v>
      </c>
      <c r="E14" s="577">
        <f>'30 - Dem. Resultados'!E14</f>
        <v>-40241.820172830259</v>
      </c>
      <c r="F14" s="577">
        <f>'30 - Dem. Resultados'!F14</f>
        <v>-40093.695445489429</v>
      </c>
      <c r="G14" s="577">
        <f>'30 - Dem. Resultados'!G14</f>
        <v>-40143.798272075488</v>
      </c>
      <c r="H14" s="577">
        <f>'30 - Dem. Resultados'!H14</f>
        <v>-38185.960939821831</v>
      </c>
      <c r="I14" s="577">
        <f>'30 - Dem. Resultados'!I14</f>
        <v>-41340.287766651192</v>
      </c>
      <c r="J14" s="577">
        <f>'30 - Dem. Resultados'!J14</f>
        <v>-39798.810778905026</v>
      </c>
      <c r="K14" s="577">
        <f>'30 - Dem. Resultados'!K14</f>
        <v>-41840.170028173146</v>
      </c>
      <c r="L14" s="577">
        <f>'30 - Dem. Resultados'!L14</f>
        <v>-41711.379377464655</v>
      </c>
      <c r="M14" s="577">
        <f>'30 - Dem. Resultados'!M14</f>
        <v>-41559.852631396287</v>
      </c>
      <c r="N14" s="577">
        <f>'30 - Dem. Resultados'!N14</f>
        <v>-41869.213919558832</v>
      </c>
      <c r="O14" s="577">
        <f>'30 - Dem. Resultados'!O14</f>
        <v>-38830.145541544669</v>
      </c>
      <c r="P14" s="577">
        <f>'30 - Dem. Resultados'!P14</f>
        <v>-41830.151581658843</v>
      </c>
      <c r="Q14" s="577">
        <f>'30 - Dem. Resultados'!Q14</f>
        <v>-40016.92772454134</v>
      </c>
      <c r="R14" s="577">
        <f>'30 - Dem. Resultados'!R14</f>
        <v>-42013.766147892173</v>
      </c>
      <c r="S14" s="577">
        <f>'30 - Dem. Resultados'!S14</f>
        <v>-42038.474459670564</v>
      </c>
      <c r="T14" s="577">
        <f>'30 - Dem. Resultados'!T14</f>
        <v>-41778.684775005793</v>
      </c>
      <c r="U14" s="577">
        <f>'30 - Dem. Resultados'!U14</f>
        <v>-42144.098434745509</v>
      </c>
      <c r="V14" s="577">
        <f>'30 - Dem. Resultados'!V14</f>
        <v>-39148.176110285553</v>
      </c>
      <c r="W14" s="577">
        <f>'30 - Dem. Resultados'!W14</f>
        <v>-41984.761471142796</v>
      </c>
      <c r="X14" s="577">
        <f>'30 - Dem. Resultados'!X14</f>
        <v>-40057.086125410147</v>
      </c>
      <c r="Y14" s="577">
        <f>'30 - Dem. Resultados'!Y14</f>
        <v>-42136.724929649507</v>
      </c>
      <c r="Z14" s="577">
        <f>'30 - Dem. Resultados'!Z14</f>
        <v>-42168.149661042175</v>
      </c>
      <c r="AA14" s="577">
        <f>'30 - Dem. Resultados'!AA14</f>
        <v>-41897.668215511374</v>
      </c>
      <c r="AB14" s="577">
        <f>'30 - Dem. Resultados'!AB14</f>
        <v>-41937.153103722725</v>
      </c>
      <c r="AC14" s="577">
        <f>'30 - Dem. Resultados'!AC14</f>
        <v>-39072.322227228091</v>
      </c>
      <c r="AD14" s="577">
        <f>'30 - Dem. Resultados'!AD14</f>
        <v>-41995.793052019784</v>
      </c>
      <c r="AE14" s="577">
        <f>'30 - Dem. Resultados'!AE14</f>
        <v>-39949.776644464808</v>
      </c>
      <c r="AF14" s="577">
        <f>'30 - Dem. Resultados'!AF14</f>
        <v>-41785.137922327005</v>
      </c>
      <c r="AG14" s="577">
        <f>'30 - Dem. Resultados'!AG14</f>
        <v>-41781.73356563074</v>
      </c>
      <c r="AH14" s="577">
        <f>'30 - Dem. Resultados'!AH14</f>
        <v>-41693.4461313582</v>
      </c>
      <c r="AI14" s="577">
        <f>'30 - Dem. Resultados'!AI14</f>
        <v>-41636.726970667616</v>
      </c>
      <c r="AJ14" s="577">
        <f>'30 - Dem. Resultados'!AJ14</f>
        <v>-38542.029129763527</v>
      </c>
      <c r="AK14" s="577">
        <f>'30 - Dem. Resultados'!AK14</f>
        <v>-41570.592167636074</v>
      </c>
    </row>
    <row r="15" spans="1:37" ht="13.15" customHeight="1" outlineLevel="1" x14ac:dyDescent="0.2">
      <c r="A15" s="576" t="s">
        <v>1499</v>
      </c>
      <c r="B15" s="215">
        <f t="shared" si="4"/>
        <v>11782.685512244743</v>
      </c>
      <c r="C15" s="225">
        <f>-SUM(C16:C17)/365*30</f>
        <v>612.10010007098617</v>
      </c>
      <c r="D15" s="225">
        <f>-SUM(D16)/365*30-C15</f>
        <v>-14.350815196695407</v>
      </c>
      <c r="E15" s="215">
        <f t="shared" ref="E15:AK15" si="7">-SUM(E16)/365*30-D15</f>
        <v>618.43312914186629</v>
      </c>
      <c r="F15" s="215">
        <f t="shared" si="7"/>
        <v>-8.0234456692209051</v>
      </c>
      <c r="G15" s="215">
        <f t="shared" si="7"/>
        <v>624.76615821274652</v>
      </c>
      <c r="H15" s="215">
        <f t="shared" si="7"/>
        <v>-1.690416598340903</v>
      </c>
      <c r="I15" s="215">
        <f t="shared" si="7"/>
        <v>629.48621741302702</v>
      </c>
      <c r="J15" s="215">
        <f t="shared" si="7"/>
        <v>3.0296426019398268</v>
      </c>
      <c r="K15" s="215">
        <f t="shared" si="7"/>
        <v>634.20627661330741</v>
      </c>
      <c r="L15" s="215">
        <f t="shared" si="7"/>
        <v>7.7497018022205566</v>
      </c>
      <c r="M15" s="215">
        <f t="shared" si="7"/>
        <v>638.9263358135878</v>
      </c>
      <c r="N15" s="215">
        <f t="shared" si="7"/>
        <v>11.134108758776961</v>
      </c>
      <c r="O15" s="215">
        <f t="shared" si="7"/>
        <v>642.31074277014397</v>
      </c>
      <c r="P15" s="215">
        <f t="shared" si="7"/>
        <v>14.518515715333024</v>
      </c>
      <c r="Q15" s="215">
        <f t="shared" si="7"/>
        <v>645.69514972670027</v>
      </c>
      <c r="R15" s="215">
        <f t="shared" si="7"/>
        <v>17.902922671888973</v>
      </c>
      <c r="S15" s="215">
        <f t="shared" si="7"/>
        <v>647.66467083185353</v>
      </c>
      <c r="T15" s="215">
        <f t="shared" si="7"/>
        <v>19.872443777041781</v>
      </c>
      <c r="U15" s="215">
        <f t="shared" si="7"/>
        <v>649.6398514804124</v>
      </c>
      <c r="V15" s="215">
        <f t="shared" si="7"/>
        <v>21.841964882194816</v>
      </c>
      <c r="W15" s="215">
        <f t="shared" si="7"/>
        <v>651.60937258556544</v>
      </c>
      <c r="X15" s="215">
        <f t="shared" si="7"/>
        <v>22.555067351301886</v>
      </c>
      <c r="Y15" s="215">
        <f t="shared" si="7"/>
        <v>652.32247505467262</v>
      </c>
      <c r="Z15" s="215">
        <f t="shared" si="7"/>
        <v>23.268169820408957</v>
      </c>
      <c r="AA15" s="215">
        <f t="shared" si="7"/>
        <v>653.03557752378003</v>
      </c>
      <c r="AB15" s="215">
        <f t="shared" si="7"/>
        <v>23.975612746110301</v>
      </c>
      <c r="AC15" s="215">
        <f t="shared" si="7"/>
        <v>652.54885679089762</v>
      </c>
      <c r="AD15" s="215">
        <f t="shared" si="7"/>
        <v>23.488892013227769</v>
      </c>
      <c r="AE15" s="215">
        <f t="shared" si="7"/>
        <v>652.06213605801474</v>
      </c>
      <c r="AF15" s="215">
        <f t="shared" si="7"/>
        <v>22.996511736939397</v>
      </c>
      <c r="AG15" s="215">
        <f t="shared" si="7"/>
        <v>651.57541532513198</v>
      </c>
      <c r="AH15" s="215">
        <f t="shared" si="7"/>
        <v>21.145841043304245</v>
      </c>
      <c r="AI15" s="215">
        <f t="shared" si="7"/>
        <v>649.72474463149661</v>
      </c>
      <c r="AJ15" s="215">
        <f t="shared" si="7"/>
        <v>19.289510806263706</v>
      </c>
      <c r="AK15" s="215">
        <f t="shared" si="7"/>
        <v>647.87407393786134</v>
      </c>
    </row>
    <row r="16" spans="1:37" ht="13.15" customHeight="1" outlineLevel="1" x14ac:dyDescent="0.2">
      <c r="A16" s="579" t="s">
        <v>1500</v>
      </c>
      <c r="B16" s="215">
        <f t="shared" si="4"/>
        <v>-278577.89279312274</v>
      </c>
      <c r="C16" s="578">
        <f>'30 - Dem. Resultados'!C7</f>
        <v>-7195.5644456081618</v>
      </c>
      <c r="D16" s="578">
        <f>'30 - Dem. Resultados'!D7</f>
        <v>-7272.6162993038706</v>
      </c>
      <c r="E16" s="577">
        <f>'30 - Dem. Resultados'!E7</f>
        <v>-7349.6681529995794</v>
      </c>
      <c r="F16" s="577">
        <f>'30 - Dem. Resultados'!F7</f>
        <v>-7426.6511489171862</v>
      </c>
      <c r="G16" s="577">
        <f>'30 - Dem. Resultados'!G7</f>
        <v>-7503.703002612895</v>
      </c>
      <c r="H16" s="577">
        <f>'30 - Dem. Resultados'!H7</f>
        <v>-7580.754856308602</v>
      </c>
      <c r="I16" s="577">
        <f>'30 - Dem. Resultados'!I7</f>
        <v>-7638.1822432453482</v>
      </c>
      <c r="J16" s="577">
        <f>'30 - Dem. Resultados'!J7</f>
        <v>-7695.6096301820962</v>
      </c>
      <c r="K16" s="577">
        <f>'30 - Dem. Resultados'!K7</f>
        <v>-7753.0370171188415</v>
      </c>
      <c r="L16" s="577">
        <f>'30 - Dem. Resultados'!L7</f>
        <v>-7810.4644040555904</v>
      </c>
      <c r="M16" s="577">
        <f>'30 - Dem. Resultados'!M7</f>
        <v>-7867.8917909923348</v>
      </c>
      <c r="N16" s="577">
        <f>'30 - Dem. Resultados'!N7</f>
        <v>-7909.0687422971041</v>
      </c>
      <c r="O16" s="577">
        <f>'30 - Dem. Resultados'!O7</f>
        <v>-7950.2456936018716</v>
      </c>
      <c r="P16" s="577">
        <f>'30 - Dem. Resultados'!P7</f>
        <v>-7991.4226449066373</v>
      </c>
      <c r="Q16" s="577">
        <f>'30 - Dem. Resultados'!Q7</f>
        <v>-8032.5995962114039</v>
      </c>
      <c r="R16" s="577">
        <f>'30 - Dem. Resultados'!R7</f>
        <v>-8073.7765475161696</v>
      </c>
      <c r="S16" s="577">
        <f>'30 - Dem. Resultados'!S7</f>
        <v>-8097.7390542955327</v>
      </c>
      <c r="T16" s="577">
        <f>'30 - Dem. Resultados'!T7</f>
        <v>-8121.7015610748931</v>
      </c>
      <c r="U16" s="577">
        <f>'30 - Dem. Resultados'!U7</f>
        <v>-8145.7329256323592</v>
      </c>
      <c r="V16" s="577">
        <f>'30 - Dem. Resultados'!V7</f>
        <v>-8169.6954324117214</v>
      </c>
      <c r="W16" s="577">
        <f>'30 - Dem. Resultados'!W7</f>
        <v>-8193.6579391910836</v>
      </c>
      <c r="X16" s="577">
        <f>'30 - Dem. Resultados'!X7</f>
        <v>-8202.3340192318865</v>
      </c>
      <c r="Y16" s="577">
        <f>'30 - Dem. Resultados'!Y7</f>
        <v>-8211.0100992726893</v>
      </c>
      <c r="Z16" s="577">
        <f>'30 - Dem. Resultados'!Z7</f>
        <v>-8219.6861793134922</v>
      </c>
      <c r="AA16" s="577">
        <f>'30 - Dem. Resultados'!AA7</f>
        <v>-8228.3622593542987</v>
      </c>
      <c r="AB16" s="577">
        <f>'30 - Dem. Resultados'!AB7</f>
        <v>-8236.9694816169995</v>
      </c>
      <c r="AC16" s="577">
        <f>'30 - Dem. Resultados'!AC7</f>
        <v>-8231.0477127002632</v>
      </c>
      <c r="AD16" s="577">
        <f>'30 - Dem. Resultados'!AD7</f>
        <v>-8225.1259437835251</v>
      </c>
      <c r="AE16" s="577">
        <f>'30 - Dem. Resultados'!AE7</f>
        <v>-8219.2041748667834</v>
      </c>
      <c r="AF16" s="577">
        <f>'30 - Dem. Resultados'!AF7</f>
        <v>-8213.2135481719415</v>
      </c>
      <c r="AG16" s="577">
        <f>'30 - Dem. Resultados'!AG7</f>
        <v>-8207.2917792552016</v>
      </c>
      <c r="AH16" s="577">
        <f>'30 - Dem. Resultados'!AH7</f>
        <v>-8184.7752858159747</v>
      </c>
      <c r="AI16" s="577">
        <f>'30 - Dem. Resultados'!AI7</f>
        <v>-8162.2587923767442</v>
      </c>
      <c r="AJ16" s="577">
        <f>'30 - Dem. Resultados'!AJ7</f>
        <v>-8139.6734411594171</v>
      </c>
      <c r="AK16" s="577">
        <f>'30 - Dem. Resultados'!AK7</f>
        <v>-8117.1569477201874</v>
      </c>
    </row>
    <row r="17" spans="1:37" ht="13.15" customHeight="1" outlineLevel="1" x14ac:dyDescent="0.2">
      <c r="A17" s="579" t="s">
        <v>1501</v>
      </c>
      <c r="B17" s="215">
        <f t="shared" si="4"/>
        <v>-42218.184770149441</v>
      </c>
      <c r="C17" s="578">
        <f>'30 - Dem. Resultados'!C36+'30 - Dem. Resultados'!C37</f>
        <v>-251.65343858883637</v>
      </c>
      <c r="D17" s="578">
        <f>'30 - Dem. Resultados'!D36+'30 - Dem. Resultados'!D37</f>
        <v>0</v>
      </c>
      <c r="E17" s="578">
        <f>'30 - Dem. Resultados'!E36+'30 - Dem. Resultados'!E37</f>
        <v>0</v>
      </c>
      <c r="F17" s="578">
        <f>'30 - Dem. Resultados'!F36+'30 - Dem. Resultados'!F37</f>
        <v>0</v>
      </c>
      <c r="G17" s="578">
        <f>'30 - Dem. Resultados'!G36+'30 - Dem. Resultados'!G37</f>
        <v>0</v>
      </c>
      <c r="H17" s="578">
        <f>'30 - Dem. Resultados'!H36+'30 - Dem. Resultados'!H37</f>
        <v>-1257.4325444280778</v>
      </c>
      <c r="I17" s="578">
        <f>'30 - Dem. Resultados'!I36+'30 - Dem. Resultados'!I37</f>
        <v>-645.61906722263018</v>
      </c>
      <c r="J17" s="578">
        <f>'30 - Dem. Resultados'!J36+'30 - Dem. Resultados'!J37</f>
        <v>-413.78739689576213</v>
      </c>
      <c r="K17" s="578">
        <f>'30 - Dem. Resultados'!K36+'30 - Dem. Resultados'!K37</f>
        <v>-46.670655268156537</v>
      </c>
      <c r="L17" s="578">
        <f>'30 - Dem. Resultados'!L36+'30 - Dem. Resultados'!L37</f>
        <v>-235.90012091845188</v>
      </c>
      <c r="M17" s="578">
        <f>'30 - Dem. Resultados'!M36+'30 - Dem. Resultados'!M37</f>
        <v>-296.1151120443235</v>
      </c>
      <c r="N17" s="578">
        <f>'30 - Dem. Resultados'!N36+'30 - Dem. Resultados'!N37</f>
        <v>-220.53827968687568</v>
      </c>
      <c r="O17" s="578">
        <f>'30 - Dem. Resultados'!O36+'30 - Dem. Resultados'!O37</f>
        <v>-2318.1573380132154</v>
      </c>
      <c r="P17" s="578">
        <f>'30 - Dem. Resultados'!P36+'30 - Dem. Resultados'!P37</f>
        <v>-1464.5244124529622</v>
      </c>
      <c r="Q17" s="578">
        <f>'30 - Dem. Resultados'!Q36+'30 - Dem. Resultados'!Q37</f>
        <v>-1177.2138932794801</v>
      </c>
      <c r="R17" s="578">
        <f>'30 - Dem. Resultados'!R36+'30 - Dem. Resultados'!R37</f>
        <v>-634.09087621875847</v>
      </c>
      <c r="S17" s="578">
        <f>'30 - Dem. Resultados'!S36+'30 - Dem. Resultados'!S37</f>
        <v>-686.91849800929162</v>
      </c>
      <c r="T17" s="578">
        <f>'30 - Dem. Resultados'!T36+'30 - Dem. Resultados'!T37</f>
        <v>-946.29496939049739</v>
      </c>
      <c r="U17" s="578">
        <f>'30 - Dem. Resultados'!U36+'30 - Dem. Resultados'!U37</f>
        <v>-919.56636747211769</v>
      </c>
      <c r="V17" s="578">
        <f>'30 - Dem. Resultados'!V36+'30 - Dem. Resultados'!V37</f>
        <v>-3031.2351970556842</v>
      </c>
      <c r="W17" s="578">
        <f>'30 - Dem. Resultados'!W36+'30 - Dem. Resultados'!W37</f>
        <v>-1793.775084921278</v>
      </c>
      <c r="X17" s="578">
        <f>'30 - Dem. Resultados'!X36+'30 - Dem. Resultados'!X37</f>
        <v>-1145.3252527830659</v>
      </c>
      <c r="Y17" s="578">
        <f>'30 - Dem. Resultados'!Y36+'30 - Dem. Resultados'!Y37</f>
        <v>-456.79395508130807</v>
      </c>
      <c r="Z17" s="578">
        <f>'30 - Dem. Resultados'!Z36+'30 - Dem. Resultados'!Z37</f>
        <v>-543.7868828361577</v>
      </c>
      <c r="AA17" s="578">
        <f>'30 - Dem. Resultados'!AA36+'30 - Dem. Resultados'!AA37</f>
        <v>-737.9990611449897</v>
      </c>
      <c r="AB17" s="578">
        <f>'30 - Dem. Resultados'!AB36+'30 - Dem. Resultados'!AB37</f>
        <v>-873.77733228755005</v>
      </c>
      <c r="AC17" s="578">
        <f>'30 - Dem. Resultados'!AC36+'30 - Dem. Resultados'!AC37</f>
        <v>-2912.9642102341768</v>
      </c>
      <c r="AD17" s="578">
        <f>'30 - Dem. Resultados'!AD36+'30 - Dem. Resultados'!AD37</f>
        <v>-1990.5083501381218</v>
      </c>
      <c r="AE17" s="578">
        <f>'30 - Dem. Resultados'!AE36+'30 - Dem. Resultados'!AE37</f>
        <v>-2696.520878199929</v>
      </c>
      <c r="AF17" s="578">
        <f>'30 - Dem. Resultados'!AF36+'30 - Dem. Resultados'!AF37</f>
        <v>-1147.1193244299602</v>
      </c>
      <c r="AG17" s="578">
        <f>'30 - Dem. Resultados'!AG36+'30 - Dem. Resultados'!AG37</f>
        <v>-2496.9107556559279</v>
      </c>
      <c r="AH17" s="578">
        <f>'30 - Dem. Resultados'!AH36+'30 - Dem. Resultados'!AH37</f>
        <v>-2480.8605277843362</v>
      </c>
      <c r="AI17" s="578">
        <f>'30 - Dem. Resultados'!AI36+'30 - Dem. Resultados'!AI37</f>
        <v>-2470.3597962037734</v>
      </c>
      <c r="AJ17" s="578">
        <f>'30 - Dem. Resultados'!AJ36+'30 - Dem. Resultados'!AJ37</f>
        <v>-3492.6309352978788</v>
      </c>
      <c r="AK17" s="578">
        <f>'30 - Dem. Resultados'!AK36+'30 - Dem. Resultados'!AK37</f>
        <v>-2433.1342562058562</v>
      </c>
    </row>
    <row r="18" spans="1:37" ht="13.15" customHeight="1" x14ac:dyDescent="0.2">
      <c r="A18" s="579"/>
      <c r="B18" s="215"/>
      <c r="C18" s="577"/>
      <c r="D18" s="577"/>
      <c r="E18" s="577"/>
      <c r="F18" s="577"/>
      <c r="G18" s="577"/>
      <c r="H18" s="577"/>
      <c r="I18" s="577"/>
      <c r="J18" s="577"/>
      <c r="K18" s="577"/>
      <c r="L18" s="577"/>
      <c r="M18" s="577"/>
      <c r="N18" s="577"/>
      <c r="O18" s="577"/>
      <c r="P18" s="577"/>
      <c r="Q18" s="577"/>
      <c r="R18" s="577"/>
      <c r="S18" s="577"/>
      <c r="T18" s="577"/>
      <c r="U18" s="577"/>
      <c r="V18" s="577"/>
      <c r="W18" s="577"/>
      <c r="X18" s="577"/>
      <c r="Y18" s="577"/>
      <c r="Z18" s="577"/>
      <c r="AA18" s="577"/>
      <c r="AB18" s="577"/>
      <c r="AC18" s="577"/>
      <c r="AD18" s="577"/>
      <c r="AE18" s="577"/>
      <c r="AF18" s="577"/>
      <c r="AG18" s="577"/>
      <c r="AH18" s="577"/>
      <c r="AI18" s="577"/>
      <c r="AJ18" s="577"/>
      <c r="AK18" s="577"/>
    </row>
    <row r="19" spans="1:37" s="210" customFormat="1" ht="13.15" customHeight="1" x14ac:dyDescent="0.2">
      <c r="A19" s="214" t="s">
        <v>1502</v>
      </c>
      <c r="B19" s="216">
        <f>SUM(B5,B7,B12)</f>
        <v>193129.24457238568</v>
      </c>
      <c r="C19" s="216">
        <f t="shared" ref="C19:AK19" si="8">C7+C12+C5</f>
        <v>4820.6953215960384</v>
      </c>
      <c r="D19" s="216">
        <f t="shared" si="8"/>
        <v>3746.9803738217292</v>
      </c>
      <c r="E19" s="216">
        <f t="shared" si="8"/>
        <v>13177.338899239559</v>
      </c>
      <c r="F19" s="216">
        <f t="shared" si="8"/>
        <v>13375.996039005091</v>
      </c>
      <c r="G19" s="216">
        <f t="shared" si="8"/>
        <v>14020.563238841953</v>
      </c>
      <c r="H19" s="216">
        <f t="shared" si="8"/>
        <v>15729.302736187088</v>
      </c>
      <c r="I19" s="216">
        <f t="shared" si="8"/>
        <v>14873.82468408105</v>
      </c>
      <c r="J19" s="216">
        <f t="shared" si="8"/>
        <v>17427.484651959032</v>
      </c>
      <c r="K19" s="216">
        <f t="shared" si="8"/>
        <v>7691.017356397213</v>
      </c>
      <c r="L19" s="216">
        <f t="shared" si="8"/>
        <v>9278.6178332011004</v>
      </c>
      <c r="M19" s="216">
        <f t="shared" si="8"/>
        <v>11694.579222003105</v>
      </c>
      <c r="N19" s="216">
        <f t="shared" si="8"/>
        <v>25199.924752727733</v>
      </c>
      <c r="O19" s="216">
        <f t="shared" si="8"/>
        <v>26255.526128153862</v>
      </c>
      <c r="P19" s="216">
        <f t="shared" si="8"/>
        <v>24716.779200441269</v>
      </c>
      <c r="Q19" s="216">
        <f t="shared" si="8"/>
        <v>26535.857695711828</v>
      </c>
      <c r="R19" s="216">
        <f t="shared" si="8"/>
        <v>26002.924280137144</v>
      </c>
      <c r="S19" s="216">
        <f t="shared" si="8"/>
        <v>25386.765042381201</v>
      </c>
      <c r="T19" s="216">
        <f t="shared" si="8"/>
        <v>26180.988174461163</v>
      </c>
      <c r="U19" s="216">
        <f t="shared" si="8"/>
        <v>25355.446686854382</v>
      </c>
      <c r="V19" s="216">
        <f t="shared" si="8"/>
        <v>26757.269966595668</v>
      </c>
      <c r="W19" s="216">
        <f t="shared" si="8"/>
        <v>25150.258126701308</v>
      </c>
      <c r="X19" s="216">
        <f t="shared" si="8"/>
        <v>27767.943828554453</v>
      </c>
      <c r="Y19" s="216">
        <f t="shared" si="8"/>
        <v>26606.331273787793</v>
      </c>
      <c r="Z19" s="216">
        <f t="shared" si="8"/>
        <v>26361.127776470792</v>
      </c>
      <c r="AA19" s="216">
        <f t="shared" si="8"/>
        <v>26642.077789141244</v>
      </c>
      <c r="AB19" s="216">
        <f t="shared" si="8"/>
        <v>26365.125178433809</v>
      </c>
      <c r="AC19" s="216">
        <f t="shared" si="8"/>
        <v>27076.081773492537</v>
      </c>
      <c r="AD19" s="216">
        <f t="shared" si="8"/>
        <v>25361.699340547901</v>
      </c>
      <c r="AE19" s="216">
        <f t="shared" si="8"/>
        <v>26178.564811153403</v>
      </c>
      <c r="AF19" s="216">
        <f t="shared" si="8"/>
        <v>26497.874664669936</v>
      </c>
      <c r="AG19" s="216">
        <f t="shared" si="8"/>
        <v>24477.183702683396</v>
      </c>
      <c r="AH19" s="216">
        <f t="shared" si="8"/>
        <v>25088.576751886787</v>
      </c>
      <c r="AI19" s="216">
        <f t="shared" si="8"/>
        <v>24384.227926671389</v>
      </c>
      <c r="AJ19" s="216">
        <f t="shared" si="8"/>
        <v>26713.632839565726</v>
      </c>
      <c r="AK19" s="216">
        <f t="shared" si="8"/>
        <v>24476.245422811844</v>
      </c>
    </row>
    <row r="20" spans="1:37" ht="13.15" customHeight="1" x14ac:dyDescent="0.2">
      <c r="A20" s="580"/>
      <c r="B20" s="577"/>
      <c r="C20" s="577"/>
      <c r="D20" s="577"/>
      <c r="E20" s="577"/>
      <c r="F20" s="577"/>
      <c r="G20" s="577"/>
      <c r="H20" s="577"/>
      <c r="I20" s="577"/>
      <c r="J20" s="577"/>
      <c r="K20" s="577"/>
      <c r="L20" s="577"/>
      <c r="M20" s="577"/>
      <c r="N20" s="577"/>
      <c r="O20" s="577"/>
      <c r="P20" s="577"/>
      <c r="Q20" s="577"/>
      <c r="R20" s="577"/>
      <c r="S20" s="577"/>
      <c r="T20" s="577"/>
      <c r="U20" s="577"/>
      <c r="V20" s="577"/>
      <c r="W20" s="577"/>
      <c r="X20" s="577"/>
      <c r="Y20" s="577"/>
      <c r="Z20" s="577"/>
      <c r="AA20" s="577"/>
      <c r="AB20" s="577"/>
      <c r="AC20" s="577"/>
      <c r="AD20" s="577"/>
      <c r="AE20" s="577"/>
      <c r="AF20" s="577"/>
      <c r="AG20" s="581"/>
      <c r="AH20" s="581"/>
      <c r="AI20" s="582"/>
      <c r="AJ20" s="582"/>
      <c r="AK20" s="582"/>
    </row>
    <row r="21" spans="1:37" ht="13.15" customHeight="1" x14ac:dyDescent="0.2">
      <c r="A21" s="576" t="s">
        <v>1503</v>
      </c>
      <c r="B21" s="215">
        <f xml:space="preserve"> SUM( $C21:$AK21 )</f>
        <v>-143370.43524600004</v>
      </c>
      <c r="C21" s="578">
        <f t="shared" ref="C21:AK21" si="9" xml:space="preserve"> SUM( C$22:C$22 )</f>
        <v>-24709.197746666665</v>
      </c>
      <c r="D21" s="578">
        <f t="shared" si="9"/>
        <v>-204.27796333333333</v>
      </c>
      <c r="E21" s="577">
        <f t="shared" si="9"/>
        <v>-845.05329666666671</v>
      </c>
      <c r="F21" s="577">
        <f t="shared" si="9"/>
        <v>-0.29299999999999998</v>
      </c>
      <c r="G21" s="577">
        <f t="shared" si="9"/>
        <v>-1374.6089633333333</v>
      </c>
      <c r="H21" s="577">
        <f t="shared" si="9"/>
        <v>-2137.5171866666665</v>
      </c>
      <c r="I21" s="577">
        <f t="shared" si="9"/>
        <v>-204.57096333333331</v>
      </c>
      <c r="J21" s="577">
        <f t="shared" si="9"/>
        <v>-22729.094966666664</v>
      </c>
      <c r="K21" s="577">
        <f t="shared" si="9"/>
        <v>-737.41</v>
      </c>
      <c r="L21" s="577">
        <f t="shared" si="9"/>
        <v>-654.31796333333341</v>
      </c>
      <c r="M21" s="577">
        <f t="shared" si="9"/>
        <v>-2116.9438986666669</v>
      </c>
      <c r="N21" s="577">
        <f t="shared" si="9"/>
        <v>-204.86396333333332</v>
      </c>
      <c r="O21" s="577">
        <f t="shared" si="9"/>
        <v>-2412.9632966666668</v>
      </c>
      <c r="P21" s="577">
        <f t="shared" si="9"/>
        <v>-17.119</v>
      </c>
      <c r="Q21" s="577">
        <f t="shared" si="9"/>
        <v>-22156.866633333331</v>
      </c>
      <c r="R21" s="577">
        <f t="shared" si="9"/>
        <v>-1290.4841866666666</v>
      </c>
      <c r="S21" s="577">
        <f t="shared" si="9"/>
        <v>-941.68796333333341</v>
      </c>
      <c r="T21" s="577">
        <f t="shared" si="9"/>
        <v>-862.17229666666685</v>
      </c>
      <c r="U21" s="577">
        <f t="shared" si="9"/>
        <v>-0.29299999999999998</v>
      </c>
      <c r="V21" s="577">
        <f t="shared" si="9"/>
        <v>-1468.2849633333333</v>
      </c>
      <c r="W21" s="577">
        <f t="shared" si="9"/>
        <v>-2854.0608986666671</v>
      </c>
      <c r="X21" s="577">
        <f t="shared" si="9"/>
        <v>-21740.771633333334</v>
      </c>
      <c r="Y21" s="577">
        <f t="shared" si="9"/>
        <v>-845.34629666666683</v>
      </c>
      <c r="Z21" s="577">
        <f t="shared" si="9"/>
        <v>-0.58599999999999997</v>
      </c>
      <c r="AA21" s="577">
        <f t="shared" si="9"/>
        <v>-1374.6089633333333</v>
      </c>
      <c r="AB21" s="577">
        <f t="shared" si="9"/>
        <v>-1307.0171866666665</v>
      </c>
      <c r="AC21" s="577">
        <f t="shared" si="9"/>
        <v>-1034.7779633333334</v>
      </c>
      <c r="AD21" s="577">
        <f t="shared" si="9"/>
        <v>-845.63929666666684</v>
      </c>
      <c r="AE21" s="577">
        <f t="shared" si="9"/>
        <v>-22256.784669999997</v>
      </c>
      <c r="AF21" s="577">
        <f t="shared" si="9"/>
        <v>-654.31796333333341</v>
      </c>
      <c r="AG21" s="577">
        <f t="shared" si="9"/>
        <v>-2116.6508986666668</v>
      </c>
      <c r="AH21" s="577">
        <f t="shared" si="9"/>
        <v>-204.86396333333332</v>
      </c>
      <c r="AI21" s="577">
        <f t="shared" si="9"/>
        <v>-1582.1702966666669</v>
      </c>
      <c r="AJ21" s="577">
        <f t="shared" si="9"/>
        <v>-847.61900000000003</v>
      </c>
      <c r="AK21" s="577">
        <f t="shared" si="9"/>
        <v>-637.19896333333338</v>
      </c>
    </row>
    <row r="22" spans="1:37" ht="13.15" customHeight="1" x14ac:dyDescent="0.2">
      <c r="A22" s="579" t="s">
        <v>1504</v>
      </c>
      <c r="B22" s="215">
        <f xml:space="preserve"> SUM( $C22:$AK22 )</f>
        <v>-143370.43524600004</v>
      </c>
      <c r="C22" s="577">
        <f>-'14 - Investimentos'!E4</f>
        <v>-24709.197746666665</v>
      </c>
      <c r="D22" s="577">
        <f>-'14 - Investimentos'!F4</f>
        <v>-204.27796333333333</v>
      </c>
      <c r="E22" s="577">
        <f>-'14 - Investimentos'!G4</f>
        <v>-845.05329666666671</v>
      </c>
      <c r="F22" s="577">
        <f>-'14 - Investimentos'!H4</f>
        <v>-0.29299999999999998</v>
      </c>
      <c r="G22" s="577">
        <f>-'14 - Investimentos'!I4</f>
        <v>-1374.6089633333333</v>
      </c>
      <c r="H22" s="577">
        <f>-'14 - Investimentos'!J4</f>
        <v>-2137.5171866666665</v>
      </c>
      <c r="I22" s="577">
        <f>-'14 - Investimentos'!K4</f>
        <v>-204.57096333333331</v>
      </c>
      <c r="J22" s="577">
        <f>-'14 - Investimentos'!L4</f>
        <v>-22729.094966666664</v>
      </c>
      <c r="K22" s="577">
        <f>-'14 - Investimentos'!M4</f>
        <v>-737.41</v>
      </c>
      <c r="L22" s="577">
        <f>-'14 - Investimentos'!N4</f>
        <v>-654.31796333333341</v>
      </c>
      <c r="M22" s="577">
        <f>-'14 - Investimentos'!O4</f>
        <v>-2116.9438986666669</v>
      </c>
      <c r="N22" s="577">
        <f>-'14 - Investimentos'!P4</f>
        <v>-204.86396333333332</v>
      </c>
      <c r="O22" s="577">
        <f>-'14 - Investimentos'!Q4</f>
        <v>-2412.9632966666668</v>
      </c>
      <c r="P22" s="577">
        <f>-'14 - Investimentos'!R4</f>
        <v>-17.119</v>
      </c>
      <c r="Q22" s="577">
        <f>-'14 - Investimentos'!S4</f>
        <v>-22156.866633333331</v>
      </c>
      <c r="R22" s="577">
        <f>-'14 - Investimentos'!T4</f>
        <v>-1290.4841866666666</v>
      </c>
      <c r="S22" s="577">
        <f>-'14 - Investimentos'!U4</f>
        <v>-941.68796333333341</v>
      </c>
      <c r="T22" s="577">
        <f>-'14 - Investimentos'!V4</f>
        <v>-862.17229666666685</v>
      </c>
      <c r="U22" s="577">
        <f>-'14 - Investimentos'!W4</f>
        <v>-0.29299999999999998</v>
      </c>
      <c r="V22" s="577">
        <f>-'14 - Investimentos'!X4</f>
        <v>-1468.2849633333333</v>
      </c>
      <c r="W22" s="577">
        <f>-'14 - Investimentos'!Y4</f>
        <v>-2854.0608986666671</v>
      </c>
      <c r="X22" s="577">
        <f>-'14 - Investimentos'!Z4</f>
        <v>-21740.771633333334</v>
      </c>
      <c r="Y22" s="577">
        <f>-'14 - Investimentos'!AA4</f>
        <v>-845.34629666666683</v>
      </c>
      <c r="Z22" s="577">
        <f>-'14 - Investimentos'!AB4</f>
        <v>-0.58599999999999997</v>
      </c>
      <c r="AA22" s="577">
        <f>-'14 - Investimentos'!AC4</f>
        <v>-1374.6089633333333</v>
      </c>
      <c r="AB22" s="577">
        <f>-'14 - Investimentos'!AD4</f>
        <v>-1307.0171866666665</v>
      </c>
      <c r="AC22" s="577">
        <f>-'14 - Investimentos'!AE4</f>
        <v>-1034.7779633333334</v>
      </c>
      <c r="AD22" s="577">
        <f>-'14 - Investimentos'!AF4</f>
        <v>-845.63929666666684</v>
      </c>
      <c r="AE22" s="577">
        <f>-'14 - Investimentos'!AG4</f>
        <v>-22256.784669999997</v>
      </c>
      <c r="AF22" s="577">
        <f>-'14 - Investimentos'!AH4</f>
        <v>-654.31796333333341</v>
      </c>
      <c r="AG22" s="577">
        <f>-'14 - Investimentos'!AI4</f>
        <v>-2116.6508986666668</v>
      </c>
      <c r="AH22" s="577">
        <f>-'14 - Investimentos'!AJ4</f>
        <v>-204.86396333333332</v>
      </c>
      <c r="AI22" s="577">
        <f>-'14 - Investimentos'!AK4</f>
        <v>-1582.1702966666669</v>
      </c>
      <c r="AJ22" s="577">
        <f>-'14 - Investimentos'!AL4</f>
        <v>-847.61900000000003</v>
      </c>
      <c r="AK22" s="577">
        <f>-'14 - Investimentos'!AM4</f>
        <v>-637.19896333333338</v>
      </c>
    </row>
    <row r="23" spans="1:37" s="210" customFormat="1" ht="13.15" customHeight="1" x14ac:dyDescent="0.2">
      <c r="A23" s="214" t="s">
        <v>1505</v>
      </c>
      <c r="B23" s="216">
        <f>SUM(B19,B21)</f>
        <v>49758.809326385643</v>
      </c>
      <c r="C23" s="216">
        <f t="shared" ref="C23:AK23" si="10">C7+C12+C21+C5</f>
        <v>-19888.502425070626</v>
      </c>
      <c r="D23" s="216">
        <f t="shared" si="10"/>
        <v>3542.7024104883958</v>
      </c>
      <c r="E23" s="216">
        <f t="shared" si="10"/>
        <v>12332.285602572892</v>
      </c>
      <c r="F23" s="216">
        <f t="shared" si="10"/>
        <v>13375.703039005091</v>
      </c>
      <c r="G23" s="216">
        <f t="shared" si="10"/>
        <v>12645.954275508619</v>
      </c>
      <c r="H23" s="216">
        <f t="shared" si="10"/>
        <v>13591.785549520422</v>
      </c>
      <c r="I23" s="216">
        <f t="shared" si="10"/>
        <v>14669.253720747716</v>
      </c>
      <c r="J23" s="216">
        <f t="shared" si="10"/>
        <v>-5301.6103147076319</v>
      </c>
      <c r="K23" s="216">
        <f t="shared" si="10"/>
        <v>6953.6073563972132</v>
      </c>
      <c r="L23" s="216">
        <f t="shared" si="10"/>
        <v>8624.2998698677675</v>
      </c>
      <c r="M23" s="216">
        <f t="shared" si="10"/>
        <v>9577.6353233364389</v>
      </c>
      <c r="N23" s="216">
        <f t="shared" si="10"/>
        <v>24995.0607893944</v>
      </c>
      <c r="O23" s="216">
        <f t="shared" si="10"/>
        <v>23842.562831487194</v>
      </c>
      <c r="P23" s="216">
        <f t="shared" si="10"/>
        <v>24699.660200441271</v>
      </c>
      <c r="Q23" s="216">
        <f t="shared" si="10"/>
        <v>4378.9910623784963</v>
      </c>
      <c r="R23" s="216">
        <f t="shared" si="10"/>
        <v>24712.440093470475</v>
      </c>
      <c r="S23" s="216">
        <f t="shared" si="10"/>
        <v>24445.077079047867</v>
      </c>
      <c r="T23" s="216">
        <f t="shared" si="10"/>
        <v>25318.815877794495</v>
      </c>
      <c r="U23" s="216">
        <f t="shared" si="10"/>
        <v>25355.153686854384</v>
      </c>
      <c r="V23" s="216">
        <f t="shared" si="10"/>
        <v>25288.985003262336</v>
      </c>
      <c r="W23" s="216">
        <f t="shared" si="10"/>
        <v>22296.197228034642</v>
      </c>
      <c r="X23" s="216">
        <f t="shared" si="10"/>
        <v>6027.1721952211192</v>
      </c>
      <c r="Y23" s="216">
        <f t="shared" si="10"/>
        <v>25760.984977121127</v>
      </c>
      <c r="Z23" s="216">
        <f t="shared" si="10"/>
        <v>26360.541776470793</v>
      </c>
      <c r="AA23" s="216">
        <f t="shared" si="10"/>
        <v>25267.468825807911</v>
      </c>
      <c r="AB23" s="216">
        <f t="shared" si="10"/>
        <v>25058.107991767145</v>
      </c>
      <c r="AC23" s="216">
        <f t="shared" si="10"/>
        <v>26041.303810159203</v>
      </c>
      <c r="AD23" s="216">
        <f t="shared" si="10"/>
        <v>24516.060043881233</v>
      </c>
      <c r="AE23" s="216">
        <f t="shared" si="10"/>
        <v>3921.7801411534056</v>
      </c>
      <c r="AF23" s="216">
        <f t="shared" si="10"/>
        <v>25843.556701336602</v>
      </c>
      <c r="AG23" s="216">
        <f t="shared" si="10"/>
        <v>22360.53280401673</v>
      </c>
      <c r="AH23" s="216">
        <f t="shared" si="10"/>
        <v>24883.712788553454</v>
      </c>
      <c r="AI23" s="216">
        <f t="shared" si="10"/>
        <v>22802.057630004721</v>
      </c>
      <c r="AJ23" s="216">
        <f t="shared" si="10"/>
        <v>25866.013839565727</v>
      </c>
      <c r="AK23" s="216">
        <f t="shared" si="10"/>
        <v>23839.046459478512</v>
      </c>
    </row>
    <row r="24" spans="1:37" s="210" customFormat="1" ht="13.15" customHeight="1" x14ac:dyDescent="0.2">
      <c r="A24" s="212"/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</row>
    <row r="25" spans="1:37" s="210" customFormat="1" ht="13.15" customHeight="1" x14ac:dyDescent="0.2">
      <c r="A25" s="214" t="s">
        <v>1506</v>
      </c>
      <c r="B25" s="216">
        <f>SUM(B26:B28)</f>
        <v>115324.49270470926</v>
      </c>
      <c r="C25" s="216">
        <f>SUM(C26:C28)</f>
        <v>21022.194688742584</v>
      </c>
      <c r="D25" s="216">
        <f t="shared" ref="D25:AK25" si="11">SUM(D26:D28)</f>
        <v>8141.5902891666665</v>
      </c>
      <c r="E25" s="216">
        <f t="shared" si="11"/>
        <v>422.52664833333336</v>
      </c>
      <c r="F25" s="216">
        <f t="shared" si="11"/>
        <v>0.14649999999999999</v>
      </c>
      <c r="G25" s="216">
        <f t="shared" si="11"/>
        <v>687.30448166666667</v>
      </c>
      <c r="H25" s="216">
        <f t="shared" si="11"/>
        <v>1068.7585933333332</v>
      </c>
      <c r="I25" s="216">
        <f t="shared" si="11"/>
        <v>102.28548166666666</v>
      </c>
      <c r="J25" s="216">
        <f t="shared" si="11"/>
        <v>11364.547483333332</v>
      </c>
      <c r="K25" s="216">
        <f t="shared" si="11"/>
        <v>368.70499999999998</v>
      </c>
      <c r="L25" s="216">
        <f t="shared" si="11"/>
        <v>327.1589816666667</v>
      </c>
      <c r="M25" s="216">
        <f t="shared" si="11"/>
        <v>5779.2238296333326</v>
      </c>
      <c r="N25" s="216">
        <f t="shared" si="11"/>
        <v>4823.183861966666</v>
      </c>
      <c r="O25" s="216">
        <f t="shared" si="11"/>
        <v>1206.4816483333334</v>
      </c>
      <c r="P25" s="216">
        <f t="shared" si="11"/>
        <v>8.5594999999999999</v>
      </c>
      <c r="Q25" s="216">
        <f t="shared" si="11"/>
        <v>11078.433316666666</v>
      </c>
      <c r="R25" s="216">
        <f t="shared" si="11"/>
        <v>645.24209333333329</v>
      </c>
      <c r="S25" s="216">
        <f t="shared" si="11"/>
        <v>470.84398166666671</v>
      </c>
      <c r="T25" s="216">
        <f t="shared" si="11"/>
        <v>431.08614833333343</v>
      </c>
      <c r="U25" s="216">
        <f t="shared" si="11"/>
        <v>0.14649999999999999</v>
      </c>
      <c r="V25" s="216">
        <f t="shared" si="11"/>
        <v>734.14248166666664</v>
      </c>
      <c r="W25" s="216">
        <f t="shared" si="11"/>
        <v>9364.1170801333337</v>
      </c>
      <c r="X25" s="216">
        <f t="shared" si="11"/>
        <v>18807.472447466665</v>
      </c>
      <c r="Y25" s="216">
        <f t="shared" si="11"/>
        <v>422.67314833333342</v>
      </c>
      <c r="Z25" s="216">
        <f t="shared" si="11"/>
        <v>0.29299999999999998</v>
      </c>
      <c r="AA25" s="216">
        <f t="shared" si="11"/>
        <v>687.30448166666667</v>
      </c>
      <c r="AB25" s="216">
        <f t="shared" si="11"/>
        <v>653.50859333333324</v>
      </c>
      <c r="AC25" s="216">
        <f t="shared" si="11"/>
        <v>517.38898166666672</v>
      </c>
      <c r="AD25" s="216">
        <f t="shared" si="11"/>
        <v>422.81964833333342</v>
      </c>
      <c r="AE25" s="216">
        <f t="shared" si="11"/>
        <v>11128.392334999999</v>
      </c>
      <c r="AF25" s="216">
        <f t="shared" si="11"/>
        <v>327.1589816666667</v>
      </c>
      <c r="AG25" s="216">
        <f t="shared" si="11"/>
        <v>2674.876385933333</v>
      </c>
      <c r="AH25" s="216">
        <f t="shared" si="11"/>
        <v>102.43198166666666</v>
      </c>
      <c r="AI25" s="216">
        <f t="shared" si="11"/>
        <v>791.08514833333345</v>
      </c>
      <c r="AJ25" s="216">
        <f t="shared" si="11"/>
        <v>423.80950000000001</v>
      </c>
      <c r="AK25" s="216">
        <f t="shared" si="11"/>
        <v>318.59948166666669</v>
      </c>
    </row>
    <row r="26" spans="1:37" s="210" customFormat="1" ht="13.15" customHeight="1" x14ac:dyDescent="0.2">
      <c r="A26" s="583" t="s">
        <v>1507</v>
      </c>
      <c r="B26" s="578">
        <f>SUM(C26:AK26)</f>
        <v>43011.130573799986</v>
      </c>
      <c r="C26" s="578">
        <f>'27 - Financiamento'!C47</f>
        <v>8039.4513074999995</v>
      </c>
      <c r="D26" s="578">
        <f>'27 - Financiamento'!D47</f>
        <v>8039.4513074999995</v>
      </c>
      <c r="E26" s="578">
        <f>'27 - Financiamento'!E47</f>
        <v>0</v>
      </c>
      <c r="F26" s="578">
        <f>'27 - Financiamento'!F47</f>
        <v>0</v>
      </c>
      <c r="G26" s="578">
        <f>'27 - Financiamento'!G47</f>
        <v>0</v>
      </c>
      <c r="H26" s="578">
        <f>'27 - Financiamento'!H47</f>
        <v>0</v>
      </c>
      <c r="I26" s="578">
        <f>'27 - Financiamento'!I47</f>
        <v>0</v>
      </c>
      <c r="J26" s="578">
        <f>'27 - Financiamento'!J47</f>
        <v>0</v>
      </c>
      <c r="K26" s="578">
        <f>'27 - Financiamento'!K47</f>
        <v>0</v>
      </c>
      <c r="L26" s="578">
        <f>'27 - Financiamento'!L47</f>
        <v>0</v>
      </c>
      <c r="M26" s="578">
        <f>'27 - Financiamento'!M47</f>
        <v>4720.7518802999994</v>
      </c>
      <c r="N26" s="578">
        <f>'27 - Financiamento'!N47</f>
        <v>4720.7518802999994</v>
      </c>
      <c r="O26" s="578">
        <f>'27 - Financiamento'!O47</f>
        <v>0</v>
      </c>
      <c r="P26" s="578">
        <f>'27 - Financiamento'!P47</f>
        <v>0</v>
      </c>
      <c r="Q26" s="578">
        <f>'27 - Financiamento'!Q47</f>
        <v>0</v>
      </c>
      <c r="R26" s="578">
        <f>'27 - Financiamento'!R47</f>
        <v>0</v>
      </c>
      <c r="S26" s="578">
        <f>'27 - Financiamento'!S47</f>
        <v>0</v>
      </c>
      <c r="T26" s="578">
        <f>'27 - Financiamento'!T47</f>
        <v>0</v>
      </c>
      <c r="U26" s="578">
        <f>'27 - Financiamento'!U47</f>
        <v>0</v>
      </c>
      <c r="V26" s="578">
        <f>'27 - Financiamento'!V47</f>
        <v>0</v>
      </c>
      <c r="W26" s="578">
        <f>'27 - Financiamento'!W47</f>
        <v>7937.0866307999995</v>
      </c>
      <c r="X26" s="578">
        <f>'27 - Financiamento'!X47</f>
        <v>7937.0866307999995</v>
      </c>
      <c r="Y26" s="578">
        <f>'27 - Financiamento'!Y47</f>
        <v>0</v>
      </c>
      <c r="Z26" s="578">
        <f>'27 - Financiamento'!Z47</f>
        <v>0</v>
      </c>
      <c r="AA26" s="578">
        <f>'27 - Financiamento'!AA47</f>
        <v>0</v>
      </c>
      <c r="AB26" s="578">
        <f>'27 - Financiamento'!AB47</f>
        <v>0</v>
      </c>
      <c r="AC26" s="578">
        <f>'27 - Financiamento'!AC47</f>
        <v>0</v>
      </c>
      <c r="AD26" s="578">
        <f>'27 - Financiamento'!AD47</f>
        <v>0</v>
      </c>
      <c r="AE26" s="578">
        <f>'27 - Financiamento'!AE47</f>
        <v>0</v>
      </c>
      <c r="AF26" s="578">
        <f>'27 - Financiamento'!AF47</f>
        <v>0</v>
      </c>
      <c r="AG26" s="578">
        <f>'27 - Financiamento'!AG47</f>
        <v>1616.5509365999999</v>
      </c>
      <c r="AH26" s="578">
        <f>'27 - Financiamento'!AH47</f>
        <v>0</v>
      </c>
      <c r="AI26" s="578">
        <f>'27 - Financiamento'!AI47</f>
        <v>0</v>
      </c>
      <c r="AJ26" s="578">
        <f>'27 - Financiamento'!AJ47</f>
        <v>0</v>
      </c>
      <c r="AK26" s="578">
        <f>'27 - Financiamento'!AK47</f>
        <v>0</v>
      </c>
    </row>
    <row r="27" spans="1:37" s="210" customFormat="1" ht="13.15" customHeight="1" x14ac:dyDescent="0.2">
      <c r="A27" s="583" t="s">
        <v>1508</v>
      </c>
      <c r="B27" s="578">
        <f>SUM(C27:AK27)</f>
        <v>71685.217623000019</v>
      </c>
      <c r="C27" s="578">
        <f>-C22/2</f>
        <v>12354.598873333332</v>
      </c>
      <c r="D27" s="578">
        <f t="shared" ref="D27:AK27" si="12">-D22/2</f>
        <v>102.13898166666667</v>
      </c>
      <c r="E27" s="578">
        <f t="shared" si="12"/>
        <v>422.52664833333336</v>
      </c>
      <c r="F27" s="578">
        <f t="shared" si="12"/>
        <v>0.14649999999999999</v>
      </c>
      <c r="G27" s="578">
        <f t="shared" si="12"/>
        <v>687.30448166666667</v>
      </c>
      <c r="H27" s="578">
        <f t="shared" si="12"/>
        <v>1068.7585933333332</v>
      </c>
      <c r="I27" s="578">
        <f t="shared" si="12"/>
        <v>102.28548166666666</v>
      </c>
      <c r="J27" s="578">
        <f t="shared" si="12"/>
        <v>11364.547483333332</v>
      </c>
      <c r="K27" s="578">
        <f t="shared" si="12"/>
        <v>368.70499999999998</v>
      </c>
      <c r="L27" s="578">
        <f t="shared" si="12"/>
        <v>327.1589816666667</v>
      </c>
      <c r="M27" s="578">
        <f t="shared" si="12"/>
        <v>1058.4719493333334</v>
      </c>
      <c r="N27" s="578">
        <f t="shared" si="12"/>
        <v>102.43198166666666</v>
      </c>
      <c r="O27" s="578">
        <f t="shared" si="12"/>
        <v>1206.4816483333334</v>
      </c>
      <c r="P27" s="578">
        <f t="shared" si="12"/>
        <v>8.5594999999999999</v>
      </c>
      <c r="Q27" s="578">
        <f t="shared" si="12"/>
        <v>11078.433316666666</v>
      </c>
      <c r="R27" s="578">
        <f t="shared" si="12"/>
        <v>645.24209333333329</v>
      </c>
      <c r="S27" s="578">
        <f t="shared" si="12"/>
        <v>470.84398166666671</v>
      </c>
      <c r="T27" s="578">
        <f t="shared" si="12"/>
        <v>431.08614833333343</v>
      </c>
      <c r="U27" s="578">
        <f t="shared" si="12"/>
        <v>0.14649999999999999</v>
      </c>
      <c r="V27" s="578">
        <f t="shared" si="12"/>
        <v>734.14248166666664</v>
      </c>
      <c r="W27" s="578">
        <f t="shared" si="12"/>
        <v>1427.0304493333335</v>
      </c>
      <c r="X27" s="578">
        <f t="shared" si="12"/>
        <v>10870.385816666667</v>
      </c>
      <c r="Y27" s="578">
        <f t="shared" si="12"/>
        <v>422.67314833333342</v>
      </c>
      <c r="Z27" s="578">
        <f t="shared" si="12"/>
        <v>0.29299999999999998</v>
      </c>
      <c r="AA27" s="578">
        <f t="shared" si="12"/>
        <v>687.30448166666667</v>
      </c>
      <c r="AB27" s="578">
        <f t="shared" si="12"/>
        <v>653.50859333333324</v>
      </c>
      <c r="AC27" s="578">
        <f t="shared" si="12"/>
        <v>517.38898166666672</v>
      </c>
      <c r="AD27" s="578">
        <f t="shared" si="12"/>
        <v>422.81964833333342</v>
      </c>
      <c r="AE27" s="578">
        <f t="shared" si="12"/>
        <v>11128.392334999999</v>
      </c>
      <c r="AF27" s="578">
        <f t="shared" si="12"/>
        <v>327.1589816666667</v>
      </c>
      <c r="AG27" s="578">
        <f t="shared" si="12"/>
        <v>1058.3254493333334</v>
      </c>
      <c r="AH27" s="578">
        <f t="shared" si="12"/>
        <v>102.43198166666666</v>
      </c>
      <c r="AI27" s="578">
        <f t="shared" si="12"/>
        <v>791.08514833333345</v>
      </c>
      <c r="AJ27" s="578">
        <f t="shared" si="12"/>
        <v>423.80950000000001</v>
      </c>
      <c r="AK27" s="578">
        <f t="shared" si="12"/>
        <v>318.59948166666669</v>
      </c>
    </row>
    <row r="28" spans="1:37" s="210" customFormat="1" ht="13.15" customHeight="1" x14ac:dyDescent="0.2">
      <c r="A28" s="583" t="s">
        <v>1509</v>
      </c>
      <c r="B28" s="578">
        <f>SUM(C28:AK28)</f>
        <v>628.14450790925332</v>
      </c>
      <c r="C28" s="578">
        <f>IF(SUM(C23,C26,C27,C30,C36)&gt;0,0,-SUM(C23,C26,C27,C30,C36))</f>
        <v>628.14450790925332</v>
      </c>
      <c r="D28" s="578">
        <f t="shared" ref="D28:AK28" si="13">IF(SUM(D23,D26,D27,D30,D36)&gt;0,0,-SUM(D23,D26,D27,D30,D36))</f>
        <v>0</v>
      </c>
      <c r="E28" s="578">
        <f t="shared" si="13"/>
        <v>0</v>
      </c>
      <c r="F28" s="578">
        <f t="shared" si="13"/>
        <v>0</v>
      </c>
      <c r="G28" s="578">
        <f t="shared" si="13"/>
        <v>0</v>
      </c>
      <c r="H28" s="578">
        <f t="shared" si="13"/>
        <v>0</v>
      </c>
      <c r="I28" s="578">
        <f t="shared" si="13"/>
        <v>0</v>
      </c>
      <c r="J28" s="578">
        <f t="shared" si="13"/>
        <v>0</v>
      </c>
      <c r="K28" s="578">
        <f t="shared" si="13"/>
        <v>0</v>
      </c>
      <c r="L28" s="578">
        <f t="shared" si="13"/>
        <v>0</v>
      </c>
      <c r="M28" s="578">
        <f t="shared" si="13"/>
        <v>0</v>
      </c>
      <c r="N28" s="578">
        <f t="shared" si="13"/>
        <v>0</v>
      </c>
      <c r="O28" s="578">
        <f t="shared" si="13"/>
        <v>0</v>
      </c>
      <c r="P28" s="578">
        <f t="shared" si="13"/>
        <v>0</v>
      </c>
      <c r="Q28" s="578">
        <f t="shared" si="13"/>
        <v>0</v>
      </c>
      <c r="R28" s="578">
        <f t="shared" si="13"/>
        <v>0</v>
      </c>
      <c r="S28" s="578">
        <f t="shared" si="13"/>
        <v>0</v>
      </c>
      <c r="T28" s="578">
        <f t="shared" si="13"/>
        <v>0</v>
      </c>
      <c r="U28" s="578">
        <f t="shared" si="13"/>
        <v>0</v>
      </c>
      <c r="V28" s="578">
        <f t="shared" si="13"/>
        <v>0</v>
      </c>
      <c r="W28" s="578">
        <f t="shared" si="13"/>
        <v>0</v>
      </c>
      <c r="X28" s="578">
        <f t="shared" si="13"/>
        <v>0</v>
      </c>
      <c r="Y28" s="578">
        <f t="shared" si="13"/>
        <v>0</v>
      </c>
      <c r="Z28" s="578">
        <f t="shared" si="13"/>
        <v>0</v>
      </c>
      <c r="AA28" s="578">
        <f t="shared" si="13"/>
        <v>0</v>
      </c>
      <c r="AB28" s="578">
        <f t="shared" si="13"/>
        <v>0</v>
      </c>
      <c r="AC28" s="578">
        <f t="shared" si="13"/>
        <v>0</v>
      </c>
      <c r="AD28" s="578">
        <f t="shared" si="13"/>
        <v>0</v>
      </c>
      <c r="AE28" s="578">
        <f t="shared" si="13"/>
        <v>0</v>
      </c>
      <c r="AF28" s="578">
        <f t="shared" si="13"/>
        <v>0</v>
      </c>
      <c r="AG28" s="578">
        <f t="shared" si="13"/>
        <v>0</v>
      </c>
      <c r="AH28" s="578">
        <f t="shared" si="13"/>
        <v>0</v>
      </c>
      <c r="AI28" s="578">
        <f t="shared" si="13"/>
        <v>0</v>
      </c>
      <c r="AJ28" s="578">
        <f t="shared" si="13"/>
        <v>0</v>
      </c>
      <c r="AK28" s="578">
        <f t="shared" si="13"/>
        <v>0</v>
      </c>
    </row>
    <row r="29" spans="1:37" s="210" customFormat="1" ht="13.15" customHeight="1" x14ac:dyDescent="0.2">
      <c r="A29" s="583"/>
      <c r="B29" s="578"/>
      <c r="C29" s="578"/>
      <c r="D29" s="578"/>
      <c r="E29" s="578"/>
      <c r="F29" s="578"/>
      <c r="G29" s="578"/>
      <c r="H29" s="578"/>
      <c r="I29" s="578"/>
      <c r="J29" s="578"/>
      <c r="K29" s="578"/>
      <c r="L29" s="578"/>
      <c r="M29" s="578"/>
      <c r="N29" s="578"/>
      <c r="O29" s="578"/>
      <c r="P29" s="578"/>
      <c r="Q29" s="578"/>
      <c r="R29" s="578"/>
      <c r="S29" s="578"/>
      <c r="T29" s="578"/>
      <c r="U29" s="578"/>
      <c r="V29" s="578"/>
      <c r="W29" s="578"/>
      <c r="X29" s="578"/>
      <c r="Y29" s="578"/>
      <c r="Z29" s="578"/>
      <c r="AA29" s="578"/>
      <c r="AB29" s="578"/>
      <c r="AC29" s="578"/>
      <c r="AD29" s="578"/>
      <c r="AE29" s="578"/>
      <c r="AF29" s="578"/>
      <c r="AG29" s="578"/>
      <c r="AH29" s="578"/>
      <c r="AI29" s="578"/>
      <c r="AJ29" s="578"/>
      <c r="AK29" s="578"/>
    </row>
    <row r="30" spans="1:37" s="210" customFormat="1" ht="13.15" customHeight="1" x14ac:dyDescent="0.2">
      <c r="A30" s="583" t="s">
        <v>1510</v>
      </c>
      <c r="B30" s="578">
        <f>SUM(C30:AK30)</f>
        <v>-73113.141196804019</v>
      </c>
      <c r="C30" s="578">
        <f>'27 - Financiamento'!C49</f>
        <v>-952.67497993874986</v>
      </c>
      <c r="D30" s="578">
        <f>'27 - Financiamento'!D49</f>
        <v>-1905.3499598774997</v>
      </c>
      <c r="E30" s="578">
        <f>'27 - Financiamento'!E49</f>
        <v>-3915.2127867524996</v>
      </c>
      <c r="F30" s="578">
        <f>'27 - Financiamento'!F49</f>
        <v>-3677.0440417678119</v>
      </c>
      <c r="G30" s="578">
        <f>'27 - Financiamento'!G49</f>
        <v>-3438.8752967831247</v>
      </c>
      <c r="H30" s="578">
        <f>'27 - Financiamento'!H49</f>
        <v>-3200.7065517984374</v>
      </c>
      <c r="I30" s="578">
        <f>'27 - Financiamento'!I49</f>
        <v>-2962.5378068137497</v>
      </c>
      <c r="J30" s="578">
        <f>'27 - Financiamento'!J49</f>
        <v>-2724.369061829062</v>
      </c>
      <c r="K30" s="578">
        <f>'27 - Financiamento'!K49</f>
        <v>-2486.2003168443748</v>
      </c>
      <c r="L30" s="578">
        <f>'27 - Financiamento'!L49</f>
        <v>-2248.0315718596876</v>
      </c>
      <c r="M30" s="578">
        <f>'27 - Financiamento'!M49</f>
        <v>-559.4090978155499</v>
      </c>
      <c r="N30" s="578">
        <f>'27 - Financiamento'!N49</f>
        <v>-1118.8181956310998</v>
      </c>
      <c r="O30" s="578">
        <f>'27 - Financiamento'!O49</f>
        <v>-2299.0061657060996</v>
      </c>
      <c r="P30" s="578">
        <f>'27 - Financiamento'!P49</f>
        <v>-2159.1538912522119</v>
      </c>
      <c r="Q30" s="578">
        <f>'27 - Financiamento'!Q49</f>
        <v>-2019.3016167983246</v>
      </c>
      <c r="R30" s="578">
        <f>'27 - Financiamento'!R49</f>
        <v>-1879.4493423444374</v>
      </c>
      <c r="S30" s="578">
        <f>'27 - Financiamento'!S49</f>
        <v>-1739.5970678905499</v>
      </c>
      <c r="T30" s="578">
        <f>'27 - Financiamento'!T49</f>
        <v>-1599.7447934366623</v>
      </c>
      <c r="U30" s="578">
        <f>'27 - Financiamento'!U49</f>
        <v>-1459.8925189827751</v>
      </c>
      <c r="V30" s="578">
        <f>'27 - Financiamento'!V49</f>
        <v>-1320.0402445288873</v>
      </c>
      <c r="W30" s="578">
        <f>'27 - Financiamento'!W49</f>
        <v>-940.54476574979992</v>
      </c>
      <c r="X30" s="578">
        <f>'27 - Financiamento'!X49</f>
        <v>-1881.0895314995998</v>
      </c>
      <c r="Y30" s="578">
        <f>'27 - Financiamento'!Y49</f>
        <v>-3865.3611891996002</v>
      </c>
      <c r="Z30" s="578">
        <f>'27 - Financiamento'!Z49</f>
        <v>-3630.2249977621505</v>
      </c>
      <c r="AA30" s="578">
        <f>'27 - Financiamento'!AA49</f>
        <v>-3395.0888063247003</v>
      </c>
      <c r="AB30" s="578">
        <f>'27 - Financiamento'!AB49</f>
        <v>-3159.9526148872501</v>
      </c>
      <c r="AC30" s="578">
        <f>'27 - Financiamento'!AC49</f>
        <v>-2924.8164234497999</v>
      </c>
      <c r="AD30" s="578">
        <f>'27 - Financiamento'!AD49</f>
        <v>-2689.6802320123497</v>
      </c>
      <c r="AE30" s="578">
        <f>'27 - Financiamento'!AE49</f>
        <v>-2454.5440405749</v>
      </c>
      <c r="AF30" s="578">
        <f>'27 - Financiamento'!AF49</f>
        <v>-2219.4078491374498</v>
      </c>
      <c r="AG30" s="578">
        <f>'27 - Financiamento'!AG49</f>
        <v>-191.56128598709998</v>
      </c>
      <c r="AH30" s="578">
        <f>'27 - Financiamento'!AH49</f>
        <v>-595.69902013709998</v>
      </c>
      <c r="AI30" s="578">
        <f>'27 - Financiamento'!AI49</f>
        <v>-547.80869864032502</v>
      </c>
      <c r="AJ30" s="578">
        <f>'27 - Financiamento'!AJ49</f>
        <v>-499.91837714354995</v>
      </c>
      <c r="AK30" s="578">
        <f>'27 - Financiamento'!AK49</f>
        <v>-452.02805564677499</v>
      </c>
    </row>
    <row r="32" spans="1:37" s="210" customFormat="1" ht="13.15" customHeight="1" x14ac:dyDescent="0.2">
      <c r="A32" s="214" t="s">
        <v>1511</v>
      </c>
      <c r="B32" s="216">
        <f>SUM(B23,B25,B30)</f>
        <v>91970.160834290888</v>
      </c>
      <c r="C32" s="216">
        <f t="shared" ref="C32:AK32" si="14">C23+C25+C30</f>
        <v>181.01728373320748</v>
      </c>
      <c r="D32" s="216">
        <f t="shared" si="14"/>
        <v>9778.9427397775635</v>
      </c>
      <c r="E32" s="216">
        <f t="shared" si="14"/>
        <v>8839.5994641537254</v>
      </c>
      <c r="F32" s="216">
        <f t="shared" si="14"/>
        <v>9698.8054972372811</v>
      </c>
      <c r="G32" s="216">
        <f t="shared" si="14"/>
        <v>9894.3834603921605</v>
      </c>
      <c r="H32" s="216">
        <f t="shared" si="14"/>
        <v>11459.837591055319</v>
      </c>
      <c r="I32" s="216">
        <f t="shared" si="14"/>
        <v>11809.001395600633</v>
      </c>
      <c r="J32" s="216">
        <f t="shared" si="14"/>
        <v>3338.5681067966379</v>
      </c>
      <c r="K32" s="216">
        <f t="shared" si="14"/>
        <v>4836.1120395528378</v>
      </c>
      <c r="L32" s="216">
        <f t="shared" si="14"/>
        <v>6703.4272796747473</v>
      </c>
      <c r="M32" s="216">
        <f t="shared" si="14"/>
        <v>14797.450055154222</v>
      </c>
      <c r="N32" s="216">
        <f t="shared" si="14"/>
        <v>28699.426455729968</v>
      </c>
      <c r="O32" s="216">
        <f t="shared" si="14"/>
        <v>22750.038314114427</v>
      </c>
      <c r="P32" s="216">
        <f t="shared" si="14"/>
        <v>22549.065809189058</v>
      </c>
      <c r="Q32" s="216">
        <f t="shared" si="14"/>
        <v>13438.122762246838</v>
      </c>
      <c r="R32" s="216">
        <f t="shared" si="14"/>
        <v>23478.232844459373</v>
      </c>
      <c r="S32" s="216">
        <f t="shared" si="14"/>
        <v>23176.323992823982</v>
      </c>
      <c r="T32" s="216">
        <f t="shared" si="14"/>
        <v>24150.157232691166</v>
      </c>
      <c r="U32" s="216">
        <f t="shared" si="14"/>
        <v>23895.407667871608</v>
      </c>
      <c r="V32" s="216">
        <f t="shared" si="14"/>
        <v>24703.087240400113</v>
      </c>
      <c r="W32" s="216">
        <f t="shared" si="14"/>
        <v>30719.769542418173</v>
      </c>
      <c r="X32" s="216">
        <f t="shared" si="14"/>
        <v>22953.555111188183</v>
      </c>
      <c r="Y32" s="216">
        <f t="shared" si="14"/>
        <v>22318.296936254861</v>
      </c>
      <c r="Z32" s="216">
        <f t="shared" si="14"/>
        <v>22730.609778708644</v>
      </c>
      <c r="AA32" s="216">
        <f t="shared" si="14"/>
        <v>22559.684501149877</v>
      </c>
      <c r="AB32" s="216">
        <f t="shared" si="14"/>
        <v>22551.663970213227</v>
      </c>
      <c r="AC32" s="216">
        <f t="shared" si="14"/>
        <v>23633.87636837607</v>
      </c>
      <c r="AD32" s="216">
        <f t="shared" si="14"/>
        <v>22249.199460202217</v>
      </c>
      <c r="AE32" s="216">
        <f t="shared" si="14"/>
        <v>12595.628435578505</v>
      </c>
      <c r="AF32" s="216">
        <f t="shared" si="14"/>
        <v>23951.30783386582</v>
      </c>
      <c r="AG32" s="216">
        <f t="shared" si="14"/>
        <v>24843.847903962964</v>
      </c>
      <c r="AH32" s="216">
        <f t="shared" si="14"/>
        <v>24390.445750083021</v>
      </c>
      <c r="AI32" s="216">
        <f t="shared" si="14"/>
        <v>23045.334079697728</v>
      </c>
      <c r="AJ32" s="216">
        <f t="shared" si="14"/>
        <v>25789.904962422177</v>
      </c>
      <c r="AK32" s="216">
        <f t="shared" si="14"/>
        <v>23705.617885498406</v>
      </c>
    </row>
    <row r="33" spans="1:37" s="210" customFormat="1" ht="13.15" customHeight="1" x14ac:dyDescent="0.2">
      <c r="A33" s="212"/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</row>
    <row r="34" spans="1:37" s="210" customFormat="1" ht="13.15" customHeight="1" x14ac:dyDescent="0.2">
      <c r="A34" s="214" t="s">
        <v>1512</v>
      </c>
      <c r="B34" s="216">
        <f>SUM(B35:B36)</f>
        <v>-71970.160834290844</v>
      </c>
      <c r="C34" s="216">
        <f t="shared" ref="C34:AK34" si="15">SUM(C35:C36)</f>
        <v>-181.01728373320898</v>
      </c>
      <c r="D34" s="216">
        <f t="shared" si="15"/>
        <v>-124.37553439958143</v>
      </c>
      <c r="E34" s="216">
        <f t="shared" si="15"/>
        <v>-144.67078217662501</v>
      </c>
      <c r="F34" s="216">
        <f t="shared" si="15"/>
        <v>-191.95607681712698</v>
      </c>
      <c r="G34" s="216">
        <f t="shared" si="15"/>
        <v>-224.74844353894215</v>
      </c>
      <c r="H34" s="216">
        <f t="shared" si="15"/>
        <v>-297.70946824944207</v>
      </c>
      <c r="I34" s="216">
        <f t="shared" si="15"/>
        <v>-208.02350872173639</v>
      </c>
      <c r="J34" s="216">
        <f t="shared" si="15"/>
        <v>-288.8368901177767</v>
      </c>
      <c r="K34" s="216">
        <f t="shared" si="15"/>
        <v>-301.47459193061417</v>
      </c>
      <c r="L34" s="216">
        <f t="shared" si="15"/>
        <v>-331.29336030517459</v>
      </c>
      <c r="M34" s="216">
        <f t="shared" si="15"/>
        <v>5202.5499448457776</v>
      </c>
      <c r="N34" s="216">
        <f t="shared" si="15"/>
        <v>-8699.4264557299684</v>
      </c>
      <c r="O34" s="216">
        <f t="shared" si="15"/>
        <v>-2750.0383141144266</v>
      </c>
      <c r="P34" s="216">
        <f t="shared" si="15"/>
        <v>-2549.0658091890582</v>
      </c>
      <c r="Q34" s="216">
        <f t="shared" si="15"/>
        <v>6561.8772377531623</v>
      </c>
      <c r="R34" s="216">
        <f t="shared" si="15"/>
        <v>-3478.2328444593732</v>
      </c>
      <c r="S34" s="216">
        <f t="shared" si="15"/>
        <v>-3176.3239928239818</v>
      </c>
      <c r="T34" s="216">
        <f t="shared" si="15"/>
        <v>-4150.1572326911664</v>
      </c>
      <c r="U34" s="216">
        <f t="shared" si="15"/>
        <v>-3895.4076678716083</v>
      </c>
      <c r="V34" s="216">
        <f t="shared" si="15"/>
        <v>-4703.0872404001129</v>
      </c>
      <c r="W34" s="216">
        <f t="shared" si="15"/>
        <v>-10719.769542418173</v>
      </c>
      <c r="X34" s="216">
        <f t="shared" si="15"/>
        <v>-2953.5551111881832</v>
      </c>
      <c r="Y34" s="216">
        <f t="shared" si="15"/>
        <v>-2318.2969362548611</v>
      </c>
      <c r="Z34" s="216">
        <f t="shared" si="15"/>
        <v>-2730.6097787086437</v>
      </c>
      <c r="AA34" s="216">
        <f t="shared" si="15"/>
        <v>-2559.6845011498772</v>
      </c>
      <c r="AB34" s="216">
        <f t="shared" si="15"/>
        <v>-2551.663970213227</v>
      </c>
      <c r="AC34" s="216">
        <f t="shared" si="15"/>
        <v>-3633.8763683760699</v>
      </c>
      <c r="AD34" s="216">
        <f t="shared" si="15"/>
        <v>-2249.1994602022169</v>
      </c>
      <c r="AE34" s="216">
        <f t="shared" si="15"/>
        <v>7404.3715644214953</v>
      </c>
      <c r="AF34" s="216">
        <f t="shared" si="15"/>
        <v>-3951.3078338658197</v>
      </c>
      <c r="AG34" s="216">
        <f t="shared" si="15"/>
        <v>-4843.8479039629638</v>
      </c>
      <c r="AH34" s="216">
        <f t="shared" si="15"/>
        <v>-4390.4457500830213</v>
      </c>
      <c r="AI34" s="216">
        <f t="shared" si="15"/>
        <v>-3045.3340796977282</v>
      </c>
      <c r="AJ34" s="216">
        <f t="shared" si="15"/>
        <v>-5789.9049624221771</v>
      </c>
      <c r="AK34" s="216">
        <f t="shared" si="15"/>
        <v>-3705.6178854984064</v>
      </c>
    </row>
    <row r="35" spans="1:37" ht="13.15" customHeight="1" x14ac:dyDescent="0.2">
      <c r="A35" s="583" t="s">
        <v>1513</v>
      </c>
      <c r="B35" s="577">
        <f>SUM(C35:AK35)</f>
        <v>-64811.360515268621</v>
      </c>
      <c r="C35" s="577">
        <v>0</v>
      </c>
      <c r="D35" s="577">
        <v>0</v>
      </c>
      <c r="E35" s="577">
        <v>0</v>
      </c>
      <c r="F35" s="577">
        <v>0</v>
      </c>
      <c r="G35" s="577">
        <v>0</v>
      </c>
      <c r="H35" s="577">
        <v>0</v>
      </c>
      <c r="I35" s="577">
        <v>0</v>
      </c>
      <c r="J35" s="577">
        <v>0</v>
      </c>
      <c r="K35" s="577">
        <v>0</v>
      </c>
      <c r="L35" s="577">
        <v>0</v>
      </c>
      <c r="M35" s="577">
        <f>-M32+20000-M36</f>
        <v>5539.6223423006513</v>
      </c>
      <c r="N35" s="577">
        <f t="shared" ref="N35:AK35" si="16">-N32+20000-N36</f>
        <v>-8382.200770786354</v>
      </c>
      <c r="O35" s="577">
        <f t="shared" si="16"/>
        <v>-2377.0116612976499</v>
      </c>
      <c r="P35" s="577">
        <f t="shared" si="16"/>
        <v>-2257.1245454885752</v>
      </c>
      <c r="Q35" s="577">
        <f t="shared" si="16"/>
        <v>6924.5358282122615</v>
      </c>
      <c r="R35" s="577">
        <f t="shared" si="16"/>
        <v>-3111.7684236220948</v>
      </c>
      <c r="S35" s="577">
        <f t="shared" si="16"/>
        <v>-2803.657312680939</v>
      </c>
      <c r="T35" s="577">
        <f t="shared" si="16"/>
        <v>-3770.8623698636757</v>
      </c>
      <c r="U35" s="577">
        <f t="shared" si="16"/>
        <v>-3527.2453475103748</v>
      </c>
      <c r="V35" s="577">
        <f t="shared" si="16"/>
        <v>-4295.4246473516387</v>
      </c>
      <c r="W35" s="577">
        <f t="shared" si="16"/>
        <v>-10448.670064774449</v>
      </c>
      <c r="X35" s="577">
        <f t="shared" si="16"/>
        <v>-2690.9613058785835</v>
      </c>
      <c r="Y35" s="577">
        <f t="shared" si="16"/>
        <v>-2096.1781595539233</v>
      </c>
      <c r="Z35" s="577">
        <f t="shared" si="16"/>
        <v>-2537.6549495192453</v>
      </c>
      <c r="AA35" s="577">
        <f t="shared" si="16"/>
        <v>-2403.0569504757214</v>
      </c>
      <c r="AB35" s="577">
        <f t="shared" si="16"/>
        <v>-2450.1388719915658</v>
      </c>
      <c r="AC35" s="577">
        <f t="shared" si="16"/>
        <v>-3552.2769936759187</v>
      </c>
      <c r="AD35" s="577">
        <f t="shared" si="16"/>
        <v>-2249.1994602022169</v>
      </c>
      <c r="AE35" s="577">
        <f t="shared" si="16"/>
        <v>7404.3715644214953</v>
      </c>
      <c r="AF35" s="577">
        <f t="shared" si="16"/>
        <v>-3951.3078338658197</v>
      </c>
      <c r="AG35" s="577">
        <f t="shared" si="16"/>
        <v>-4843.8479039629638</v>
      </c>
      <c r="AH35" s="577">
        <f t="shared" si="16"/>
        <v>-4390.4457500830213</v>
      </c>
      <c r="AI35" s="577">
        <f t="shared" si="16"/>
        <v>-3045.3340796977282</v>
      </c>
      <c r="AJ35" s="577">
        <f t="shared" si="16"/>
        <v>-5789.9049624221771</v>
      </c>
      <c r="AK35" s="577">
        <f t="shared" si="16"/>
        <v>-3705.6178854984064</v>
      </c>
    </row>
    <row r="36" spans="1:37" ht="13.15" customHeight="1" x14ac:dyDescent="0.2">
      <c r="A36" s="583" t="s">
        <v>1514</v>
      </c>
      <c r="B36" s="577">
        <f>SUM(C36:AK36)</f>
        <v>-7158.8003190222244</v>
      </c>
      <c r="C36" s="577">
        <f>-IF('30 - Dem. Resultados'!C40&gt;0,'30 - Dem. Resultados'!C40*5%,0)</f>
        <v>-181.01728373320898</v>
      </c>
      <c r="D36" s="577">
        <f>-IF('30 - Dem. Resultados'!D40&gt;0,'30 - Dem. Resultados'!D40*5%,0)</f>
        <v>-124.37553439958143</v>
      </c>
      <c r="E36" s="577">
        <f>-IF('30 - Dem. Resultados'!E40&gt;0,'30 - Dem. Resultados'!E40*5%,0)</f>
        <v>-144.67078217662501</v>
      </c>
      <c r="F36" s="577">
        <f>-IF('30 - Dem. Resultados'!F40&gt;0,'30 - Dem. Resultados'!F40*5%,0)</f>
        <v>-191.95607681712698</v>
      </c>
      <c r="G36" s="577">
        <f>-IF('30 - Dem. Resultados'!G40&gt;0,'30 - Dem. Resultados'!G40*5%,0)</f>
        <v>-224.74844353894215</v>
      </c>
      <c r="H36" s="577">
        <f>-IF('30 - Dem. Resultados'!H40&gt;0,'30 - Dem. Resultados'!H40*5%,0)</f>
        <v>-297.70946824944207</v>
      </c>
      <c r="I36" s="577">
        <f>-IF('30 - Dem. Resultados'!I40&gt;0,'30 - Dem. Resultados'!I40*5%,0)</f>
        <v>-208.02350872173639</v>
      </c>
      <c r="J36" s="577">
        <f>-IF('30 - Dem. Resultados'!J40&gt;0,'30 - Dem. Resultados'!J40*5%,0)</f>
        <v>-288.8368901177767</v>
      </c>
      <c r="K36" s="577">
        <f>-IF('30 - Dem. Resultados'!K40&gt;0,'30 - Dem. Resultados'!K40*5%,0)</f>
        <v>-301.47459193061417</v>
      </c>
      <c r="L36" s="577">
        <f>-IF('30 - Dem. Resultados'!L40&gt;0,'30 - Dem. Resultados'!L40*5%,0)</f>
        <v>-331.29336030517459</v>
      </c>
      <c r="M36" s="577">
        <f>-IF('30 - Dem. Resultados'!M40&gt;0,'30 - Dem. Resultados'!M40*5%,0)</f>
        <v>-337.07239745487385</v>
      </c>
      <c r="N36" s="577">
        <f>-IF('30 - Dem. Resultados'!N40&gt;0,'30 - Dem. Resultados'!N40*5%,0)</f>
        <v>-317.2256849436144</v>
      </c>
      <c r="O36" s="577">
        <f>-IF('30 - Dem. Resultados'!O40&gt;0,'30 - Dem. Resultados'!O40*5%,0)</f>
        <v>-373.02665281677696</v>
      </c>
      <c r="P36" s="577">
        <f>-IF('30 - Dem. Resultados'!P40&gt;0,'30 - Dem. Resultados'!P40*5%,0)</f>
        <v>-291.94126370048315</v>
      </c>
      <c r="Q36" s="577">
        <f>-IF('30 - Dem. Resultados'!Q40&gt;0,'30 - Dem. Resultados'!Q40*5%,0)</f>
        <v>-362.65859045909917</v>
      </c>
      <c r="R36" s="577">
        <f>-IF('30 - Dem. Resultados'!R40&gt;0,'30 - Dem. Resultados'!R40*5%,0)</f>
        <v>-366.46442083727834</v>
      </c>
      <c r="S36" s="577">
        <f>-IF('30 - Dem. Resultados'!S40&gt;0,'30 - Dem. Resultados'!S40*5%,0)</f>
        <v>-372.66668014304264</v>
      </c>
      <c r="T36" s="577">
        <f>-IF('30 - Dem. Resultados'!T40&gt;0,'30 - Dem. Resultados'!T40*5%,0)</f>
        <v>-379.29486282749087</v>
      </c>
      <c r="U36" s="577">
        <f>-IF('30 - Dem. Resultados'!U40&gt;0,'30 - Dem. Resultados'!U40*5%,0)</f>
        <v>-368.16232036123358</v>
      </c>
      <c r="V36" s="577">
        <f>-IF('30 - Dem. Resultados'!V40&gt;0,'30 - Dem. Resultados'!V40*5%,0)</f>
        <v>-407.66259304847409</v>
      </c>
      <c r="W36" s="577">
        <f>-IF('30 - Dem. Resultados'!W40&gt;0,'30 - Dem. Resultados'!W40*5%,0)</f>
        <v>-271.09947764372424</v>
      </c>
      <c r="X36" s="577">
        <f>-IF('30 - Dem. Resultados'!X40&gt;0,'30 - Dem. Resultados'!X40*5%,0)</f>
        <v>-262.59380530959959</v>
      </c>
      <c r="Y36" s="577">
        <f>-IF('30 - Dem. Resultados'!Y40&gt;0,'30 - Dem. Resultados'!Y40*5%,0)</f>
        <v>-222.11877670093781</v>
      </c>
      <c r="Z36" s="577">
        <f>-IF('30 - Dem. Resultados'!Z40&gt;0,'30 - Dem. Resultados'!Z40*5%,0)</f>
        <v>-192.95482918939857</v>
      </c>
      <c r="AA36" s="577">
        <f>-IF('30 - Dem. Resultados'!AA40&gt;0,'30 - Dem. Resultados'!AA40*5%,0)</f>
        <v>-156.62755067415583</v>
      </c>
      <c r="AB36" s="577">
        <f>-IF('30 - Dem. Resultados'!AB40&gt;0,'30 - Dem. Resultados'!AB40*5%,0)</f>
        <v>-101.52509822166131</v>
      </c>
      <c r="AC36" s="577">
        <f>-IF('30 - Dem. Resultados'!AC40&gt;0,'30 - Dem. Resultados'!AC40*5%,0)</f>
        <v>-81.599374700151429</v>
      </c>
      <c r="AD36" s="577">
        <f>-IF('30 - Dem. Resultados'!AD40&gt;0,'30 - Dem. Resultados'!AD40*5%,0)</f>
        <v>0</v>
      </c>
      <c r="AE36" s="577">
        <f>-IF('30 - Dem. Resultados'!AE40&gt;0,'30 - Dem. Resultados'!AE40*5%,0)</f>
        <v>0</v>
      </c>
      <c r="AF36" s="577">
        <f>-IF('30 - Dem. Resultados'!AF40&gt;0,'30 - Dem. Resultados'!AF40*5%,0)</f>
        <v>0</v>
      </c>
      <c r="AG36" s="577">
        <f>-IF('30 - Dem. Resultados'!AG40&gt;0,'30 - Dem. Resultados'!AG40*5%,0)</f>
        <v>0</v>
      </c>
      <c r="AH36" s="577">
        <f>-IF('30 - Dem. Resultados'!AH40&gt;0,'30 - Dem. Resultados'!AH40*5%,0)</f>
        <v>0</v>
      </c>
      <c r="AI36" s="577">
        <f>-IF('30 - Dem. Resultados'!AI40&gt;0,'30 - Dem. Resultados'!AI40*5%,0)</f>
        <v>0</v>
      </c>
      <c r="AJ36" s="577">
        <f>-IF('30 - Dem. Resultados'!AJ40&gt;0,'30 - Dem. Resultados'!AJ40*5%,0)</f>
        <v>0</v>
      </c>
      <c r="AK36" s="577">
        <f>-IF('30 - Dem. Resultados'!AK40&gt;0,'30 - Dem. Resultados'!AK40*5%,0)</f>
        <v>0</v>
      </c>
    </row>
    <row r="37" spans="1:37" s="210" customFormat="1" ht="13.15" customHeight="1" x14ac:dyDescent="0.2">
      <c r="A37" s="212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</row>
    <row r="38" spans="1:37" s="210" customFormat="1" ht="13.15" customHeight="1" x14ac:dyDescent="0.2">
      <c r="A38" s="214" t="s">
        <v>1515</v>
      </c>
      <c r="B38" s="216">
        <f>SUM(B32,B34)</f>
        <v>20000.000000000044</v>
      </c>
      <c r="C38" s="216">
        <f>SUM(C32,C34)</f>
        <v>-1.5063505998114124E-12</v>
      </c>
      <c r="D38" s="216">
        <f t="shared" ref="D38:AK38" si="17">SUM(D32,D34)</f>
        <v>9654.5672053779817</v>
      </c>
      <c r="E38" s="216">
        <f t="shared" si="17"/>
        <v>8694.9286819771005</v>
      </c>
      <c r="F38" s="216">
        <f t="shared" si="17"/>
        <v>9506.8494204201543</v>
      </c>
      <c r="G38" s="216">
        <f t="shared" si="17"/>
        <v>9669.635016853219</v>
      </c>
      <c r="H38" s="216">
        <f t="shared" si="17"/>
        <v>11162.128122805876</v>
      </c>
      <c r="I38" s="216">
        <f t="shared" si="17"/>
        <v>11600.977886878896</v>
      </c>
      <c r="J38" s="216">
        <f t="shared" si="17"/>
        <v>3049.7312166788611</v>
      </c>
      <c r="K38" s="216">
        <f t="shared" si="17"/>
        <v>4534.6374476222236</v>
      </c>
      <c r="L38" s="216">
        <f t="shared" si="17"/>
        <v>6372.1339193695731</v>
      </c>
      <c r="M38" s="216">
        <f t="shared" si="17"/>
        <v>20000</v>
      </c>
      <c r="N38" s="216">
        <f t="shared" si="17"/>
        <v>20000</v>
      </c>
      <c r="O38" s="216">
        <f t="shared" si="17"/>
        <v>20000</v>
      </c>
      <c r="P38" s="216">
        <f t="shared" si="17"/>
        <v>20000</v>
      </c>
      <c r="Q38" s="216">
        <f t="shared" si="17"/>
        <v>20000</v>
      </c>
      <c r="R38" s="216">
        <f t="shared" si="17"/>
        <v>20000</v>
      </c>
      <c r="S38" s="216">
        <f t="shared" si="17"/>
        <v>20000</v>
      </c>
      <c r="T38" s="216">
        <f t="shared" si="17"/>
        <v>20000</v>
      </c>
      <c r="U38" s="216">
        <f t="shared" si="17"/>
        <v>20000</v>
      </c>
      <c r="V38" s="216">
        <f t="shared" si="17"/>
        <v>20000</v>
      </c>
      <c r="W38" s="216">
        <f t="shared" si="17"/>
        <v>20000</v>
      </c>
      <c r="X38" s="216">
        <f t="shared" si="17"/>
        <v>20000</v>
      </c>
      <c r="Y38" s="216">
        <f t="shared" si="17"/>
        <v>20000</v>
      </c>
      <c r="Z38" s="216">
        <f t="shared" si="17"/>
        <v>20000</v>
      </c>
      <c r="AA38" s="216">
        <f t="shared" si="17"/>
        <v>20000</v>
      </c>
      <c r="AB38" s="216">
        <f t="shared" si="17"/>
        <v>20000</v>
      </c>
      <c r="AC38" s="216">
        <f t="shared" si="17"/>
        <v>20000</v>
      </c>
      <c r="AD38" s="216">
        <f t="shared" si="17"/>
        <v>20000</v>
      </c>
      <c r="AE38" s="216">
        <f t="shared" si="17"/>
        <v>20000</v>
      </c>
      <c r="AF38" s="216">
        <f t="shared" si="17"/>
        <v>20000</v>
      </c>
      <c r="AG38" s="216">
        <f t="shared" si="17"/>
        <v>20000</v>
      </c>
      <c r="AH38" s="216">
        <f t="shared" si="17"/>
        <v>20000</v>
      </c>
      <c r="AI38" s="216">
        <f t="shared" si="17"/>
        <v>20000</v>
      </c>
      <c r="AJ38" s="216">
        <f t="shared" si="17"/>
        <v>20000</v>
      </c>
      <c r="AK38" s="216">
        <f t="shared" si="17"/>
        <v>20000</v>
      </c>
    </row>
    <row r="39" spans="1:37" s="210" customFormat="1" ht="13.15" customHeight="1" x14ac:dyDescent="0.2">
      <c r="A39" s="212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</row>
    <row r="40" spans="1:37" s="210" customFormat="1" ht="13.15" customHeight="1" x14ac:dyDescent="0.2">
      <c r="A40" s="214" t="s">
        <v>1516</v>
      </c>
      <c r="B40" s="216">
        <f>SUM(C40:AK40)</f>
        <v>49758.809326385664</v>
      </c>
      <c r="C40" s="216">
        <f t="shared" ref="C40:AK40" si="18">SUM(C7+C12+C21)</f>
        <v>-19888.502425070626</v>
      </c>
      <c r="D40" s="216">
        <f t="shared" si="18"/>
        <v>3542.7024104883972</v>
      </c>
      <c r="E40" s="216">
        <f t="shared" si="18"/>
        <v>2677.7183971949107</v>
      </c>
      <c r="F40" s="216">
        <f t="shared" si="18"/>
        <v>4680.7743570279908</v>
      </c>
      <c r="G40" s="216">
        <f t="shared" si="18"/>
        <v>3139.1048550884652</v>
      </c>
      <c r="H40" s="216">
        <f t="shared" si="18"/>
        <v>3922.1505326672027</v>
      </c>
      <c r="I40" s="216">
        <f t="shared" si="18"/>
        <v>3507.1255979418406</v>
      </c>
      <c r="J40" s="216">
        <f t="shared" si="18"/>
        <v>-16902.588201586528</v>
      </c>
      <c r="K40" s="216">
        <f t="shared" si="18"/>
        <v>3903.8761397183516</v>
      </c>
      <c r="L40" s="216">
        <f t="shared" si="18"/>
        <v>4089.6624222455443</v>
      </c>
      <c r="M40" s="216">
        <f t="shared" si="18"/>
        <v>3205.5014039668654</v>
      </c>
      <c r="N40" s="216">
        <f t="shared" si="18"/>
        <v>4995.0607893943998</v>
      </c>
      <c r="O40" s="216">
        <f t="shared" si="18"/>
        <v>3842.5628314871956</v>
      </c>
      <c r="P40" s="216">
        <f t="shared" si="18"/>
        <v>4699.6602004412698</v>
      </c>
      <c r="Q40" s="216">
        <f t="shared" si="18"/>
        <v>-15621.008937621504</v>
      </c>
      <c r="R40" s="216">
        <f t="shared" si="18"/>
        <v>4712.4400934704772</v>
      </c>
      <c r="S40" s="216">
        <f t="shared" si="18"/>
        <v>4445.0770790478673</v>
      </c>
      <c r="T40" s="216">
        <f t="shared" si="18"/>
        <v>5318.8158777944964</v>
      </c>
      <c r="U40" s="216">
        <f t="shared" si="18"/>
        <v>5355.1536868543826</v>
      </c>
      <c r="V40" s="216">
        <f t="shared" si="18"/>
        <v>5288.9850032623344</v>
      </c>
      <c r="W40" s="216">
        <f t="shared" si="18"/>
        <v>2296.1972280346413</v>
      </c>
      <c r="X40" s="216">
        <f t="shared" si="18"/>
        <v>-13972.827804778881</v>
      </c>
      <c r="Y40" s="216">
        <f t="shared" si="18"/>
        <v>5760.9849771211266</v>
      </c>
      <c r="Z40" s="216">
        <f t="shared" si="18"/>
        <v>6360.5417764707918</v>
      </c>
      <c r="AA40" s="216">
        <f t="shared" si="18"/>
        <v>5267.4688258079104</v>
      </c>
      <c r="AB40" s="216">
        <f t="shared" si="18"/>
        <v>5058.1079917671432</v>
      </c>
      <c r="AC40" s="216">
        <f t="shared" si="18"/>
        <v>6041.3038101592028</v>
      </c>
      <c r="AD40" s="216">
        <f t="shared" si="18"/>
        <v>4516.0600438812335</v>
      </c>
      <c r="AE40" s="216">
        <f t="shared" si="18"/>
        <v>-16078.219858846594</v>
      </c>
      <c r="AF40" s="216">
        <f t="shared" si="18"/>
        <v>5843.5567013366035</v>
      </c>
      <c r="AG40" s="216">
        <f t="shared" si="18"/>
        <v>2360.5328040167296</v>
      </c>
      <c r="AH40" s="216">
        <f t="shared" si="18"/>
        <v>4883.7127885534537</v>
      </c>
      <c r="AI40" s="216">
        <f t="shared" si="18"/>
        <v>2802.0576300047214</v>
      </c>
      <c r="AJ40" s="216">
        <f t="shared" si="18"/>
        <v>5866.0138395657259</v>
      </c>
      <c r="AK40" s="216">
        <f t="shared" si="18"/>
        <v>3839.0464594785108</v>
      </c>
    </row>
    <row r="41" spans="1:37" s="210" customFormat="1" ht="13.15" customHeight="1" x14ac:dyDescent="0.2">
      <c r="A41" s="212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</row>
    <row r="42" spans="1:37" ht="13.15" customHeight="1" x14ac:dyDescent="0.2">
      <c r="A42" s="219" t="s">
        <v>699</v>
      </c>
      <c r="B42" s="226">
        <f>IRR( ( C40:AK40 ) )</f>
        <v>9.2790132245242463E-2</v>
      </c>
      <c r="C42" s="582"/>
      <c r="D42" s="582"/>
      <c r="E42" s="582"/>
      <c r="F42" s="582"/>
      <c r="G42" s="582"/>
      <c r="H42" s="582"/>
      <c r="I42" s="582"/>
      <c r="J42" s="582"/>
      <c r="K42" s="582"/>
      <c r="L42" s="582"/>
      <c r="M42" s="582"/>
      <c r="N42" s="582"/>
      <c r="O42" s="582"/>
      <c r="P42" s="582"/>
      <c r="Q42" s="582"/>
      <c r="R42" s="582"/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  <c r="AG42" s="582"/>
      <c r="AH42" s="582"/>
      <c r="AI42" s="582"/>
      <c r="AJ42" s="582"/>
      <c r="AK42" s="582"/>
    </row>
    <row r="43" spans="1:37" ht="13.15" customHeight="1" x14ac:dyDescent="0.2">
      <c r="A43" s="217" t="s">
        <v>1517</v>
      </c>
      <c r="B43" s="218">
        <f>NPV('33 - WACC'!C25,C40:AK40)</f>
        <v>-394.21980522873434</v>
      </c>
      <c r="C43" s="582"/>
      <c r="D43" s="582"/>
      <c r="E43" s="582"/>
      <c r="F43" s="582"/>
      <c r="G43" s="582"/>
      <c r="H43" s="582"/>
      <c r="I43" s="582"/>
      <c r="J43" s="582"/>
      <c r="K43" s="582"/>
      <c r="L43" s="582"/>
      <c r="M43" s="582"/>
      <c r="N43" s="582"/>
      <c r="O43" s="582"/>
      <c r="P43" s="582"/>
      <c r="Q43" s="582"/>
      <c r="R43" s="582"/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  <c r="AF43" s="582"/>
      <c r="AG43" s="582"/>
      <c r="AH43" s="582"/>
      <c r="AI43" s="582"/>
      <c r="AJ43" s="582"/>
      <c r="AK43" s="582"/>
    </row>
  </sheetData>
  <mergeCells count="2">
    <mergeCell ref="R1:AB1"/>
    <mergeCell ref="AC1:AF1"/>
  </mergeCells>
  <phoneticPr fontId="8" type="noConversion"/>
  <pageMargins left="0.51181102362204722" right="0.51181102362204722" top="0.78740157480314965" bottom="0.78740157480314965" header="0.31496062992125984" footer="0.31496062992125984"/>
  <pageSetup paperSize="9" scale="35" fitToHeight="0" orientation="landscape" r:id="rId1"/>
  <cellWatches>
    <cellWatch r="B42"/>
  </cellWatche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Planilha33"/>
  <dimension ref="B2:AK8"/>
  <sheetViews>
    <sheetView showGridLines="0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3.7109375" style="158" customWidth="1"/>
    <col min="2" max="2" width="35" style="158" bestFit="1" customWidth="1"/>
    <col min="3" max="3" width="10.28515625" style="158" bestFit="1" customWidth="1"/>
    <col min="4" max="37" width="9.28515625" style="158" bestFit="1" customWidth="1"/>
    <col min="38" max="16384" width="8.7109375" style="158"/>
  </cols>
  <sheetData>
    <row r="2" spans="2:37" ht="13.15" customHeight="1" x14ac:dyDescent="0.2">
      <c r="B2" s="205" t="s">
        <v>1132</v>
      </c>
      <c r="C2" s="205" t="s">
        <v>708</v>
      </c>
      <c r="D2" s="205" t="s">
        <v>709</v>
      </c>
      <c r="E2" s="205" t="s">
        <v>710</v>
      </c>
      <c r="F2" s="205" t="s">
        <v>711</v>
      </c>
      <c r="G2" s="205" t="s">
        <v>712</v>
      </c>
      <c r="H2" s="205" t="s">
        <v>713</v>
      </c>
      <c r="I2" s="205" t="s">
        <v>714</v>
      </c>
      <c r="J2" s="205" t="s">
        <v>715</v>
      </c>
      <c r="K2" s="205" t="s">
        <v>716</v>
      </c>
      <c r="L2" s="205" t="s">
        <v>717</v>
      </c>
      <c r="M2" s="205" t="s">
        <v>718</v>
      </c>
      <c r="N2" s="205" t="s">
        <v>719</v>
      </c>
      <c r="O2" s="205" t="s">
        <v>720</v>
      </c>
      <c r="P2" s="205" t="s">
        <v>721</v>
      </c>
      <c r="Q2" s="205" t="s">
        <v>722</v>
      </c>
      <c r="R2" s="205" t="s">
        <v>723</v>
      </c>
      <c r="S2" s="205" t="s">
        <v>724</v>
      </c>
      <c r="T2" s="205" t="s">
        <v>725</v>
      </c>
      <c r="U2" s="205" t="s">
        <v>726</v>
      </c>
      <c r="V2" s="205" t="s">
        <v>727</v>
      </c>
      <c r="W2" s="205" t="s">
        <v>728</v>
      </c>
      <c r="X2" s="205" t="s">
        <v>729</v>
      </c>
      <c r="Y2" s="205" t="s">
        <v>730</v>
      </c>
      <c r="Z2" s="205" t="s">
        <v>731</v>
      </c>
      <c r="AA2" s="205" t="s">
        <v>732</v>
      </c>
      <c r="AB2" s="205" t="s">
        <v>733</v>
      </c>
      <c r="AC2" s="205" t="s">
        <v>734</v>
      </c>
      <c r="AD2" s="205" t="s">
        <v>735</v>
      </c>
      <c r="AE2" s="205" t="s">
        <v>736</v>
      </c>
      <c r="AF2" s="205" t="s">
        <v>737</v>
      </c>
      <c r="AG2" s="205" t="s">
        <v>738</v>
      </c>
      <c r="AH2" s="205" t="s">
        <v>739</v>
      </c>
      <c r="AI2" s="205" t="s">
        <v>740</v>
      </c>
      <c r="AJ2" s="205" t="s">
        <v>741</v>
      </c>
      <c r="AK2" s="205" t="s">
        <v>742</v>
      </c>
    </row>
    <row r="3" spans="2:37" ht="13.15" customHeight="1" x14ac:dyDescent="0.2">
      <c r="B3" s="403" t="str">
        <f>'31 - Fluxo de Caixa'!A40</f>
        <v>Geração de Caixa Operacional</v>
      </c>
      <c r="C3" s="406">
        <f>'31 - Fluxo de Caixa'!C7+'31 - Fluxo de Caixa'!C12+'31 - Fluxo de Caixa'!C21</f>
        <v>-19888.502425070626</v>
      </c>
      <c r="D3" s="406">
        <f>'31 - Fluxo de Caixa'!D7+'31 - Fluxo de Caixa'!D12+'31 - Fluxo de Caixa'!D21</f>
        <v>3542.7024104883972</v>
      </c>
      <c r="E3" s="406">
        <f>'31 - Fluxo de Caixa'!E7+'31 - Fluxo de Caixa'!E12+'31 - Fluxo de Caixa'!E21</f>
        <v>2677.7183971949107</v>
      </c>
      <c r="F3" s="406">
        <f>'31 - Fluxo de Caixa'!F7+'31 - Fluxo de Caixa'!F12+'31 - Fluxo de Caixa'!F21</f>
        <v>4680.7743570279908</v>
      </c>
      <c r="G3" s="406">
        <f>'31 - Fluxo de Caixa'!G7+'31 - Fluxo de Caixa'!G12+'31 - Fluxo de Caixa'!G21</f>
        <v>3139.1048550884652</v>
      </c>
      <c r="H3" s="406">
        <f>'31 - Fluxo de Caixa'!H7+'31 - Fluxo de Caixa'!H12+'31 - Fluxo de Caixa'!H21</f>
        <v>3922.1505326672027</v>
      </c>
      <c r="I3" s="406">
        <f>'31 - Fluxo de Caixa'!I7+'31 - Fluxo de Caixa'!I12+'31 - Fluxo de Caixa'!I21</f>
        <v>3507.1255979418406</v>
      </c>
      <c r="J3" s="406">
        <f>'31 - Fluxo de Caixa'!J7+'31 - Fluxo de Caixa'!J12+'31 - Fluxo de Caixa'!J21</f>
        <v>-16902.588201586528</v>
      </c>
      <c r="K3" s="406">
        <f>'31 - Fluxo de Caixa'!K7+'31 - Fluxo de Caixa'!K12+'31 - Fluxo de Caixa'!K21</f>
        <v>3903.8761397183516</v>
      </c>
      <c r="L3" s="406">
        <f>'31 - Fluxo de Caixa'!L7+'31 - Fluxo de Caixa'!L12+'31 - Fluxo de Caixa'!L21</f>
        <v>4089.6624222455443</v>
      </c>
      <c r="M3" s="406">
        <f>'31 - Fluxo de Caixa'!M7+'31 - Fluxo de Caixa'!M12+'31 - Fluxo de Caixa'!M21</f>
        <v>3205.5014039668654</v>
      </c>
      <c r="N3" s="406">
        <f>'31 - Fluxo de Caixa'!N7+'31 - Fluxo de Caixa'!N12+'31 - Fluxo de Caixa'!N21</f>
        <v>4995.0607893943998</v>
      </c>
      <c r="O3" s="406">
        <f>'31 - Fluxo de Caixa'!O7+'31 - Fluxo de Caixa'!O12+'31 - Fluxo de Caixa'!O21</f>
        <v>3842.5628314871956</v>
      </c>
      <c r="P3" s="406">
        <f>'31 - Fluxo de Caixa'!P7+'31 - Fluxo de Caixa'!P12+'31 - Fluxo de Caixa'!P21</f>
        <v>4699.6602004412698</v>
      </c>
      <c r="Q3" s="406">
        <f>'31 - Fluxo de Caixa'!Q7+'31 - Fluxo de Caixa'!Q12+'31 - Fluxo de Caixa'!Q21</f>
        <v>-15621.008937621504</v>
      </c>
      <c r="R3" s="406">
        <f>'31 - Fluxo de Caixa'!R7+'31 - Fluxo de Caixa'!R12+'31 - Fluxo de Caixa'!R21</f>
        <v>4712.4400934704772</v>
      </c>
      <c r="S3" s="406">
        <f>'31 - Fluxo de Caixa'!S7+'31 - Fluxo de Caixa'!S12+'31 - Fluxo de Caixa'!S21</f>
        <v>4445.0770790478673</v>
      </c>
      <c r="T3" s="406">
        <f>'31 - Fluxo de Caixa'!T7+'31 - Fluxo de Caixa'!T12+'31 - Fluxo de Caixa'!T21</f>
        <v>5318.8158777944964</v>
      </c>
      <c r="U3" s="406">
        <f>'31 - Fluxo de Caixa'!U7+'31 - Fluxo de Caixa'!U12+'31 - Fluxo de Caixa'!U21</f>
        <v>5355.1536868543826</v>
      </c>
      <c r="V3" s="406">
        <f>'31 - Fluxo de Caixa'!V7+'31 - Fluxo de Caixa'!V12+'31 - Fluxo de Caixa'!V21</f>
        <v>5288.9850032623344</v>
      </c>
      <c r="W3" s="406">
        <f>'31 - Fluxo de Caixa'!W7+'31 - Fluxo de Caixa'!W12+'31 - Fluxo de Caixa'!W21</f>
        <v>2296.1972280346413</v>
      </c>
      <c r="X3" s="406">
        <f>'31 - Fluxo de Caixa'!X7+'31 - Fluxo de Caixa'!X12+'31 - Fluxo de Caixa'!X21</f>
        <v>-13972.827804778881</v>
      </c>
      <c r="Y3" s="406">
        <f>'31 - Fluxo de Caixa'!Y7+'31 - Fluxo de Caixa'!Y12+'31 - Fluxo de Caixa'!Y21</f>
        <v>5760.9849771211266</v>
      </c>
      <c r="Z3" s="406">
        <f>'31 - Fluxo de Caixa'!Z7+'31 - Fluxo de Caixa'!Z12+'31 - Fluxo de Caixa'!Z21</f>
        <v>6360.5417764707918</v>
      </c>
      <c r="AA3" s="406">
        <f>'31 - Fluxo de Caixa'!AA7+'31 - Fluxo de Caixa'!AA12+'31 - Fluxo de Caixa'!AA21</f>
        <v>5267.4688258079104</v>
      </c>
      <c r="AB3" s="406">
        <f>'31 - Fluxo de Caixa'!AB7+'31 - Fluxo de Caixa'!AB12+'31 - Fluxo de Caixa'!AB21</f>
        <v>5058.1079917671432</v>
      </c>
      <c r="AC3" s="406">
        <f>'31 - Fluxo de Caixa'!AC7+'31 - Fluxo de Caixa'!AC12+'31 - Fluxo de Caixa'!AC21</f>
        <v>6041.3038101592028</v>
      </c>
      <c r="AD3" s="406">
        <f>'31 - Fluxo de Caixa'!AD7+'31 - Fluxo de Caixa'!AD12+'31 - Fluxo de Caixa'!AD21</f>
        <v>4516.0600438812335</v>
      </c>
      <c r="AE3" s="406">
        <f>'31 - Fluxo de Caixa'!AE7+'31 - Fluxo de Caixa'!AE12+'31 - Fluxo de Caixa'!AE21</f>
        <v>-16078.219858846594</v>
      </c>
      <c r="AF3" s="406">
        <f>'31 - Fluxo de Caixa'!AF7+'31 - Fluxo de Caixa'!AF12+'31 - Fluxo de Caixa'!AF21</f>
        <v>5843.5567013366035</v>
      </c>
      <c r="AG3" s="406">
        <f>'31 - Fluxo de Caixa'!AG7+'31 - Fluxo de Caixa'!AG12+'31 - Fluxo de Caixa'!AG21</f>
        <v>2360.5328040167296</v>
      </c>
      <c r="AH3" s="406">
        <f>'31 - Fluxo de Caixa'!AH7+'31 - Fluxo de Caixa'!AH12+'31 - Fluxo de Caixa'!AH21</f>
        <v>4883.7127885534537</v>
      </c>
      <c r="AI3" s="406">
        <f>'31 - Fluxo de Caixa'!AI7+'31 - Fluxo de Caixa'!AI12+'31 - Fluxo de Caixa'!AI21</f>
        <v>2802.0576300047214</v>
      </c>
      <c r="AJ3" s="406">
        <f>'31 - Fluxo de Caixa'!AJ7+'31 - Fluxo de Caixa'!AJ12+'31 - Fluxo de Caixa'!AJ21</f>
        <v>5866.0138395657259</v>
      </c>
      <c r="AK3" s="406">
        <f>'31 - Fluxo de Caixa'!AK7+'31 - Fluxo de Caixa'!AK12+'31 - Fluxo de Caixa'!AK21</f>
        <v>3839.0464594785108</v>
      </c>
    </row>
    <row r="5" spans="2:37" ht="13.15" customHeight="1" x14ac:dyDescent="0.2">
      <c r="B5" s="309" t="s">
        <v>699</v>
      </c>
      <c r="C5" s="310">
        <f>IRR(C3:AK3)</f>
        <v>9.2790132245242463E-2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</row>
    <row r="6" spans="2:37" ht="13.15" customHeight="1" x14ac:dyDescent="0.2">
      <c r="B6" s="309" t="s">
        <v>1517</v>
      </c>
      <c r="C6" s="311">
        <f>NPV('33 - WACC'!C25,'32 - VPL e TIR'!C3:AK3)</f>
        <v>-394.21980522873434</v>
      </c>
      <c r="D6" s="403"/>
      <c r="E6" s="403"/>
      <c r="F6" s="403"/>
      <c r="G6" s="403"/>
      <c r="H6" s="403"/>
      <c r="I6" s="403"/>
      <c r="J6" s="403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3"/>
      <c r="AC6" s="403"/>
      <c r="AD6" s="403"/>
      <c r="AE6" s="403"/>
      <c r="AF6" s="403"/>
      <c r="AG6" s="403"/>
      <c r="AH6" s="403"/>
      <c r="AI6" s="403"/>
      <c r="AJ6" s="403"/>
      <c r="AK6" s="403"/>
    </row>
    <row r="7" spans="2:37" ht="13.15" customHeight="1" x14ac:dyDescent="0.2">
      <c r="B7" s="309" t="s">
        <v>1518</v>
      </c>
      <c r="C7" s="312">
        <f>COUNTIF(C3:AK3,"&lt;0")</f>
        <v>5</v>
      </c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3"/>
      <c r="AC7" s="403"/>
      <c r="AD7" s="403"/>
      <c r="AE7" s="403"/>
      <c r="AF7" s="403"/>
      <c r="AG7" s="403"/>
      <c r="AH7" s="403"/>
      <c r="AI7" s="403"/>
      <c r="AJ7" s="403"/>
      <c r="AK7" s="403"/>
    </row>
    <row r="8" spans="2:37" ht="13.15" customHeight="1" x14ac:dyDescent="0.2">
      <c r="B8" s="309" t="s">
        <v>1519</v>
      </c>
      <c r="C8" s="310">
        <f>MIRR(C3:AK3,'33 - WACC'!C19,'33 - WACC'!C16)</f>
        <v>0.10228079983313232</v>
      </c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3"/>
      <c r="AC8" s="403"/>
      <c r="AD8" s="403"/>
      <c r="AE8" s="403"/>
      <c r="AF8" s="403"/>
      <c r="AG8" s="403"/>
      <c r="AH8" s="403"/>
      <c r="AI8" s="403"/>
      <c r="AJ8" s="403"/>
      <c r="AK8" s="403"/>
    </row>
  </sheetData>
  <phoneticPr fontId="8" type="noConversion"/>
  <pageMargins left="0.7" right="0.7" top="0.75" bottom="0.75" header="0.3" footer="0.3"/>
  <pageSetup paperSize="9" scale="36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Planilha34"/>
  <dimension ref="B2:F27"/>
  <sheetViews>
    <sheetView showGridLines="0" zoomScale="85" zoomScaleNormal="85" workbookViewId="0">
      <selection activeCell="B4" sqref="B4"/>
    </sheetView>
  </sheetViews>
  <sheetFormatPr defaultColWidth="9.28515625" defaultRowHeight="13.15" customHeight="1" x14ac:dyDescent="0.2"/>
  <cols>
    <col min="1" max="1" width="2.28515625" style="158" customWidth="1"/>
    <col min="2" max="2" width="38" style="158" bestFit="1" customWidth="1"/>
    <col min="3" max="3" width="9.28515625" style="158"/>
    <col min="4" max="4" width="36.42578125" style="158" bestFit="1" customWidth="1"/>
    <col min="5" max="16384" width="9.28515625" style="158"/>
  </cols>
  <sheetData>
    <row r="2" spans="2:6" ht="13.15" customHeight="1" x14ac:dyDescent="0.2">
      <c r="B2" s="735" t="s">
        <v>1520</v>
      </c>
      <c r="C2" s="736"/>
      <c r="D2" s="737"/>
      <c r="E2" s="403"/>
      <c r="F2" s="403"/>
    </row>
    <row r="3" spans="2:6" ht="13.15" customHeight="1" x14ac:dyDescent="0.2">
      <c r="B3" s="234" t="s">
        <v>1054</v>
      </c>
      <c r="C3" s="235" t="s">
        <v>1521</v>
      </c>
      <c r="D3" s="236" t="s">
        <v>1522</v>
      </c>
      <c r="E3" s="403"/>
      <c r="F3" s="403"/>
    </row>
    <row r="4" spans="2:6" ht="13.15" customHeight="1" x14ac:dyDescent="0.2">
      <c r="B4" s="584" t="s">
        <v>1523</v>
      </c>
      <c r="C4" s="585">
        <v>5.6300000000000003E-2</v>
      </c>
      <c r="D4" s="584" t="s">
        <v>1524</v>
      </c>
      <c r="E4" s="403"/>
      <c r="F4" s="201"/>
    </row>
    <row r="5" spans="2:6" ht="13.15" customHeight="1" x14ac:dyDescent="0.2">
      <c r="B5" s="403" t="s">
        <v>1525</v>
      </c>
      <c r="C5" s="479">
        <v>1.56</v>
      </c>
      <c r="D5" s="403" t="s">
        <v>1526</v>
      </c>
      <c r="E5" s="403"/>
      <c r="F5" s="403"/>
    </row>
    <row r="6" spans="2:6" ht="13.15" customHeight="1" x14ac:dyDescent="0.2">
      <c r="B6" s="403" t="s">
        <v>1527</v>
      </c>
      <c r="C6" s="115">
        <v>3.0599999999999999E-2</v>
      </c>
      <c r="D6" s="403" t="s">
        <v>1528</v>
      </c>
      <c r="E6" s="403"/>
      <c r="F6" s="201"/>
    </row>
    <row r="7" spans="2:6" ht="13.15" customHeight="1" x14ac:dyDescent="0.2">
      <c r="B7" s="403" t="s">
        <v>1529</v>
      </c>
      <c r="C7" s="115">
        <v>0.01</v>
      </c>
      <c r="D7" s="403" t="s">
        <v>1530</v>
      </c>
      <c r="E7" s="403"/>
      <c r="F7" s="201"/>
    </row>
    <row r="8" spans="2:6" ht="13.15" customHeight="1" x14ac:dyDescent="0.2">
      <c r="B8" s="586" t="s">
        <v>1531</v>
      </c>
      <c r="C8" s="587">
        <f>C4+(C5*(C6)+C7)</f>
        <v>0.114036</v>
      </c>
      <c r="D8" s="586" t="s">
        <v>1532</v>
      </c>
      <c r="E8" s="403"/>
      <c r="F8" s="403"/>
    </row>
    <row r="10" spans="2:6" ht="13.15" customHeight="1" x14ac:dyDescent="0.2">
      <c r="B10" s="584" t="s">
        <v>1533</v>
      </c>
      <c r="C10" s="585">
        <v>0.04</v>
      </c>
      <c r="D10" s="584" t="s">
        <v>1534</v>
      </c>
      <c r="E10" s="403"/>
      <c r="F10" s="201"/>
    </row>
    <row r="11" spans="2:6" ht="13.15" customHeight="1" x14ac:dyDescent="0.2">
      <c r="B11" s="403" t="s">
        <v>1531</v>
      </c>
      <c r="C11" s="115">
        <f>C8</f>
        <v>0.114036</v>
      </c>
      <c r="D11" s="403" t="s">
        <v>1535</v>
      </c>
      <c r="E11" s="403"/>
      <c r="F11" s="403"/>
    </row>
    <row r="12" spans="2:6" ht="13.15" customHeight="1" x14ac:dyDescent="0.2">
      <c r="B12" s="403" t="s">
        <v>1536</v>
      </c>
      <c r="C12" s="115">
        <v>0.04</v>
      </c>
      <c r="D12" s="403" t="s">
        <v>1537</v>
      </c>
      <c r="E12" s="403"/>
      <c r="F12" s="201"/>
    </row>
    <row r="13" spans="2:6" ht="13.15" customHeight="1" x14ac:dyDescent="0.2">
      <c r="B13" s="237" t="s">
        <v>1531</v>
      </c>
      <c r="C13" s="238">
        <f>C11+C12-C10</f>
        <v>0.114036</v>
      </c>
      <c r="D13" s="237" t="s">
        <v>1535</v>
      </c>
      <c r="E13" s="403"/>
      <c r="F13" s="403"/>
    </row>
    <row r="15" spans="2:6" ht="13.15" customHeight="1" x14ac:dyDescent="0.2">
      <c r="B15" s="584" t="s">
        <v>1531</v>
      </c>
      <c r="C15" s="585">
        <f>C13</f>
        <v>0.114036</v>
      </c>
      <c r="D15" s="584" t="s">
        <v>1535</v>
      </c>
      <c r="E15" s="403"/>
      <c r="F15" s="403"/>
    </row>
    <row r="16" spans="2:6" ht="13.15" customHeight="1" x14ac:dyDescent="0.2">
      <c r="B16" s="403" t="s">
        <v>1538</v>
      </c>
      <c r="C16" s="451">
        <f>(9%+2.85%)</f>
        <v>0.11849999999999999</v>
      </c>
      <c r="D16" s="403" t="s">
        <v>1539</v>
      </c>
      <c r="E16" s="403"/>
      <c r="F16" s="201"/>
    </row>
    <row r="17" spans="2:4" ht="13.15" customHeight="1" x14ac:dyDescent="0.2">
      <c r="B17" s="403" t="s">
        <v>1538</v>
      </c>
      <c r="C17" s="115">
        <f>C16-C12</f>
        <v>7.8499999999999986E-2</v>
      </c>
      <c r="D17" s="403" t="s">
        <v>1535</v>
      </c>
    </row>
    <row r="18" spans="2:4" ht="13.15" customHeight="1" x14ac:dyDescent="0.2">
      <c r="B18" s="403" t="s">
        <v>1540</v>
      </c>
      <c r="C18" s="115">
        <v>0.34</v>
      </c>
      <c r="D18" s="403" t="s">
        <v>1541</v>
      </c>
    </row>
    <row r="19" spans="2:4" ht="13.15" customHeight="1" x14ac:dyDescent="0.2">
      <c r="B19" s="586" t="s">
        <v>1542</v>
      </c>
      <c r="C19" s="587">
        <f>C17*(1-C18)</f>
        <v>5.1809999999999988E-2</v>
      </c>
      <c r="D19" s="586" t="s">
        <v>1535</v>
      </c>
    </row>
    <row r="21" spans="2:4" ht="13.15" customHeight="1" x14ac:dyDescent="0.2">
      <c r="B21" s="584" t="s">
        <v>1543</v>
      </c>
      <c r="C21" s="585">
        <v>0.3</v>
      </c>
      <c r="D21" s="584" t="s">
        <v>1544</v>
      </c>
    </row>
    <row r="22" spans="2:4" ht="13.15" customHeight="1" x14ac:dyDescent="0.2">
      <c r="B22" s="403" t="s">
        <v>1545</v>
      </c>
      <c r="C22" s="115">
        <v>0.7</v>
      </c>
      <c r="D22" s="403" t="s">
        <v>1544</v>
      </c>
    </row>
    <row r="23" spans="2:4" ht="13.15" customHeight="1" x14ac:dyDescent="0.2">
      <c r="B23" s="403" t="s">
        <v>1546</v>
      </c>
      <c r="C23" s="115">
        <f>C19</f>
        <v>5.1809999999999988E-2</v>
      </c>
      <c r="D23" s="403" t="s">
        <v>1535</v>
      </c>
    </row>
    <row r="24" spans="2:4" ht="13.15" customHeight="1" x14ac:dyDescent="0.2">
      <c r="B24" s="403" t="s">
        <v>1531</v>
      </c>
      <c r="C24" s="115">
        <f>C13</f>
        <v>0.114036</v>
      </c>
      <c r="D24" s="403" t="s">
        <v>1535</v>
      </c>
    </row>
    <row r="25" spans="2:4" ht="13.15" customHeight="1" x14ac:dyDescent="0.2">
      <c r="B25" s="237" t="s">
        <v>1547</v>
      </c>
      <c r="C25" s="238">
        <f>(C23*C21)+(C24*C22)</f>
        <v>9.53682E-2</v>
      </c>
      <c r="D25" s="237" t="s">
        <v>1535</v>
      </c>
    </row>
    <row r="27" spans="2:4" ht="13.15" customHeight="1" x14ac:dyDescent="0.2">
      <c r="B27" s="403" t="s">
        <v>1548</v>
      </c>
      <c r="C27" s="403"/>
      <c r="D27" s="403"/>
    </row>
  </sheetData>
  <mergeCells count="1">
    <mergeCell ref="B2:D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Planilha35"/>
  <dimension ref="B3:D8"/>
  <sheetViews>
    <sheetView showGridLines="0" zoomScale="85" zoomScaleNormal="85" workbookViewId="0">
      <selection activeCell="B4" sqref="B4"/>
    </sheetView>
  </sheetViews>
  <sheetFormatPr defaultRowHeight="13.15" customHeight="1" x14ac:dyDescent="0.2"/>
  <cols>
    <col min="1" max="1" width="3.7109375" customWidth="1"/>
    <col min="4" max="4" width="16.42578125" bestFit="1" customWidth="1"/>
  </cols>
  <sheetData>
    <row r="3" spans="2:4" ht="13.15" customHeight="1" x14ac:dyDescent="0.2">
      <c r="B3" s="239" t="s">
        <v>1549</v>
      </c>
      <c r="C3" s="240" t="s">
        <v>1550</v>
      </c>
      <c r="D3" s="241" t="s">
        <v>1551</v>
      </c>
    </row>
    <row r="4" spans="2:4" ht="13.15" customHeight="1" x14ac:dyDescent="0.2">
      <c r="B4" s="242" t="s">
        <v>1552</v>
      </c>
      <c r="C4" s="421">
        <v>7.4999999999999983E-2</v>
      </c>
      <c r="D4" s="246">
        <v>0.69</v>
      </c>
    </row>
    <row r="5" spans="2:4" ht="13.15" customHeight="1" x14ac:dyDescent="0.2">
      <c r="B5" s="243" t="s">
        <v>1553</v>
      </c>
      <c r="C5" s="421">
        <v>7.9999999999999988E-2</v>
      </c>
      <c r="D5" s="246">
        <v>0.71311447853197796</v>
      </c>
    </row>
    <row r="6" spans="2:4" ht="13.15" customHeight="1" x14ac:dyDescent="0.2">
      <c r="B6" s="243" t="s">
        <v>1554</v>
      </c>
      <c r="C6" s="421">
        <v>8.4999999999999992E-2</v>
      </c>
      <c r="D6" s="246">
        <v>0.74069855771550897</v>
      </c>
    </row>
    <row r="7" spans="2:4" ht="13.15" customHeight="1" x14ac:dyDescent="0.2">
      <c r="B7" s="243" t="s">
        <v>1555</v>
      </c>
      <c r="C7" s="421">
        <v>0.09</v>
      </c>
      <c r="D7" s="246">
        <v>0.7687740889151814</v>
      </c>
    </row>
    <row r="8" spans="2:4" ht="13.15" customHeight="1" x14ac:dyDescent="0.2">
      <c r="B8" s="244" t="s">
        <v>1556</v>
      </c>
      <c r="C8" s="422">
        <v>9.5000000000000001E-2</v>
      </c>
      <c r="D8" s="245">
        <v>0.79378546769018332</v>
      </c>
    </row>
  </sheetData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Planilha36"/>
  <dimension ref="B2:AL54"/>
  <sheetViews>
    <sheetView showGridLines="0" zoomScale="85" zoomScaleNormal="85" workbookViewId="0">
      <selection activeCell="B4" sqref="B4"/>
    </sheetView>
  </sheetViews>
  <sheetFormatPr defaultColWidth="8.7109375" defaultRowHeight="13.15" customHeight="1" x14ac:dyDescent="0.2"/>
  <cols>
    <col min="1" max="1" width="8.7109375" style="158"/>
    <col min="2" max="2" width="42.28515625" style="158" bestFit="1" customWidth="1"/>
    <col min="3" max="5" width="11.42578125" style="158" bestFit="1" customWidth="1"/>
    <col min="6" max="6" width="10.42578125" style="158" bestFit="1" customWidth="1"/>
    <col min="7" max="8" width="11.42578125" style="158" bestFit="1" customWidth="1"/>
    <col min="9" max="10" width="10.42578125" style="158" bestFit="1" customWidth="1"/>
    <col min="11" max="11" width="7.7109375" style="158" bestFit="1" customWidth="1"/>
    <col min="12" max="12" width="10.42578125" style="158" bestFit="1" customWidth="1"/>
    <col min="13" max="14" width="7.7109375" style="158" bestFit="1" customWidth="1"/>
    <col min="15" max="16" width="10.42578125" style="158" bestFit="1" customWidth="1"/>
    <col min="17" max="17" width="7.7109375" style="158" bestFit="1" customWidth="1"/>
    <col min="18" max="18" width="10.42578125" style="158" bestFit="1" customWidth="1"/>
    <col min="19" max="19" width="7.7109375" style="158" bestFit="1" customWidth="1"/>
    <col min="20" max="21" width="10.42578125" style="158" bestFit="1" customWidth="1"/>
    <col min="22" max="22" width="11.42578125" style="158" bestFit="1" customWidth="1"/>
    <col min="23" max="23" width="7.7109375" style="158" bestFit="1" customWidth="1"/>
    <col min="24" max="25" width="10.42578125" style="158" bestFit="1" customWidth="1"/>
    <col min="26" max="26" width="8.7109375" style="158" bestFit="1" customWidth="1"/>
    <col min="27" max="28" width="10.42578125" style="158" bestFit="1" customWidth="1"/>
    <col min="29" max="29" width="7.7109375" style="158" bestFit="1" customWidth="1"/>
    <col min="30" max="30" width="10.42578125" style="158" bestFit="1" customWidth="1"/>
    <col min="31" max="31" width="8.7109375" style="158" bestFit="1" customWidth="1"/>
    <col min="32" max="32" width="7.7109375" style="158" bestFit="1" customWidth="1"/>
    <col min="33" max="36" width="10.42578125" style="158" bestFit="1" customWidth="1"/>
    <col min="37" max="38" width="7.7109375" style="158" bestFit="1" customWidth="1"/>
    <col min="39" max="16384" width="8.7109375" style="158"/>
  </cols>
  <sheetData>
    <row r="2" spans="2:38" ht="13.15" customHeight="1" x14ac:dyDescent="0.2">
      <c r="B2" s="249" t="s">
        <v>1557</v>
      </c>
      <c r="C2" s="586"/>
      <c r="D2" s="586"/>
      <c r="E2" s="586"/>
      <c r="F2" s="586"/>
      <c r="G2" s="586"/>
      <c r="H2" s="586"/>
      <c r="I2" s="586"/>
      <c r="J2" s="586"/>
      <c r="K2" s="586"/>
      <c r="L2" s="586"/>
      <c r="M2" s="586"/>
      <c r="N2" s="586"/>
      <c r="O2" s="586"/>
      <c r="P2" s="586"/>
      <c r="Q2" s="586"/>
      <c r="R2" s="586"/>
      <c r="S2" s="586"/>
      <c r="T2" s="586"/>
      <c r="U2" s="586"/>
      <c r="V2" s="586"/>
      <c r="W2" s="586"/>
      <c r="X2" s="586"/>
      <c r="Y2" s="586"/>
      <c r="Z2" s="586"/>
      <c r="AA2" s="586"/>
      <c r="AB2" s="586"/>
      <c r="AC2" s="586"/>
      <c r="AD2" s="586"/>
      <c r="AE2" s="586"/>
      <c r="AF2" s="586"/>
      <c r="AG2" s="586"/>
      <c r="AH2" s="586"/>
      <c r="AI2" s="586"/>
      <c r="AJ2" s="586"/>
      <c r="AK2" s="586"/>
      <c r="AL2" s="586"/>
    </row>
    <row r="4" spans="2:38" ht="13.15" customHeight="1" x14ac:dyDescent="0.2">
      <c r="B4" s="403" t="s">
        <v>1558</v>
      </c>
      <c r="C4" s="403"/>
      <c r="D4" s="115">
        <v>-3.4599999999999999E-2</v>
      </c>
      <c r="E4" s="115">
        <v>4.0899999999999999E-2</v>
      </c>
      <c r="F4" s="115">
        <v>0.04</v>
      </c>
      <c r="G4" s="115">
        <v>0.04</v>
      </c>
      <c r="H4" s="115">
        <f>G4</f>
        <v>0.04</v>
      </c>
      <c r="I4" s="115">
        <f t="shared" ref="I4:AL4" si="0">H4</f>
        <v>0.04</v>
      </c>
      <c r="J4" s="115">
        <f t="shared" si="0"/>
        <v>0.04</v>
      </c>
      <c r="K4" s="115">
        <f t="shared" si="0"/>
        <v>0.04</v>
      </c>
      <c r="L4" s="115">
        <f t="shared" si="0"/>
        <v>0.04</v>
      </c>
      <c r="M4" s="115">
        <f t="shared" si="0"/>
        <v>0.04</v>
      </c>
      <c r="N4" s="115">
        <f t="shared" si="0"/>
        <v>0.04</v>
      </c>
      <c r="O4" s="115">
        <f t="shared" si="0"/>
        <v>0.04</v>
      </c>
      <c r="P4" s="115">
        <f t="shared" si="0"/>
        <v>0.04</v>
      </c>
      <c r="Q4" s="115">
        <f t="shared" si="0"/>
        <v>0.04</v>
      </c>
      <c r="R4" s="115">
        <f t="shared" si="0"/>
        <v>0.04</v>
      </c>
      <c r="S4" s="115">
        <f t="shared" si="0"/>
        <v>0.04</v>
      </c>
      <c r="T4" s="115">
        <f t="shared" si="0"/>
        <v>0.04</v>
      </c>
      <c r="U4" s="115">
        <f t="shared" si="0"/>
        <v>0.04</v>
      </c>
      <c r="V4" s="115">
        <f t="shared" si="0"/>
        <v>0.04</v>
      </c>
      <c r="W4" s="115">
        <f t="shared" si="0"/>
        <v>0.04</v>
      </c>
      <c r="X4" s="115">
        <f t="shared" si="0"/>
        <v>0.04</v>
      </c>
      <c r="Y4" s="115">
        <f t="shared" si="0"/>
        <v>0.04</v>
      </c>
      <c r="Z4" s="115">
        <f t="shared" si="0"/>
        <v>0.04</v>
      </c>
      <c r="AA4" s="115">
        <f t="shared" si="0"/>
        <v>0.04</v>
      </c>
      <c r="AB4" s="115">
        <f t="shared" si="0"/>
        <v>0.04</v>
      </c>
      <c r="AC4" s="115">
        <f t="shared" si="0"/>
        <v>0.04</v>
      </c>
      <c r="AD4" s="115">
        <f t="shared" si="0"/>
        <v>0.04</v>
      </c>
      <c r="AE4" s="115">
        <f t="shared" si="0"/>
        <v>0.04</v>
      </c>
      <c r="AF4" s="115">
        <f t="shared" si="0"/>
        <v>0.04</v>
      </c>
      <c r="AG4" s="115">
        <f t="shared" si="0"/>
        <v>0.04</v>
      </c>
      <c r="AH4" s="115">
        <f t="shared" si="0"/>
        <v>0.04</v>
      </c>
      <c r="AI4" s="115">
        <f t="shared" si="0"/>
        <v>0.04</v>
      </c>
      <c r="AJ4" s="115">
        <f t="shared" si="0"/>
        <v>0.04</v>
      </c>
      <c r="AK4" s="115">
        <f t="shared" si="0"/>
        <v>0.04</v>
      </c>
      <c r="AL4" s="115">
        <f t="shared" si="0"/>
        <v>0.04</v>
      </c>
    </row>
    <row r="5" spans="2:38" ht="13.15" customHeight="1" x14ac:dyDescent="0.2">
      <c r="B5" s="403" t="s">
        <v>1559</v>
      </c>
      <c r="C5" s="403"/>
      <c r="D5" s="115">
        <v>2.92E-2</v>
      </c>
      <c r="E5" s="115">
        <v>1.5100000000000001E-2</v>
      </c>
      <c r="F5" s="115">
        <v>0.02</v>
      </c>
      <c r="G5" s="115">
        <v>0.02</v>
      </c>
      <c r="H5" s="115">
        <f>G5</f>
        <v>0.02</v>
      </c>
      <c r="I5" s="115">
        <f t="shared" ref="I5:AL5" si="1">H5</f>
        <v>0.02</v>
      </c>
      <c r="J5" s="115">
        <f t="shared" si="1"/>
        <v>0.02</v>
      </c>
      <c r="K5" s="115">
        <f t="shared" si="1"/>
        <v>0.02</v>
      </c>
      <c r="L5" s="115">
        <f t="shared" si="1"/>
        <v>0.02</v>
      </c>
      <c r="M5" s="115">
        <f t="shared" si="1"/>
        <v>0.02</v>
      </c>
      <c r="N5" s="115">
        <f t="shared" si="1"/>
        <v>0.02</v>
      </c>
      <c r="O5" s="115">
        <f t="shared" si="1"/>
        <v>0.02</v>
      </c>
      <c r="P5" s="115">
        <f t="shared" si="1"/>
        <v>0.02</v>
      </c>
      <c r="Q5" s="115">
        <f t="shared" si="1"/>
        <v>0.02</v>
      </c>
      <c r="R5" s="115">
        <f t="shared" si="1"/>
        <v>0.02</v>
      </c>
      <c r="S5" s="115">
        <f t="shared" si="1"/>
        <v>0.02</v>
      </c>
      <c r="T5" s="115">
        <f t="shared" si="1"/>
        <v>0.02</v>
      </c>
      <c r="U5" s="115">
        <f t="shared" si="1"/>
        <v>0.02</v>
      </c>
      <c r="V5" s="115">
        <f t="shared" si="1"/>
        <v>0.02</v>
      </c>
      <c r="W5" s="115">
        <f t="shared" si="1"/>
        <v>0.02</v>
      </c>
      <c r="X5" s="115">
        <f t="shared" si="1"/>
        <v>0.02</v>
      </c>
      <c r="Y5" s="115">
        <f t="shared" si="1"/>
        <v>0.02</v>
      </c>
      <c r="Z5" s="115">
        <f t="shared" si="1"/>
        <v>0.02</v>
      </c>
      <c r="AA5" s="115">
        <f t="shared" si="1"/>
        <v>0.02</v>
      </c>
      <c r="AB5" s="115">
        <f t="shared" si="1"/>
        <v>0.02</v>
      </c>
      <c r="AC5" s="115">
        <f t="shared" si="1"/>
        <v>0.02</v>
      </c>
      <c r="AD5" s="115">
        <f t="shared" si="1"/>
        <v>0.02</v>
      </c>
      <c r="AE5" s="115">
        <f t="shared" si="1"/>
        <v>0.02</v>
      </c>
      <c r="AF5" s="115">
        <f t="shared" si="1"/>
        <v>0.02</v>
      </c>
      <c r="AG5" s="115">
        <f t="shared" si="1"/>
        <v>0.02</v>
      </c>
      <c r="AH5" s="115">
        <f t="shared" si="1"/>
        <v>0.02</v>
      </c>
      <c r="AI5" s="115">
        <f t="shared" si="1"/>
        <v>0.02</v>
      </c>
      <c r="AJ5" s="115">
        <f t="shared" si="1"/>
        <v>0.02</v>
      </c>
      <c r="AK5" s="115">
        <f t="shared" si="1"/>
        <v>0.02</v>
      </c>
      <c r="AL5" s="115">
        <f t="shared" si="1"/>
        <v>0.02</v>
      </c>
    </row>
    <row r="6" spans="2:38" ht="13.15" customHeight="1" x14ac:dyDescent="0.2">
      <c r="B6" s="403" t="s">
        <v>1560</v>
      </c>
      <c r="C6" s="403"/>
      <c r="D6" s="115">
        <v>2.1999999999999999E-2</v>
      </c>
      <c r="E6" s="115">
        <v>0.02</v>
      </c>
      <c r="F6" s="115">
        <v>2.5000000000000001E-2</v>
      </c>
      <c r="G6" s="115">
        <v>2.5000000000000001E-2</v>
      </c>
      <c r="H6" s="115">
        <f>G6</f>
        <v>2.5000000000000001E-2</v>
      </c>
      <c r="I6" s="115">
        <f t="shared" ref="I6:AL6" si="2">H6</f>
        <v>2.5000000000000001E-2</v>
      </c>
      <c r="J6" s="115">
        <f t="shared" si="2"/>
        <v>2.5000000000000001E-2</v>
      </c>
      <c r="K6" s="115">
        <f t="shared" si="2"/>
        <v>2.5000000000000001E-2</v>
      </c>
      <c r="L6" s="115">
        <f t="shared" si="2"/>
        <v>2.5000000000000001E-2</v>
      </c>
      <c r="M6" s="115">
        <f t="shared" si="2"/>
        <v>2.5000000000000001E-2</v>
      </c>
      <c r="N6" s="115">
        <f t="shared" si="2"/>
        <v>2.5000000000000001E-2</v>
      </c>
      <c r="O6" s="115">
        <f t="shared" si="2"/>
        <v>2.5000000000000001E-2</v>
      </c>
      <c r="P6" s="115">
        <f t="shared" si="2"/>
        <v>2.5000000000000001E-2</v>
      </c>
      <c r="Q6" s="115">
        <f t="shared" si="2"/>
        <v>2.5000000000000001E-2</v>
      </c>
      <c r="R6" s="115">
        <f t="shared" si="2"/>
        <v>2.5000000000000001E-2</v>
      </c>
      <c r="S6" s="115">
        <f t="shared" si="2"/>
        <v>2.5000000000000001E-2</v>
      </c>
      <c r="T6" s="115">
        <f t="shared" si="2"/>
        <v>2.5000000000000001E-2</v>
      </c>
      <c r="U6" s="115">
        <f t="shared" si="2"/>
        <v>2.5000000000000001E-2</v>
      </c>
      <c r="V6" s="115">
        <f t="shared" si="2"/>
        <v>2.5000000000000001E-2</v>
      </c>
      <c r="W6" s="115">
        <f t="shared" si="2"/>
        <v>2.5000000000000001E-2</v>
      </c>
      <c r="X6" s="115">
        <f t="shared" si="2"/>
        <v>2.5000000000000001E-2</v>
      </c>
      <c r="Y6" s="115">
        <f t="shared" si="2"/>
        <v>2.5000000000000001E-2</v>
      </c>
      <c r="Z6" s="115">
        <f t="shared" si="2"/>
        <v>2.5000000000000001E-2</v>
      </c>
      <c r="AA6" s="115">
        <f t="shared" si="2"/>
        <v>2.5000000000000001E-2</v>
      </c>
      <c r="AB6" s="115">
        <f t="shared" si="2"/>
        <v>2.5000000000000001E-2</v>
      </c>
      <c r="AC6" s="115">
        <f t="shared" si="2"/>
        <v>2.5000000000000001E-2</v>
      </c>
      <c r="AD6" s="115">
        <f t="shared" si="2"/>
        <v>2.5000000000000001E-2</v>
      </c>
      <c r="AE6" s="115">
        <f t="shared" si="2"/>
        <v>2.5000000000000001E-2</v>
      </c>
      <c r="AF6" s="115">
        <f t="shared" si="2"/>
        <v>2.5000000000000001E-2</v>
      </c>
      <c r="AG6" s="115">
        <f t="shared" si="2"/>
        <v>2.5000000000000001E-2</v>
      </c>
      <c r="AH6" s="115">
        <f t="shared" si="2"/>
        <v>2.5000000000000001E-2</v>
      </c>
      <c r="AI6" s="115">
        <f t="shared" si="2"/>
        <v>2.5000000000000001E-2</v>
      </c>
      <c r="AJ6" s="115">
        <f t="shared" si="2"/>
        <v>2.5000000000000001E-2</v>
      </c>
      <c r="AK6" s="115">
        <f t="shared" si="2"/>
        <v>2.5000000000000001E-2</v>
      </c>
      <c r="AL6" s="115">
        <f t="shared" si="2"/>
        <v>2.5000000000000001E-2</v>
      </c>
    </row>
    <row r="7" spans="2:38" ht="13.15" customHeight="1" x14ac:dyDescent="0.2">
      <c r="B7" s="403" t="s">
        <v>1561</v>
      </c>
      <c r="C7" s="403"/>
      <c r="D7" s="115">
        <v>0.11749999999999999</v>
      </c>
      <c r="E7" s="115">
        <v>9.2499999999999999E-2</v>
      </c>
      <c r="F7" s="115">
        <v>8.5000000000000006E-2</v>
      </c>
      <c r="G7" s="115">
        <v>8.5000000000000006E-2</v>
      </c>
      <c r="H7" s="115">
        <f>G7</f>
        <v>8.5000000000000006E-2</v>
      </c>
      <c r="I7" s="115">
        <f t="shared" ref="I7:AL7" si="3">H7</f>
        <v>8.5000000000000006E-2</v>
      </c>
      <c r="J7" s="115">
        <f t="shared" si="3"/>
        <v>8.5000000000000006E-2</v>
      </c>
      <c r="K7" s="115">
        <f t="shared" si="3"/>
        <v>8.5000000000000006E-2</v>
      </c>
      <c r="L7" s="115">
        <f t="shared" si="3"/>
        <v>8.5000000000000006E-2</v>
      </c>
      <c r="M7" s="115">
        <f t="shared" si="3"/>
        <v>8.5000000000000006E-2</v>
      </c>
      <c r="N7" s="115">
        <f t="shared" si="3"/>
        <v>8.5000000000000006E-2</v>
      </c>
      <c r="O7" s="115">
        <f t="shared" si="3"/>
        <v>8.5000000000000006E-2</v>
      </c>
      <c r="P7" s="115">
        <f t="shared" si="3"/>
        <v>8.5000000000000006E-2</v>
      </c>
      <c r="Q7" s="115">
        <f t="shared" si="3"/>
        <v>8.5000000000000006E-2</v>
      </c>
      <c r="R7" s="115">
        <f t="shared" si="3"/>
        <v>8.5000000000000006E-2</v>
      </c>
      <c r="S7" s="115">
        <f t="shared" si="3"/>
        <v>8.5000000000000006E-2</v>
      </c>
      <c r="T7" s="115">
        <f t="shared" si="3"/>
        <v>8.5000000000000006E-2</v>
      </c>
      <c r="U7" s="115">
        <f t="shared" si="3"/>
        <v>8.5000000000000006E-2</v>
      </c>
      <c r="V7" s="115">
        <f t="shared" si="3"/>
        <v>8.5000000000000006E-2</v>
      </c>
      <c r="W7" s="115">
        <f t="shared" si="3"/>
        <v>8.5000000000000006E-2</v>
      </c>
      <c r="X7" s="115">
        <f t="shared" si="3"/>
        <v>8.5000000000000006E-2</v>
      </c>
      <c r="Y7" s="115">
        <f t="shared" si="3"/>
        <v>8.5000000000000006E-2</v>
      </c>
      <c r="Z7" s="115">
        <f t="shared" si="3"/>
        <v>8.5000000000000006E-2</v>
      </c>
      <c r="AA7" s="115">
        <f t="shared" si="3"/>
        <v>8.5000000000000006E-2</v>
      </c>
      <c r="AB7" s="115">
        <f t="shared" si="3"/>
        <v>8.5000000000000006E-2</v>
      </c>
      <c r="AC7" s="115">
        <f t="shared" si="3"/>
        <v>8.5000000000000006E-2</v>
      </c>
      <c r="AD7" s="115">
        <f t="shared" si="3"/>
        <v>8.5000000000000006E-2</v>
      </c>
      <c r="AE7" s="115">
        <f t="shared" si="3"/>
        <v>8.5000000000000006E-2</v>
      </c>
      <c r="AF7" s="115">
        <f t="shared" si="3"/>
        <v>8.5000000000000006E-2</v>
      </c>
      <c r="AG7" s="115">
        <f t="shared" si="3"/>
        <v>8.5000000000000006E-2</v>
      </c>
      <c r="AH7" s="115">
        <f t="shared" si="3"/>
        <v>8.5000000000000006E-2</v>
      </c>
      <c r="AI7" s="115">
        <f t="shared" si="3"/>
        <v>8.5000000000000006E-2</v>
      </c>
      <c r="AJ7" s="115">
        <f t="shared" si="3"/>
        <v>8.5000000000000006E-2</v>
      </c>
      <c r="AK7" s="115">
        <f t="shared" si="3"/>
        <v>8.5000000000000006E-2</v>
      </c>
      <c r="AL7" s="115">
        <f t="shared" si="3"/>
        <v>8.5000000000000006E-2</v>
      </c>
    </row>
    <row r="8" spans="2:38" ht="13.15" customHeight="1" x14ac:dyDescent="0.2">
      <c r="B8" s="403" t="s">
        <v>1562</v>
      </c>
      <c r="C8" s="403"/>
      <c r="D8" s="115">
        <v>0.11650000000000001</v>
      </c>
      <c r="E8" s="115">
        <v>9.1499999999999998E-2</v>
      </c>
      <c r="F8" s="115">
        <v>8.4900000000000003E-2</v>
      </c>
      <c r="G8" s="115">
        <v>8.4000000000000005E-2</v>
      </c>
      <c r="H8" s="115">
        <f>G8</f>
        <v>8.4000000000000005E-2</v>
      </c>
      <c r="I8" s="115">
        <f t="shared" ref="I8:AL8" si="4">H8</f>
        <v>8.4000000000000005E-2</v>
      </c>
      <c r="J8" s="115">
        <f t="shared" si="4"/>
        <v>8.4000000000000005E-2</v>
      </c>
      <c r="K8" s="115">
        <f t="shared" si="4"/>
        <v>8.4000000000000005E-2</v>
      </c>
      <c r="L8" s="115">
        <f t="shared" si="4"/>
        <v>8.4000000000000005E-2</v>
      </c>
      <c r="M8" s="115">
        <f t="shared" si="4"/>
        <v>8.4000000000000005E-2</v>
      </c>
      <c r="N8" s="115">
        <f t="shared" si="4"/>
        <v>8.4000000000000005E-2</v>
      </c>
      <c r="O8" s="115">
        <f t="shared" si="4"/>
        <v>8.4000000000000005E-2</v>
      </c>
      <c r="P8" s="115">
        <f t="shared" si="4"/>
        <v>8.4000000000000005E-2</v>
      </c>
      <c r="Q8" s="115">
        <f t="shared" si="4"/>
        <v>8.4000000000000005E-2</v>
      </c>
      <c r="R8" s="115">
        <f t="shared" si="4"/>
        <v>8.4000000000000005E-2</v>
      </c>
      <c r="S8" s="115">
        <f t="shared" si="4"/>
        <v>8.4000000000000005E-2</v>
      </c>
      <c r="T8" s="115">
        <f t="shared" si="4"/>
        <v>8.4000000000000005E-2</v>
      </c>
      <c r="U8" s="115">
        <f t="shared" si="4"/>
        <v>8.4000000000000005E-2</v>
      </c>
      <c r="V8" s="115">
        <f t="shared" si="4"/>
        <v>8.4000000000000005E-2</v>
      </c>
      <c r="W8" s="115">
        <f t="shared" si="4"/>
        <v>8.4000000000000005E-2</v>
      </c>
      <c r="X8" s="115">
        <f t="shared" si="4"/>
        <v>8.4000000000000005E-2</v>
      </c>
      <c r="Y8" s="115">
        <f t="shared" si="4"/>
        <v>8.4000000000000005E-2</v>
      </c>
      <c r="Z8" s="115">
        <f t="shared" si="4"/>
        <v>8.4000000000000005E-2</v>
      </c>
      <c r="AA8" s="115">
        <f t="shared" si="4"/>
        <v>8.4000000000000005E-2</v>
      </c>
      <c r="AB8" s="115">
        <f t="shared" si="4"/>
        <v>8.4000000000000005E-2</v>
      </c>
      <c r="AC8" s="115">
        <f t="shared" si="4"/>
        <v>8.4000000000000005E-2</v>
      </c>
      <c r="AD8" s="115">
        <f t="shared" si="4"/>
        <v>8.4000000000000005E-2</v>
      </c>
      <c r="AE8" s="115">
        <f t="shared" si="4"/>
        <v>8.4000000000000005E-2</v>
      </c>
      <c r="AF8" s="115">
        <f t="shared" si="4"/>
        <v>8.4000000000000005E-2</v>
      </c>
      <c r="AG8" s="115">
        <f t="shared" si="4"/>
        <v>8.4000000000000005E-2</v>
      </c>
      <c r="AH8" s="115">
        <f t="shared" si="4"/>
        <v>8.4000000000000005E-2</v>
      </c>
      <c r="AI8" s="115">
        <f t="shared" si="4"/>
        <v>8.4000000000000005E-2</v>
      </c>
      <c r="AJ8" s="115">
        <f t="shared" si="4"/>
        <v>8.4000000000000005E-2</v>
      </c>
      <c r="AK8" s="115">
        <f t="shared" si="4"/>
        <v>8.4000000000000005E-2</v>
      </c>
      <c r="AL8" s="115">
        <f t="shared" si="4"/>
        <v>8.4000000000000005E-2</v>
      </c>
    </row>
    <row r="9" spans="2:38" ht="13.15" customHeight="1" x14ac:dyDescent="0.2">
      <c r="B9" s="403" t="s">
        <v>1563</v>
      </c>
      <c r="C9" s="403"/>
      <c r="D9" s="115">
        <v>6.5500000000000003E-2</v>
      </c>
      <c r="E9" s="115">
        <f>D9</f>
        <v>6.5500000000000003E-2</v>
      </c>
      <c r="F9" s="115">
        <f t="shared" ref="F9:AL9" si="5">E9</f>
        <v>6.5500000000000003E-2</v>
      </c>
      <c r="G9" s="115">
        <f t="shared" si="5"/>
        <v>6.5500000000000003E-2</v>
      </c>
      <c r="H9" s="115">
        <f t="shared" si="5"/>
        <v>6.5500000000000003E-2</v>
      </c>
      <c r="I9" s="115">
        <f t="shared" si="5"/>
        <v>6.5500000000000003E-2</v>
      </c>
      <c r="J9" s="115">
        <f t="shared" si="5"/>
        <v>6.5500000000000003E-2</v>
      </c>
      <c r="K9" s="115">
        <f t="shared" si="5"/>
        <v>6.5500000000000003E-2</v>
      </c>
      <c r="L9" s="115">
        <f t="shared" si="5"/>
        <v>6.5500000000000003E-2</v>
      </c>
      <c r="M9" s="115">
        <f t="shared" si="5"/>
        <v>6.5500000000000003E-2</v>
      </c>
      <c r="N9" s="115">
        <f t="shared" si="5"/>
        <v>6.5500000000000003E-2</v>
      </c>
      <c r="O9" s="115">
        <f t="shared" si="5"/>
        <v>6.5500000000000003E-2</v>
      </c>
      <c r="P9" s="115">
        <f t="shared" si="5"/>
        <v>6.5500000000000003E-2</v>
      </c>
      <c r="Q9" s="115">
        <f t="shared" si="5"/>
        <v>6.5500000000000003E-2</v>
      </c>
      <c r="R9" s="115">
        <f t="shared" si="5"/>
        <v>6.5500000000000003E-2</v>
      </c>
      <c r="S9" s="115">
        <f t="shared" si="5"/>
        <v>6.5500000000000003E-2</v>
      </c>
      <c r="T9" s="115">
        <f t="shared" si="5"/>
        <v>6.5500000000000003E-2</v>
      </c>
      <c r="U9" s="115">
        <f t="shared" si="5"/>
        <v>6.5500000000000003E-2</v>
      </c>
      <c r="V9" s="115">
        <f t="shared" si="5"/>
        <v>6.5500000000000003E-2</v>
      </c>
      <c r="W9" s="115">
        <f t="shared" si="5"/>
        <v>6.5500000000000003E-2</v>
      </c>
      <c r="X9" s="115">
        <f t="shared" si="5"/>
        <v>6.5500000000000003E-2</v>
      </c>
      <c r="Y9" s="115">
        <f t="shared" si="5"/>
        <v>6.5500000000000003E-2</v>
      </c>
      <c r="Z9" s="115">
        <f t="shared" si="5"/>
        <v>6.5500000000000003E-2</v>
      </c>
      <c r="AA9" s="115">
        <f t="shared" si="5"/>
        <v>6.5500000000000003E-2</v>
      </c>
      <c r="AB9" s="115">
        <f t="shared" si="5"/>
        <v>6.5500000000000003E-2</v>
      </c>
      <c r="AC9" s="115">
        <f t="shared" si="5"/>
        <v>6.5500000000000003E-2</v>
      </c>
      <c r="AD9" s="115">
        <f t="shared" si="5"/>
        <v>6.5500000000000003E-2</v>
      </c>
      <c r="AE9" s="115">
        <f t="shared" si="5"/>
        <v>6.5500000000000003E-2</v>
      </c>
      <c r="AF9" s="115">
        <f t="shared" si="5"/>
        <v>6.5500000000000003E-2</v>
      </c>
      <c r="AG9" s="115">
        <f t="shared" si="5"/>
        <v>6.5500000000000003E-2</v>
      </c>
      <c r="AH9" s="115">
        <f t="shared" si="5"/>
        <v>6.5500000000000003E-2</v>
      </c>
      <c r="AI9" s="115">
        <f t="shared" si="5"/>
        <v>6.5500000000000003E-2</v>
      </c>
      <c r="AJ9" s="115">
        <f t="shared" si="5"/>
        <v>6.5500000000000003E-2</v>
      </c>
      <c r="AK9" s="115">
        <f t="shared" si="5"/>
        <v>6.5500000000000003E-2</v>
      </c>
      <c r="AL9" s="115">
        <f t="shared" si="5"/>
        <v>6.5500000000000003E-2</v>
      </c>
    </row>
    <row r="10" spans="2:38" ht="13.15" customHeight="1" x14ac:dyDescent="0.2">
      <c r="B10" s="403" t="s">
        <v>1564</v>
      </c>
      <c r="C10" s="403"/>
      <c r="D10" s="115">
        <v>4.4900000000000002E-2</v>
      </c>
      <c r="E10" s="115">
        <v>3.9300000000000002E-2</v>
      </c>
      <c r="F10" s="115">
        <v>3.5000000000000003E-2</v>
      </c>
      <c r="G10" s="115">
        <v>3.5000000000000003E-2</v>
      </c>
      <c r="H10" s="115">
        <f>G10</f>
        <v>3.5000000000000003E-2</v>
      </c>
      <c r="I10" s="115">
        <f t="shared" ref="I10:AL10" si="6">H10</f>
        <v>3.5000000000000003E-2</v>
      </c>
      <c r="J10" s="115">
        <f t="shared" si="6"/>
        <v>3.5000000000000003E-2</v>
      </c>
      <c r="K10" s="115">
        <f t="shared" si="6"/>
        <v>3.5000000000000003E-2</v>
      </c>
      <c r="L10" s="115">
        <f t="shared" si="6"/>
        <v>3.5000000000000003E-2</v>
      </c>
      <c r="M10" s="115">
        <f t="shared" si="6"/>
        <v>3.5000000000000003E-2</v>
      </c>
      <c r="N10" s="115">
        <f t="shared" si="6"/>
        <v>3.5000000000000003E-2</v>
      </c>
      <c r="O10" s="115">
        <f t="shared" si="6"/>
        <v>3.5000000000000003E-2</v>
      </c>
      <c r="P10" s="115">
        <f t="shared" si="6"/>
        <v>3.5000000000000003E-2</v>
      </c>
      <c r="Q10" s="115">
        <f t="shared" si="6"/>
        <v>3.5000000000000003E-2</v>
      </c>
      <c r="R10" s="115">
        <f t="shared" si="6"/>
        <v>3.5000000000000003E-2</v>
      </c>
      <c r="S10" s="115">
        <f t="shared" si="6"/>
        <v>3.5000000000000003E-2</v>
      </c>
      <c r="T10" s="115">
        <f t="shared" si="6"/>
        <v>3.5000000000000003E-2</v>
      </c>
      <c r="U10" s="115">
        <f t="shared" si="6"/>
        <v>3.5000000000000003E-2</v>
      </c>
      <c r="V10" s="115">
        <f t="shared" si="6"/>
        <v>3.5000000000000003E-2</v>
      </c>
      <c r="W10" s="115">
        <f t="shared" si="6"/>
        <v>3.5000000000000003E-2</v>
      </c>
      <c r="X10" s="115">
        <f t="shared" si="6"/>
        <v>3.5000000000000003E-2</v>
      </c>
      <c r="Y10" s="115">
        <f t="shared" si="6"/>
        <v>3.5000000000000003E-2</v>
      </c>
      <c r="Z10" s="115">
        <f t="shared" si="6"/>
        <v>3.5000000000000003E-2</v>
      </c>
      <c r="AA10" s="115">
        <f t="shared" si="6"/>
        <v>3.5000000000000003E-2</v>
      </c>
      <c r="AB10" s="115">
        <f t="shared" si="6"/>
        <v>3.5000000000000003E-2</v>
      </c>
      <c r="AC10" s="115">
        <f t="shared" si="6"/>
        <v>3.5000000000000003E-2</v>
      </c>
      <c r="AD10" s="115">
        <f t="shared" si="6"/>
        <v>3.5000000000000003E-2</v>
      </c>
      <c r="AE10" s="115">
        <f t="shared" si="6"/>
        <v>3.5000000000000003E-2</v>
      </c>
      <c r="AF10" s="115">
        <f t="shared" si="6"/>
        <v>3.5000000000000003E-2</v>
      </c>
      <c r="AG10" s="115">
        <f t="shared" si="6"/>
        <v>3.5000000000000003E-2</v>
      </c>
      <c r="AH10" s="115">
        <f t="shared" si="6"/>
        <v>3.5000000000000003E-2</v>
      </c>
      <c r="AI10" s="115">
        <f t="shared" si="6"/>
        <v>3.5000000000000003E-2</v>
      </c>
      <c r="AJ10" s="115">
        <f t="shared" si="6"/>
        <v>3.5000000000000003E-2</v>
      </c>
      <c r="AK10" s="115">
        <f t="shared" si="6"/>
        <v>3.5000000000000003E-2</v>
      </c>
      <c r="AL10" s="115">
        <f t="shared" si="6"/>
        <v>3.5000000000000003E-2</v>
      </c>
    </row>
    <row r="14" spans="2:38" ht="13.15" customHeight="1" x14ac:dyDescent="0.2">
      <c r="B14" s="249" t="s">
        <v>1565</v>
      </c>
      <c r="C14" s="586"/>
      <c r="D14" s="586"/>
      <c r="E14" s="586"/>
      <c r="F14" s="586"/>
      <c r="G14" s="586"/>
      <c r="H14" s="586"/>
      <c r="I14" s="586"/>
      <c r="J14" s="586"/>
      <c r="K14" s="586"/>
      <c r="L14" s="586"/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6"/>
      <c r="AJ14" s="586"/>
      <c r="AK14" s="586"/>
      <c r="AL14" s="586"/>
    </row>
    <row r="15" spans="2:38" ht="13.15" customHeight="1" x14ac:dyDescent="0.2">
      <c r="B15" s="588"/>
      <c r="C15" s="403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  <c r="W15" s="403"/>
      <c r="X15" s="403"/>
      <c r="Y15" s="403"/>
      <c r="Z15" s="403"/>
      <c r="AA15" s="403"/>
      <c r="AB15" s="403"/>
      <c r="AC15" s="403"/>
      <c r="AD15" s="403"/>
      <c r="AE15" s="403"/>
      <c r="AF15" s="403"/>
      <c r="AG15" s="403"/>
      <c r="AH15" s="403"/>
      <c r="AI15" s="403"/>
      <c r="AJ15" s="403"/>
      <c r="AK15" s="403"/>
      <c r="AL15" s="403"/>
    </row>
    <row r="16" spans="2:38" ht="13.15" customHeight="1" x14ac:dyDescent="0.2">
      <c r="B16" s="250" t="s">
        <v>1566</v>
      </c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  <c r="W16" s="403"/>
      <c r="X16" s="403"/>
      <c r="Y16" s="403"/>
      <c r="Z16" s="403"/>
      <c r="AA16" s="403"/>
      <c r="AB16" s="403"/>
      <c r="AC16" s="403"/>
      <c r="AD16" s="403"/>
      <c r="AE16" s="403"/>
      <c r="AF16" s="403"/>
      <c r="AG16" s="403"/>
      <c r="AH16" s="403"/>
      <c r="AI16" s="403"/>
      <c r="AJ16" s="403"/>
      <c r="AK16" s="403"/>
      <c r="AL16" s="403"/>
    </row>
    <row r="17" spans="2:38" ht="13.15" customHeight="1" x14ac:dyDescent="0.2">
      <c r="B17" s="403"/>
      <c r="C17" s="403"/>
      <c r="D17" s="411">
        <v>1</v>
      </c>
      <c r="E17" s="411">
        <v>1</v>
      </c>
      <c r="F17" s="411">
        <v>1</v>
      </c>
      <c r="G17" s="411">
        <v>1</v>
      </c>
      <c r="H17" s="411">
        <v>1</v>
      </c>
      <c r="I17" s="411">
        <v>1</v>
      </c>
      <c r="J17" s="411">
        <v>1</v>
      </c>
      <c r="K17" s="411">
        <v>1</v>
      </c>
      <c r="L17" s="411">
        <v>1</v>
      </c>
      <c r="M17" s="411">
        <v>1</v>
      </c>
      <c r="N17" s="411">
        <v>1</v>
      </c>
      <c r="O17" s="411">
        <v>1</v>
      </c>
      <c r="P17" s="411">
        <v>1</v>
      </c>
      <c r="Q17" s="411">
        <v>1</v>
      </c>
      <c r="R17" s="411">
        <v>1</v>
      </c>
      <c r="S17" s="411">
        <v>1</v>
      </c>
      <c r="T17" s="411">
        <v>1</v>
      </c>
      <c r="U17" s="411">
        <v>1</v>
      </c>
      <c r="V17" s="411">
        <v>1</v>
      </c>
      <c r="W17" s="411">
        <v>1</v>
      </c>
      <c r="X17" s="411">
        <v>1</v>
      </c>
      <c r="Y17" s="411">
        <v>1</v>
      </c>
      <c r="Z17" s="411">
        <v>1</v>
      </c>
      <c r="AA17" s="411">
        <v>1</v>
      </c>
      <c r="AB17" s="411">
        <v>1</v>
      </c>
      <c r="AC17" s="411">
        <v>1</v>
      </c>
      <c r="AD17" s="411">
        <v>1</v>
      </c>
      <c r="AE17" s="411">
        <v>1</v>
      </c>
      <c r="AF17" s="411">
        <v>1</v>
      </c>
      <c r="AG17" s="411">
        <v>1</v>
      </c>
      <c r="AH17" s="411">
        <v>1</v>
      </c>
      <c r="AI17" s="411">
        <v>1</v>
      </c>
      <c r="AJ17" s="411">
        <v>1</v>
      </c>
      <c r="AK17" s="411">
        <v>1</v>
      </c>
      <c r="AL17" s="411">
        <v>1</v>
      </c>
    </row>
    <row r="18" spans="2:38" ht="13.15" customHeight="1" x14ac:dyDescent="0.2">
      <c r="B18" s="403"/>
      <c r="C18" s="403"/>
      <c r="D18" s="411">
        <v>1</v>
      </c>
      <c r="E18" s="411">
        <v>2</v>
      </c>
      <c r="F18" s="411">
        <v>3</v>
      </c>
      <c r="G18" s="411">
        <v>4</v>
      </c>
      <c r="H18" s="411">
        <v>5</v>
      </c>
      <c r="I18" s="411">
        <v>6</v>
      </c>
      <c r="J18" s="411">
        <v>7</v>
      </c>
      <c r="K18" s="411">
        <v>8</v>
      </c>
      <c r="L18" s="411">
        <v>9</v>
      </c>
      <c r="M18" s="411">
        <v>10</v>
      </c>
      <c r="N18" s="411">
        <v>11</v>
      </c>
      <c r="O18" s="411">
        <v>12</v>
      </c>
      <c r="P18" s="411">
        <v>13</v>
      </c>
      <c r="Q18" s="411">
        <v>14</v>
      </c>
      <c r="R18" s="411">
        <v>15</v>
      </c>
      <c r="S18" s="411">
        <v>16</v>
      </c>
      <c r="T18" s="411">
        <v>17</v>
      </c>
      <c r="U18" s="411">
        <v>18</v>
      </c>
      <c r="V18" s="411">
        <v>19</v>
      </c>
      <c r="W18" s="411">
        <v>20</v>
      </c>
      <c r="X18" s="411">
        <v>21</v>
      </c>
      <c r="Y18" s="411">
        <v>22</v>
      </c>
      <c r="Z18" s="411">
        <v>23</v>
      </c>
      <c r="AA18" s="411">
        <v>24</v>
      </c>
      <c r="AB18" s="411">
        <v>25</v>
      </c>
      <c r="AC18" s="411">
        <v>26</v>
      </c>
      <c r="AD18" s="411">
        <v>27</v>
      </c>
      <c r="AE18" s="411">
        <v>28</v>
      </c>
      <c r="AF18" s="411">
        <v>29</v>
      </c>
      <c r="AG18" s="411">
        <v>30</v>
      </c>
      <c r="AH18" s="411">
        <v>31</v>
      </c>
      <c r="AI18" s="411">
        <v>32</v>
      </c>
      <c r="AJ18" s="411">
        <v>33</v>
      </c>
      <c r="AK18" s="411">
        <v>34</v>
      </c>
      <c r="AL18" s="411">
        <v>35</v>
      </c>
    </row>
    <row r="19" spans="2:38" ht="13.15" customHeight="1" x14ac:dyDescent="0.2">
      <c r="B19" s="403"/>
      <c r="C19" s="213" t="s">
        <v>71</v>
      </c>
      <c r="D19" s="213" t="s">
        <v>775</v>
      </c>
      <c r="E19" s="213" t="s">
        <v>776</v>
      </c>
      <c r="F19" s="213" t="s">
        <v>777</v>
      </c>
      <c r="G19" s="213" t="s">
        <v>778</v>
      </c>
      <c r="H19" s="213" t="s">
        <v>779</v>
      </c>
      <c r="I19" s="213" t="s">
        <v>780</v>
      </c>
      <c r="J19" s="213" t="s">
        <v>781</v>
      </c>
      <c r="K19" s="213" t="s">
        <v>782</v>
      </c>
      <c r="L19" s="213" t="s">
        <v>783</v>
      </c>
      <c r="M19" s="213" t="s">
        <v>717</v>
      </c>
      <c r="N19" s="213" t="s">
        <v>718</v>
      </c>
      <c r="O19" s="213" t="s">
        <v>719</v>
      </c>
      <c r="P19" s="213" t="s">
        <v>720</v>
      </c>
      <c r="Q19" s="213" t="s">
        <v>721</v>
      </c>
      <c r="R19" s="213" t="s">
        <v>722</v>
      </c>
      <c r="S19" s="213" t="s">
        <v>723</v>
      </c>
      <c r="T19" s="213" t="s">
        <v>724</v>
      </c>
      <c r="U19" s="213" t="s">
        <v>725</v>
      </c>
      <c r="V19" s="213" t="s">
        <v>726</v>
      </c>
      <c r="W19" s="213" t="s">
        <v>727</v>
      </c>
      <c r="X19" s="213" t="s">
        <v>728</v>
      </c>
      <c r="Y19" s="213" t="s">
        <v>729</v>
      </c>
      <c r="Z19" s="213" t="s">
        <v>730</v>
      </c>
      <c r="AA19" s="213" t="s">
        <v>731</v>
      </c>
      <c r="AB19" s="213" t="s">
        <v>732</v>
      </c>
      <c r="AC19" s="213" t="s">
        <v>733</v>
      </c>
      <c r="AD19" s="213" t="s">
        <v>734</v>
      </c>
      <c r="AE19" s="213" t="s">
        <v>735</v>
      </c>
      <c r="AF19" s="213" t="s">
        <v>736</v>
      </c>
      <c r="AG19" s="213" t="s">
        <v>737</v>
      </c>
      <c r="AH19" s="213" t="s">
        <v>738</v>
      </c>
      <c r="AI19" s="213" t="s">
        <v>739</v>
      </c>
      <c r="AJ19" s="213" t="s">
        <v>740</v>
      </c>
      <c r="AK19" s="213" t="s">
        <v>741</v>
      </c>
      <c r="AL19" s="213" t="s">
        <v>742</v>
      </c>
    </row>
    <row r="20" spans="2:38" ht="13.15" customHeight="1" x14ac:dyDescent="0.2">
      <c r="B20" s="403" t="s">
        <v>1567</v>
      </c>
      <c r="C20" s="406">
        <f>SUM(D20:AL20)</f>
        <v>107065.93502933334</v>
      </c>
      <c r="D20" s="488">
        <f>('14 - Investimentos'!E5+'14 - Investimentos'!E15+'14 - Investimentos'!E22)/1000</f>
        <v>17717.575809999998</v>
      </c>
      <c r="E20" s="488">
        <f>('14 - Investimentos'!F5+'14 - Investimentos'!F15+'14 - Investimentos'!F22)/1000</f>
        <v>87.962963333333335</v>
      </c>
      <c r="F20" s="488">
        <f>('14 - Investimentos'!G5+'14 - Investimentos'!G15+'14 - Investimentos'!G22)/1000</f>
        <v>728.73829666666677</v>
      </c>
      <c r="G20" s="488">
        <f>('14 - Investimentos'!H5+'14 - Investimentos'!H15+'14 - Investimentos'!H22)/1000</f>
        <v>0</v>
      </c>
      <c r="H20" s="488">
        <f>('14 - Investimentos'!I5+'14 - Investimentos'!I15+'14 - Investimentos'!I22)/1000</f>
        <v>873.06696333333343</v>
      </c>
      <c r="I20" s="488">
        <f>('14 - Investimentos'!J5+'14 - Investimentos'!J15+'14 - Investimentos'!J22)/1000</f>
        <v>1517.6869199999999</v>
      </c>
      <c r="J20" s="488">
        <f>('14 - Investimentos'!K5+'14 - Investimentos'!K15+'14 - Investimentos'!K22)/1000</f>
        <v>87.962963333333335</v>
      </c>
      <c r="K20" s="488">
        <f>('14 - Investimentos'!L5+'14 - Investimentos'!L15+'14 - Investimentos'!L22)/1000</f>
        <v>17352.237296666666</v>
      </c>
      <c r="L20" s="488">
        <f>('14 - Investimentos'!M5+'14 - Investimentos'!M15+'14 - Investimentos'!M22)/1000</f>
        <v>235.86799999999999</v>
      </c>
      <c r="M20" s="488">
        <f>('14 - Investimentos'!N5+'14 - Investimentos'!N15+'14 - Investimentos'!N22)/1000</f>
        <v>654.31796333333341</v>
      </c>
      <c r="N20" s="488">
        <f>('14 - Investimentos'!O5+'14 - Investimentos'!O15+'14 - Investimentos'!O22)/1000</f>
        <v>1496.8206319999999</v>
      </c>
      <c r="O20" s="488">
        <f>('14 - Investimentos'!P5+'14 - Investimentos'!P15+'14 - Investimentos'!P22)/1000</f>
        <v>87.962963333333335</v>
      </c>
      <c r="P20" s="488">
        <f>('14 - Investimentos'!Q5+'14 - Investimentos'!Q15+'14 - Investimentos'!Q22)/1000</f>
        <v>1795.1062966666668</v>
      </c>
      <c r="Q20" s="488">
        <f>('14 - Investimentos'!R5+'14 - Investimentos'!R15+'14 - Investimentos'!R22)/1000</f>
        <v>17.119</v>
      </c>
      <c r="R20" s="488">
        <f>('14 - Investimentos'!S5+'14 - Investimentos'!S15+'14 - Investimentos'!S22)/1000</f>
        <v>17260.697963333336</v>
      </c>
      <c r="S20" s="488">
        <f>('14 - Investimentos'!T5+'14 - Investimentos'!T15+'14 - Investimentos'!T22)/1000</f>
        <v>670.06791999999996</v>
      </c>
      <c r="T20" s="488">
        <f>('14 - Investimentos'!U5+'14 - Investimentos'!U15+'14 - Investimentos'!U22)/1000</f>
        <v>323.83096333333333</v>
      </c>
      <c r="U20" s="488">
        <f>('14 - Investimentos'!V5+'14 - Investimentos'!V15+'14 - Investimentos'!V22)/1000</f>
        <v>745.85729666666691</v>
      </c>
      <c r="V20" s="488">
        <f>('14 - Investimentos'!W5+'14 - Investimentos'!W15+'14 - Investimentos'!W22)/1000</f>
        <v>0</v>
      </c>
      <c r="W20" s="488">
        <f>('14 - Investimentos'!X5+'14 - Investimentos'!X15+'14 - Investimentos'!X22)/1000</f>
        <v>1467.6989633333333</v>
      </c>
      <c r="X20" s="488">
        <f>('14 - Investimentos'!Y5+'14 - Investimentos'!Y15+'14 - Investimentos'!Y22)/1000</f>
        <v>1732.6886319999999</v>
      </c>
      <c r="Y20" s="488">
        <f>('14 - Investimentos'!Z5+'14 - Investimentos'!Z15+'14 - Investimentos'!Z22)/1000</f>
        <v>16728.580963333334</v>
      </c>
      <c r="Z20" s="488">
        <f>('14 - Investimentos'!AA5+'14 - Investimentos'!AA15+'14 - Investimentos'!AA22)/1000</f>
        <v>728.73829666666688</v>
      </c>
      <c r="AA20" s="488">
        <f>('14 - Investimentos'!AB5+'14 - Investimentos'!AB15+'14 - Investimentos'!AB22)/1000</f>
        <v>0</v>
      </c>
      <c r="AB20" s="488">
        <f>('14 - Investimentos'!AC5+'14 - Investimentos'!AC15+'14 - Investimentos'!AC22)/1000</f>
        <v>873.06696333333343</v>
      </c>
      <c r="AC20" s="488">
        <f>('14 - Investimentos'!AD5+'14 - Investimentos'!AD15+'14 - Investimentos'!AD22)/1000</f>
        <v>687.18691999999987</v>
      </c>
      <c r="AD20" s="488">
        <f>('14 - Investimentos'!AE5+'14 - Investimentos'!AE15+'14 - Investimentos'!AE22)/1000</f>
        <v>918.46296333333339</v>
      </c>
      <c r="AE20" s="488">
        <f>('14 - Investimentos'!AF5+'14 - Investimentos'!AF15+'14 - Investimentos'!AF22)/1000</f>
        <v>728.73829666666688</v>
      </c>
      <c r="AF20" s="488">
        <f>('14 - Investimentos'!AG5+'14 - Investimentos'!AG15+'14 - Investimentos'!AG22)/1000</f>
        <v>16859.366999999998</v>
      </c>
      <c r="AG20" s="488">
        <f>('14 - Investimentos'!AH5+'14 - Investimentos'!AH15+'14 - Investimentos'!AH22)/1000</f>
        <v>654.31796333333341</v>
      </c>
      <c r="AH20" s="488">
        <f>('14 - Investimentos'!AI5+'14 - Investimentos'!AI15+'14 - Investimentos'!AI22)/1000</f>
        <v>1496.8206319999999</v>
      </c>
      <c r="AI20" s="488">
        <f>('14 - Investimentos'!AJ5+'14 - Investimentos'!AJ15+'14 - Investimentos'!AJ22)/1000</f>
        <v>87.962963333333335</v>
      </c>
      <c r="AJ20" s="488">
        <f>('14 - Investimentos'!AK5+'14 - Investimentos'!AK15+'14 - Investimentos'!AK22)/1000</f>
        <v>964.60629666666682</v>
      </c>
      <c r="AK20" s="488">
        <f>('14 - Investimentos'!AL5+'14 - Investimentos'!AL15+'14 - Investimentos'!AL22)/1000</f>
        <v>847.61900000000003</v>
      </c>
      <c r="AL20" s="488">
        <f>('14 - Investimentos'!AM5+'14 - Investimentos'!AM15+'14 - Investimentos'!AM22)/1000</f>
        <v>637.19896333333338</v>
      </c>
    </row>
    <row r="21" spans="2:38" ht="13.15" customHeight="1" x14ac:dyDescent="0.2">
      <c r="B21" s="403" t="s">
        <v>1350</v>
      </c>
      <c r="C21" s="406">
        <f>SUM(D21:AL21)</f>
        <v>1424769.2955175228</v>
      </c>
      <c r="D21" s="488">
        <f>'17 - Custos'!F7</f>
        <v>39045.500256062063</v>
      </c>
      <c r="E21" s="488">
        <f>'17 - Custos'!G7</f>
        <v>39216.749725271802</v>
      </c>
      <c r="F21" s="488">
        <f>'17 - Custos'!H7</f>
        <v>39328.381826783436</v>
      </c>
      <c r="G21" s="488">
        <f>'17 - Custos'!I7</f>
        <v>39172.795900937846</v>
      </c>
      <c r="H21" s="488">
        <f>'17 - Custos'!J7</f>
        <v>39308.800376431776</v>
      </c>
      <c r="I21" s="488">
        <f>'17 - Custos'!K7</f>
        <v>40317.965965320516</v>
      </c>
      <c r="J21" s="488">
        <f>'17 - Custos'!L7</f>
        <v>40421.98079446108</v>
      </c>
      <c r="K21" s="488">
        <f>'17 - Custos'!M7</f>
        <v>40942.93036579348</v>
      </c>
      <c r="L21" s="488">
        <f>'17 - Custos'!N7</f>
        <v>40993.141786238055</v>
      </c>
      <c r="M21" s="488">
        <f>'17 - Custos'!O7</f>
        <v>40956.349735999502</v>
      </c>
      <c r="N21" s="488">
        <f>'17 - Custos'!P7</f>
        <v>40918.548002003146</v>
      </c>
      <c r="O21" s="488">
        <f>'17 - Custos'!Q7</f>
        <v>40903.824385375679</v>
      </c>
      <c r="P21" s="488">
        <f>'17 - Custos'!R7</f>
        <v>40952.087058626188</v>
      </c>
      <c r="Q21" s="488">
        <f>'17 - Custos'!S7</f>
        <v>41000.349731876697</v>
      </c>
      <c r="R21" s="488">
        <f>'17 - Custos'!T7</f>
        <v>41048.612405127198</v>
      </c>
      <c r="S21" s="488">
        <f>'17 - Custos'!U7</f>
        <v>41096.875078377707</v>
      </c>
      <c r="T21" s="488">
        <f>'17 - Custos'!V7</f>
        <v>41114.107554438902</v>
      </c>
      <c r="U21" s="488">
        <f>'17 - Custos'!W7</f>
        <v>41131.386197185326</v>
      </c>
      <c r="V21" s="488">
        <f>'17 - Custos'!X7</f>
        <v>41148.66301800323</v>
      </c>
      <c r="W21" s="488">
        <f>'17 - Custos'!Y7</f>
        <v>41165.895494064418</v>
      </c>
      <c r="X21" s="488">
        <f>'17 - Custos'!Z7</f>
        <v>41183.174136810841</v>
      </c>
      <c r="Y21" s="488">
        <f>'17 - Custos'!AA7</f>
        <v>41173.388069983295</v>
      </c>
      <c r="Z21" s="488">
        <f>'17 - Custos'!AB7</f>
        <v>41163.602003155764</v>
      </c>
      <c r="AA21" s="488">
        <f>'17 - Custos'!AC7</f>
        <v>41153.815936328218</v>
      </c>
      <c r="AB21" s="488">
        <f>'17 - Custos'!AD7</f>
        <v>41143.983702815472</v>
      </c>
      <c r="AC21" s="488">
        <f>'17 - Custos'!AE7</f>
        <v>41134.15329123121</v>
      </c>
      <c r="AD21" s="488">
        <f>'17 - Custos'!AF7</f>
        <v>41044.956958027651</v>
      </c>
      <c r="AE21" s="488">
        <f>'17 - Custos'!AG7</f>
        <v>41009.011296045435</v>
      </c>
      <c r="AF21" s="488">
        <f>'17 - Custos'!AH7</f>
        <v>40973.065634063212</v>
      </c>
      <c r="AG21" s="488">
        <f>'17 - Custos'!AI7</f>
        <v>40937.121794009487</v>
      </c>
      <c r="AH21" s="488">
        <f>'17 - Custos'!AJ7</f>
        <v>40899.862764931422</v>
      </c>
      <c r="AI21" s="488">
        <f>'17 - Custos'!AK7</f>
        <v>40832.721444785653</v>
      </c>
      <c r="AJ21" s="488">
        <f>'17 - Custos'!AL7</f>
        <v>40712.339987308122</v>
      </c>
      <c r="AK21" s="488">
        <f>'17 - Custos'!AM7</f>
        <v>40645.118769609981</v>
      </c>
      <c r="AL21" s="488">
        <f>'17 - Custos'!AN7</f>
        <v>40578.034070038972</v>
      </c>
    </row>
    <row r="22" spans="2:38" ht="13.15" customHeight="1" x14ac:dyDescent="0.2">
      <c r="B22" s="403" t="s">
        <v>1568</v>
      </c>
      <c r="C22" s="406">
        <f>SUM(D22:AL22)</f>
        <v>42218.184770149441</v>
      </c>
      <c r="D22" s="488">
        <f>-SUM('28 - Imposto de Renda'!C12:C13)</f>
        <v>251.65343858883637</v>
      </c>
      <c r="E22" s="488">
        <f>-SUM('28 - Imposto de Renda'!D12:D13)</f>
        <v>0</v>
      </c>
      <c r="F22" s="488">
        <f>-SUM('28 - Imposto de Renda'!E12:E13)</f>
        <v>0</v>
      </c>
      <c r="G22" s="488">
        <f>-SUM('28 - Imposto de Renda'!F12:F13)</f>
        <v>0</v>
      </c>
      <c r="H22" s="488">
        <f>-SUM('28 - Imposto de Renda'!G12:G13)</f>
        <v>0</v>
      </c>
      <c r="I22" s="488">
        <f>-SUM('28 - Imposto de Renda'!H12:H13)</f>
        <v>1257.4325444280778</v>
      </c>
      <c r="J22" s="488">
        <f>-SUM('28 - Imposto de Renda'!I12:I13)</f>
        <v>645.61906722263018</v>
      </c>
      <c r="K22" s="488">
        <f>-SUM('28 - Imposto de Renda'!J12:J13)</f>
        <v>413.78739689576213</v>
      </c>
      <c r="L22" s="488">
        <f>-SUM('28 - Imposto de Renda'!K12:K13)</f>
        <v>46.670655268156537</v>
      </c>
      <c r="M22" s="488">
        <f>-SUM('28 - Imposto de Renda'!L12:L13)</f>
        <v>235.90012091845188</v>
      </c>
      <c r="N22" s="488">
        <f>-SUM('28 - Imposto de Renda'!M12:M13)</f>
        <v>296.1151120443235</v>
      </c>
      <c r="O22" s="488">
        <f>-SUM('28 - Imposto de Renda'!N12:N13)</f>
        <v>220.53827968687568</v>
      </c>
      <c r="P22" s="488">
        <f>-SUM('28 - Imposto de Renda'!O12:O13)</f>
        <v>2318.1573380132154</v>
      </c>
      <c r="Q22" s="488">
        <f>-SUM('28 - Imposto de Renda'!P12:P13)</f>
        <v>1464.5244124529622</v>
      </c>
      <c r="R22" s="488">
        <f>-SUM('28 - Imposto de Renda'!Q12:Q13)</f>
        <v>1177.2138932794801</v>
      </c>
      <c r="S22" s="488">
        <f>-SUM('28 - Imposto de Renda'!R12:R13)</f>
        <v>634.09087621875847</v>
      </c>
      <c r="T22" s="488">
        <f>-SUM('28 - Imposto de Renda'!S12:S13)</f>
        <v>686.91849800929162</v>
      </c>
      <c r="U22" s="488">
        <f>-SUM('28 - Imposto de Renda'!T12:T13)</f>
        <v>946.29496939049739</v>
      </c>
      <c r="V22" s="488">
        <f>-SUM('28 - Imposto de Renda'!U12:U13)</f>
        <v>919.56636747211769</v>
      </c>
      <c r="W22" s="488">
        <f>-SUM('28 - Imposto de Renda'!V12:V13)</f>
        <v>3031.2351970556842</v>
      </c>
      <c r="X22" s="488">
        <f>-SUM('28 - Imposto de Renda'!W12:W13)</f>
        <v>1793.775084921278</v>
      </c>
      <c r="Y22" s="488">
        <f>-SUM('28 - Imposto de Renda'!X12:X13)</f>
        <v>1145.3252527830659</v>
      </c>
      <c r="Z22" s="488">
        <f>-SUM('28 - Imposto de Renda'!Y12:Y13)</f>
        <v>456.79395508130807</v>
      </c>
      <c r="AA22" s="488">
        <f>-SUM('28 - Imposto de Renda'!Z12:Z13)</f>
        <v>543.7868828361577</v>
      </c>
      <c r="AB22" s="488">
        <f>-SUM('28 - Imposto de Renda'!AA12:AA13)</f>
        <v>737.9990611449897</v>
      </c>
      <c r="AC22" s="488">
        <f>-SUM('28 - Imposto de Renda'!AB12:AB13)</f>
        <v>873.77733228755005</v>
      </c>
      <c r="AD22" s="488">
        <f>-SUM('28 - Imposto de Renda'!AC12:AC13)</f>
        <v>2912.9642102341768</v>
      </c>
      <c r="AE22" s="488">
        <f>-SUM('28 - Imposto de Renda'!AD12:AD13)</f>
        <v>1990.5083501381218</v>
      </c>
      <c r="AF22" s="488">
        <f>-SUM('28 - Imposto de Renda'!AE12:AE13)</f>
        <v>2696.520878199929</v>
      </c>
      <c r="AG22" s="488">
        <f>-SUM('28 - Imposto de Renda'!AF12:AF13)</f>
        <v>1147.1193244299602</v>
      </c>
      <c r="AH22" s="488">
        <f>-SUM('28 - Imposto de Renda'!AG12:AG13)</f>
        <v>2496.9107556559279</v>
      </c>
      <c r="AI22" s="488">
        <f>-SUM('28 - Imposto de Renda'!AH12:AH13)</f>
        <v>2480.8605277843362</v>
      </c>
      <c r="AJ22" s="488">
        <f>-SUM('28 - Imposto de Renda'!AI12:AI13)</f>
        <v>2470.3597962037734</v>
      </c>
      <c r="AK22" s="488">
        <f>-SUM('28 - Imposto de Renda'!AJ12:AJ13)</f>
        <v>3492.6309352978788</v>
      </c>
      <c r="AL22" s="488">
        <f>-SUM('28 - Imposto de Renda'!AK12:AK13)</f>
        <v>2433.1342562058562</v>
      </c>
    </row>
    <row r="23" spans="2:38" ht="13.15" customHeight="1" x14ac:dyDescent="0.2">
      <c r="B23" s="8" t="s">
        <v>1569</v>
      </c>
      <c r="C23" s="203">
        <f>SUM(D23:AL23)</f>
        <v>1574053.4153170057</v>
      </c>
      <c r="D23" s="248">
        <f>SUM(D20:D22)</f>
        <v>57014.729504650895</v>
      </c>
      <c r="E23" s="248">
        <f t="shared" ref="E23:AL23" si="7">SUM(E20:E22)</f>
        <v>39304.712688605134</v>
      </c>
      <c r="F23" s="248">
        <f t="shared" si="7"/>
        <v>40057.120123450106</v>
      </c>
      <c r="G23" s="248">
        <f t="shared" si="7"/>
        <v>39172.795900937846</v>
      </c>
      <c r="H23" s="248">
        <f t="shared" si="7"/>
        <v>40181.867339765107</v>
      </c>
      <c r="I23" s="248">
        <f t="shared" si="7"/>
        <v>43093.085429748593</v>
      </c>
      <c r="J23" s="248">
        <f t="shared" si="7"/>
        <v>41155.562825017041</v>
      </c>
      <c r="K23" s="248">
        <f t="shared" si="7"/>
        <v>58708.955059355911</v>
      </c>
      <c r="L23" s="248">
        <f t="shared" si="7"/>
        <v>41275.680441506214</v>
      </c>
      <c r="M23" s="248">
        <f t="shared" si="7"/>
        <v>41846.567820251286</v>
      </c>
      <c r="N23" s="248">
        <f t="shared" si="7"/>
        <v>42711.483746047474</v>
      </c>
      <c r="O23" s="248">
        <f t="shared" si="7"/>
        <v>41212.325628395884</v>
      </c>
      <c r="P23" s="248">
        <f t="shared" si="7"/>
        <v>45065.350693306071</v>
      </c>
      <c r="Q23" s="248">
        <f t="shared" si="7"/>
        <v>42481.993144329659</v>
      </c>
      <c r="R23" s="248">
        <f t="shared" si="7"/>
        <v>59486.524261740007</v>
      </c>
      <c r="S23" s="248">
        <f t="shared" si="7"/>
        <v>42401.033874596469</v>
      </c>
      <c r="T23" s="248">
        <f t="shared" si="7"/>
        <v>42124.857015781527</v>
      </c>
      <c r="U23" s="248">
        <f t="shared" si="7"/>
        <v>42823.53846324249</v>
      </c>
      <c r="V23" s="248">
        <f t="shared" si="7"/>
        <v>42068.229385475344</v>
      </c>
      <c r="W23" s="248">
        <f t="shared" si="7"/>
        <v>45664.829654453439</v>
      </c>
      <c r="X23" s="248">
        <f t="shared" si="7"/>
        <v>44709.637853732114</v>
      </c>
      <c r="Y23" s="248">
        <f t="shared" si="7"/>
        <v>59047.294286099692</v>
      </c>
      <c r="Z23" s="248">
        <f t="shared" si="7"/>
        <v>42349.134254903744</v>
      </c>
      <c r="AA23" s="248">
        <f t="shared" si="7"/>
        <v>41697.602819164378</v>
      </c>
      <c r="AB23" s="248">
        <f t="shared" si="7"/>
        <v>42755.049727293794</v>
      </c>
      <c r="AC23" s="248">
        <f t="shared" si="7"/>
        <v>42695.117543518762</v>
      </c>
      <c r="AD23" s="248">
        <f t="shared" si="7"/>
        <v>44876.384131595158</v>
      </c>
      <c r="AE23" s="248">
        <f t="shared" si="7"/>
        <v>43728.257942850229</v>
      </c>
      <c r="AF23" s="248">
        <f t="shared" si="7"/>
        <v>60528.953512263142</v>
      </c>
      <c r="AG23" s="248">
        <f t="shared" si="7"/>
        <v>42738.559081772779</v>
      </c>
      <c r="AH23" s="248">
        <f t="shared" si="7"/>
        <v>44893.59415258735</v>
      </c>
      <c r="AI23" s="248">
        <f t="shared" si="7"/>
        <v>43401.544935903323</v>
      </c>
      <c r="AJ23" s="248">
        <f t="shared" si="7"/>
        <v>44147.306080178561</v>
      </c>
      <c r="AK23" s="248">
        <f t="shared" si="7"/>
        <v>44985.368704907858</v>
      </c>
      <c r="AL23" s="248">
        <f t="shared" si="7"/>
        <v>43648.367289578164</v>
      </c>
    </row>
    <row r="24" spans="2:38" ht="13.15" customHeight="1" x14ac:dyDescent="0.2">
      <c r="B24" s="403"/>
      <c r="C24" s="403"/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403"/>
      <c r="AA24" s="403"/>
      <c r="AB24" s="403"/>
      <c r="AC24" s="403"/>
      <c r="AD24" s="403"/>
      <c r="AE24" s="403"/>
      <c r="AF24" s="403"/>
      <c r="AG24" s="403"/>
      <c r="AH24" s="403"/>
      <c r="AI24" s="403"/>
      <c r="AJ24" s="403"/>
      <c r="AK24" s="403"/>
      <c r="AL24" s="488"/>
    </row>
    <row r="25" spans="2:38" ht="13.15" customHeight="1" x14ac:dyDescent="0.2">
      <c r="B25" s="8" t="s">
        <v>1570</v>
      </c>
      <c r="C25" s="403"/>
      <c r="D25" s="403"/>
      <c r="E25" s="403"/>
      <c r="F25" s="403"/>
      <c r="G25" s="403"/>
      <c r="H25" s="403"/>
      <c r="I25" s="403"/>
      <c r="J25" s="403"/>
      <c r="K25" s="403"/>
      <c r="L25" s="403"/>
      <c r="M25" s="403"/>
      <c r="N25" s="403"/>
      <c r="O25" s="403"/>
      <c r="P25" s="403"/>
      <c r="Q25" s="403"/>
      <c r="R25" s="403"/>
      <c r="S25" s="403"/>
      <c r="T25" s="403"/>
      <c r="U25" s="403"/>
      <c r="V25" s="403"/>
      <c r="W25" s="403"/>
      <c r="X25" s="403"/>
      <c r="Y25" s="403"/>
      <c r="Z25" s="403"/>
      <c r="AA25" s="403"/>
      <c r="AB25" s="403"/>
      <c r="AC25" s="403"/>
      <c r="AD25" s="403"/>
      <c r="AE25" s="403"/>
      <c r="AF25" s="403"/>
      <c r="AG25" s="403"/>
      <c r="AH25" s="403"/>
      <c r="AI25" s="403"/>
      <c r="AJ25" s="403"/>
      <c r="AK25" s="403"/>
      <c r="AL25" s="488"/>
    </row>
    <row r="26" spans="2:38" ht="13.15" customHeight="1" x14ac:dyDescent="0.2">
      <c r="B26" s="403"/>
      <c r="C26" s="403"/>
      <c r="D26" s="403"/>
      <c r="E26" s="403"/>
      <c r="F26" s="403"/>
      <c r="G26" s="403"/>
      <c r="H26" s="403"/>
      <c r="I26" s="403"/>
      <c r="J26" s="403"/>
      <c r="K26" s="403"/>
      <c r="L26" s="403"/>
      <c r="M26" s="403"/>
      <c r="N26" s="403"/>
      <c r="O26" s="403"/>
      <c r="P26" s="403"/>
      <c r="Q26" s="403"/>
      <c r="R26" s="403"/>
      <c r="S26" s="403"/>
      <c r="T26" s="403"/>
      <c r="U26" s="403"/>
      <c r="V26" s="403"/>
      <c r="W26" s="403"/>
      <c r="X26" s="403"/>
      <c r="Y26" s="403"/>
      <c r="Z26" s="403"/>
      <c r="AA26" s="403"/>
      <c r="AB26" s="403"/>
      <c r="AC26" s="403"/>
      <c r="AD26" s="403"/>
      <c r="AE26" s="403"/>
      <c r="AF26" s="403"/>
      <c r="AG26" s="403"/>
      <c r="AH26" s="403"/>
      <c r="AI26" s="403"/>
      <c r="AJ26" s="403"/>
      <c r="AK26" s="403"/>
      <c r="AL26" s="488"/>
    </row>
    <row r="27" spans="2:38" ht="13.15" customHeight="1" x14ac:dyDescent="0.2">
      <c r="B27" s="589" t="s">
        <v>1571</v>
      </c>
      <c r="C27" s="403"/>
      <c r="D27" s="403"/>
      <c r="E27" s="403"/>
      <c r="F27" s="403"/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403"/>
      <c r="U27" s="403"/>
      <c r="V27" s="403"/>
      <c r="W27" s="403"/>
      <c r="X27" s="403"/>
      <c r="Y27" s="403"/>
      <c r="Z27" s="403"/>
      <c r="AA27" s="403"/>
      <c r="AB27" s="403"/>
      <c r="AC27" s="403"/>
      <c r="AD27" s="403"/>
      <c r="AE27" s="403"/>
      <c r="AF27" s="403"/>
      <c r="AG27" s="403"/>
      <c r="AH27" s="403"/>
      <c r="AI27" s="403"/>
      <c r="AJ27" s="403"/>
      <c r="AK27" s="403"/>
      <c r="AL27" s="488"/>
    </row>
    <row r="28" spans="2:38" ht="13.15" customHeight="1" x14ac:dyDescent="0.2">
      <c r="B28" s="589" t="s">
        <v>1561</v>
      </c>
      <c r="C28" s="403"/>
      <c r="D28" s="403"/>
      <c r="E28" s="403"/>
      <c r="F28" s="403"/>
      <c r="G28" s="403"/>
      <c r="H28" s="403"/>
      <c r="I28" s="403"/>
      <c r="J28" s="403"/>
      <c r="K28" s="403"/>
      <c r="L28" s="403"/>
      <c r="M28" s="403"/>
      <c r="N28" s="403"/>
      <c r="O28" s="403"/>
      <c r="P28" s="403"/>
      <c r="Q28" s="403"/>
      <c r="R28" s="403"/>
      <c r="S28" s="403"/>
      <c r="T28" s="403"/>
      <c r="U28" s="403"/>
      <c r="V28" s="403"/>
      <c r="W28" s="403"/>
      <c r="X28" s="403"/>
      <c r="Y28" s="403"/>
      <c r="Z28" s="403"/>
      <c r="AA28" s="403"/>
      <c r="AB28" s="403"/>
      <c r="AC28" s="403"/>
      <c r="AD28" s="403"/>
      <c r="AE28" s="403"/>
      <c r="AF28" s="403"/>
      <c r="AG28" s="403"/>
      <c r="AH28" s="403"/>
      <c r="AI28" s="403"/>
      <c r="AJ28" s="403"/>
      <c r="AK28" s="403"/>
      <c r="AL28" s="488"/>
    </row>
    <row r="29" spans="2:38" ht="13.15" customHeight="1" x14ac:dyDescent="0.2">
      <c r="B29" s="588">
        <f>D7</f>
        <v>0.11749999999999999</v>
      </c>
      <c r="C29" s="403"/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403"/>
      <c r="S29" s="403"/>
      <c r="T29" s="403"/>
      <c r="U29" s="403"/>
      <c r="V29" s="403"/>
      <c r="W29" s="403"/>
      <c r="X29" s="403"/>
      <c r="Y29" s="403"/>
      <c r="Z29" s="403"/>
      <c r="AA29" s="403"/>
      <c r="AB29" s="403"/>
      <c r="AC29" s="403"/>
      <c r="AD29" s="403"/>
      <c r="AE29" s="403"/>
      <c r="AF29" s="403"/>
      <c r="AG29" s="403"/>
      <c r="AH29" s="403"/>
      <c r="AI29" s="403"/>
      <c r="AJ29" s="403"/>
      <c r="AK29" s="403"/>
      <c r="AL29" s="488"/>
    </row>
    <row r="30" spans="2:38" ht="13.15" customHeight="1" x14ac:dyDescent="0.2">
      <c r="B30" s="403"/>
      <c r="C30" s="403"/>
      <c r="D30" s="590">
        <f t="shared" ref="D30:AL30" si="8">(1/(1+IF($B27&lt;&gt;1,$B29,INDEX($B$4:$B$10,MATCH($B28,D$4:D$10,0))))^D18)*D$17</f>
        <v>0.89485458612975399</v>
      </c>
      <c r="E30" s="590">
        <f t="shared" si="8"/>
        <v>0.80076473031745321</v>
      </c>
      <c r="F30" s="590">
        <f t="shared" si="8"/>
        <v>0.71656799133552873</v>
      </c>
      <c r="G30" s="590">
        <f t="shared" si="8"/>
        <v>0.64122415332038363</v>
      </c>
      <c r="H30" s="590">
        <f t="shared" si="8"/>
        <v>0.57380237433591375</v>
      </c>
      <c r="I30" s="590">
        <f t="shared" si="8"/>
        <v>0.51346968620663425</v>
      </c>
      <c r="J30" s="590">
        <f t="shared" si="8"/>
        <v>0.45948070354061238</v>
      </c>
      <c r="K30" s="590">
        <f t="shared" si="8"/>
        <v>0.41116841480144284</v>
      </c>
      <c r="L30" s="590">
        <f t="shared" si="8"/>
        <v>0.36793594165677213</v>
      </c>
      <c r="M30" s="590">
        <f t="shared" si="8"/>
        <v>0.32924916479353211</v>
      </c>
      <c r="N30" s="590">
        <f t="shared" si="8"/>
        <v>0.2946301250948834</v>
      </c>
      <c r="O30" s="590">
        <f t="shared" si="8"/>
        <v>0.26365111865313945</v>
      </c>
      <c r="P30" s="590">
        <f t="shared" si="8"/>
        <v>0.23592941266500175</v>
      </c>
      <c r="Q30" s="590">
        <f t="shared" si="8"/>
        <v>0.21112251692617606</v>
      </c>
      <c r="R30" s="590">
        <f t="shared" si="8"/>
        <v>0.18892395250664532</v>
      </c>
      <c r="S30" s="590">
        <f t="shared" si="8"/>
        <v>0.16905946533033134</v>
      </c>
      <c r="T30" s="590">
        <f t="shared" si="8"/>
        <v>0.15128363787949115</v>
      </c>
      <c r="U30" s="590">
        <f t="shared" si="8"/>
        <v>0.13537685716285561</v>
      </c>
      <c r="V30" s="590">
        <f t="shared" si="8"/>
        <v>0.12114260148801399</v>
      </c>
      <c r="W30" s="590">
        <f t="shared" si="8"/>
        <v>0.10840501251723846</v>
      </c>
      <c r="X30" s="590">
        <f t="shared" si="8"/>
        <v>9.7006722610504206E-2</v>
      </c>
      <c r="Y30" s="590">
        <f t="shared" si="8"/>
        <v>8.6806910613426588E-2</v>
      </c>
      <c r="Z30" s="590">
        <f t="shared" si="8"/>
        <v>7.7679562070180425E-2</v>
      </c>
      <c r="AA30" s="590">
        <f t="shared" si="8"/>
        <v>6.9511912367051815E-2</v>
      </c>
      <c r="AB30" s="590">
        <f t="shared" si="8"/>
        <v>6.2203053572305884E-2</v>
      </c>
      <c r="AC30" s="590">
        <f t="shared" si="8"/>
        <v>5.5662687760452696E-2</v>
      </c>
      <c r="AD30" s="590">
        <f t="shared" si="8"/>
        <v>4.9810011418749627E-2</v>
      </c>
      <c r="AE30" s="590">
        <f t="shared" si="8"/>
        <v>4.4572717153243506E-2</v>
      </c>
      <c r="AF30" s="590">
        <f t="shared" si="8"/>
        <v>3.98861003608443E-2</v>
      </c>
      <c r="AG30" s="590">
        <f t="shared" si="8"/>
        <v>3.5692259830733153E-2</v>
      </c>
      <c r="AH30" s="590">
        <f t="shared" si="8"/>
        <v>3.1939382398866366E-2</v>
      </c>
      <c r="AI30" s="590">
        <f t="shared" si="8"/>
        <v>2.8581102817777509E-2</v>
      </c>
      <c r="AJ30" s="590">
        <f t="shared" si="8"/>
        <v>2.5575930933134237E-2</v>
      </c>
      <c r="AK30" s="590">
        <f t="shared" si="8"/>
        <v>2.288673909005301E-2</v>
      </c>
      <c r="AL30" s="590">
        <f t="shared" si="8"/>
        <v>2.0480303436289048E-2</v>
      </c>
    </row>
    <row r="32" spans="2:38" ht="13.15" customHeight="1" x14ac:dyDescent="0.2">
      <c r="B32" s="250" t="s">
        <v>1572</v>
      </c>
      <c r="C32" s="406">
        <f>SUM(D32:AL32)</f>
        <v>371725.90948353923</v>
      </c>
      <c r="D32" s="488">
        <f t="shared" ref="D32:AL32" si="9">D23*D30</f>
        <v>51019.89217418425</v>
      </c>
      <c r="E32" s="488">
        <f t="shared" si="9"/>
        <v>31473.827656295871</v>
      </c>
      <c r="F32" s="488">
        <f t="shared" si="9"/>
        <v>28703.650105546629</v>
      </c>
      <c r="G32" s="488">
        <f t="shared" si="9"/>
        <v>25118.542884771065</v>
      </c>
      <c r="H32" s="488">
        <f t="shared" si="9"/>
        <v>23056.450884807924</v>
      </c>
      <c r="I32" s="488">
        <f t="shared" si="9"/>
        <v>22126.993053288694</v>
      </c>
      <c r="J32" s="488">
        <f t="shared" si="9"/>
        <v>18910.186961448704</v>
      </c>
      <c r="K32" s="488">
        <f t="shared" si="9"/>
        <v>24139.267986404517</v>
      </c>
      <c r="L32" s="488">
        <f t="shared" si="9"/>
        <v>15186.806350769601</v>
      </c>
      <c r="M32" s="488">
        <f t="shared" si="9"/>
        <v>13777.947504293634</v>
      </c>
      <c r="N32" s="488">
        <f t="shared" si="9"/>
        <v>12584.089799086047</v>
      </c>
      <c r="O32" s="488">
        <f t="shared" si="9"/>
        <v>10865.675754224023</v>
      </c>
      <c r="P32" s="488">
        <f t="shared" si="9"/>
        <v>10632.241720614031</v>
      </c>
      <c r="Q32" s="488">
        <f t="shared" si="9"/>
        <v>8968.9053166714348</v>
      </c>
      <c r="R32" s="488">
        <f t="shared" si="9"/>
        <v>11238.429284410373</v>
      </c>
      <c r="S32" s="488">
        <f t="shared" si="9"/>
        <v>7168.2961162925467</v>
      </c>
      <c r="T32" s="488">
        <f t="shared" si="9"/>
        <v>6372.8016145008341</v>
      </c>
      <c r="U32" s="488">
        <f t="shared" si="9"/>
        <v>5797.3160497464314</v>
      </c>
      <c r="V32" s="488">
        <f t="shared" si="9"/>
        <v>5096.2547477509997</v>
      </c>
      <c r="W32" s="488">
        <f t="shared" si="9"/>
        <v>4950.2964302885866</v>
      </c>
      <c r="X32" s="488">
        <f t="shared" si="9"/>
        <v>4337.13543729309</v>
      </c>
      <c r="Y32" s="488">
        <f t="shared" si="9"/>
        <v>5125.7131970581504</v>
      </c>
      <c r="Z32" s="488">
        <f t="shared" si="9"/>
        <v>3289.6622029721993</v>
      </c>
      <c r="AA32" s="488">
        <f t="shared" si="9"/>
        <v>2898.4801130818869</v>
      </c>
      <c r="AB32" s="488">
        <f t="shared" si="9"/>
        <v>2659.494648673458</v>
      </c>
      <c r="AC32" s="488">
        <f t="shared" si="9"/>
        <v>2376.524996720711</v>
      </c>
      <c r="AD32" s="488">
        <f t="shared" si="9"/>
        <v>2235.2932060269495</v>
      </c>
      <c r="AE32" s="488">
        <f t="shared" si="9"/>
        <v>1949.087272890737</v>
      </c>
      <c r="AF32" s="488">
        <f t="shared" si="9"/>
        <v>2414.2639145270068</v>
      </c>
      <c r="AG32" s="488">
        <f t="shared" si="9"/>
        <v>1525.4357555377742</v>
      </c>
      <c r="AH32" s="488">
        <f t="shared" si="9"/>
        <v>1433.8736708989984</v>
      </c>
      <c r="AI32" s="488">
        <f t="shared" si="9"/>
        <v>1240.4640182634437</v>
      </c>
      <c r="AJ32" s="488">
        <f t="shared" si="9"/>
        <v>1129.108451190584</v>
      </c>
      <c r="AK32" s="488">
        <f t="shared" si="9"/>
        <v>1029.5683964190621</v>
      </c>
      <c r="AL32" s="488">
        <f t="shared" si="9"/>
        <v>893.93180658915412</v>
      </c>
    </row>
    <row r="34" spans="2:38" ht="13.15" customHeight="1" x14ac:dyDescent="0.2">
      <c r="B34" s="406" t="s">
        <v>1573</v>
      </c>
      <c r="C34" s="406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8"/>
      <c r="T34" s="488"/>
      <c r="U34" s="488"/>
      <c r="V34" s="488"/>
      <c r="W34" s="488"/>
      <c r="X34" s="488"/>
      <c r="Y34" s="488"/>
      <c r="Z34" s="488"/>
      <c r="AA34" s="488"/>
      <c r="AB34" s="488"/>
      <c r="AC34" s="488"/>
      <c r="AD34" s="488"/>
      <c r="AE34" s="488"/>
      <c r="AF34" s="488"/>
      <c r="AG34" s="488"/>
      <c r="AH34" s="488"/>
      <c r="AI34" s="488"/>
      <c r="AJ34" s="488"/>
      <c r="AK34" s="488"/>
      <c r="AL34" s="488"/>
    </row>
    <row r="35" spans="2:38" ht="13.15" customHeight="1" x14ac:dyDescent="0.2">
      <c r="B35" s="403"/>
      <c r="C35" s="406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  <c r="P35" s="488"/>
      <c r="Q35" s="488"/>
      <c r="R35" s="488"/>
      <c r="S35" s="488"/>
      <c r="T35" s="488"/>
      <c r="U35" s="488"/>
      <c r="V35" s="488"/>
      <c r="W35" s="488"/>
      <c r="X35" s="488"/>
      <c r="Y35" s="488"/>
      <c r="Z35" s="488"/>
      <c r="AA35" s="488"/>
      <c r="AB35" s="488"/>
      <c r="AC35" s="488"/>
      <c r="AD35" s="488"/>
      <c r="AE35" s="488"/>
      <c r="AF35" s="488"/>
      <c r="AG35" s="488"/>
      <c r="AH35" s="488"/>
      <c r="AI35" s="488"/>
      <c r="AJ35" s="488"/>
      <c r="AK35" s="488"/>
      <c r="AL35" s="488"/>
    </row>
    <row r="36" spans="2:38" ht="13.15" customHeight="1" x14ac:dyDescent="0.2">
      <c r="B36" s="250" t="s">
        <v>1408</v>
      </c>
      <c r="C36" s="406"/>
      <c r="D36" s="488"/>
      <c r="E36" s="488"/>
      <c r="F36" s="488"/>
      <c r="G36" s="488"/>
      <c r="H36" s="488"/>
      <c r="I36" s="488"/>
      <c r="J36" s="488"/>
      <c r="K36" s="488"/>
      <c r="L36" s="488"/>
      <c r="M36" s="488"/>
      <c r="N36" s="488"/>
      <c r="O36" s="488"/>
      <c r="P36" s="488"/>
      <c r="Q36" s="488"/>
      <c r="R36" s="488"/>
      <c r="S36" s="488"/>
      <c r="T36" s="488"/>
      <c r="U36" s="488"/>
      <c r="V36" s="488"/>
      <c r="W36" s="488"/>
      <c r="X36" s="488"/>
      <c r="Y36" s="488"/>
      <c r="Z36" s="488"/>
      <c r="AA36" s="488"/>
      <c r="AB36" s="488"/>
      <c r="AC36" s="488"/>
      <c r="AD36" s="488"/>
      <c r="AE36" s="488"/>
      <c r="AF36" s="488"/>
      <c r="AG36" s="488"/>
      <c r="AH36" s="488"/>
      <c r="AI36" s="488"/>
      <c r="AJ36" s="488"/>
      <c r="AK36" s="488"/>
      <c r="AL36" s="488"/>
    </row>
    <row r="37" spans="2:38" ht="13.15" customHeight="1" x14ac:dyDescent="0.2">
      <c r="B37" s="403"/>
      <c r="C37" s="213" t="s">
        <v>71</v>
      </c>
      <c r="D37" s="213" t="s">
        <v>775</v>
      </c>
      <c r="E37" s="213" t="s">
        <v>776</v>
      </c>
      <c r="F37" s="213" t="s">
        <v>777</v>
      </c>
      <c r="G37" s="213" t="s">
        <v>778</v>
      </c>
      <c r="H37" s="213" t="s">
        <v>779</v>
      </c>
      <c r="I37" s="213" t="s">
        <v>780</v>
      </c>
      <c r="J37" s="213" t="s">
        <v>781</v>
      </c>
      <c r="K37" s="213" t="s">
        <v>782</v>
      </c>
      <c r="L37" s="213" t="s">
        <v>783</v>
      </c>
      <c r="M37" s="213" t="s">
        <v>717</v>
      </c>
      <c r="N37" s="213" t="s">
        <v>718</v>
      </c>
      <c r="O37" s="213" t="s">
        <v>719</v>
      </c>
      <c r="P37" s="213" t="s">
        <v>720</v>
      </c>
      <c r="Q37" s="213" t="s">
        <v>721</v>
      </c>
      <c r="R37" s="213" t="s">
        <v>722</v>
      </c>
      <c r="S37" s="213" t="s">
        <v>723</v>
      </c>
      <c r="T37" s="213" t="s">
        <v>724</v>
      </c>
      <c r="U37" s="213" t="s">
        <v>725</v>
      </c>
      <c r="V37" s="213" t="s">
        <v>726</v>
      </c>
      <c r="W37" s="213" t="s">
        <v>727</v>
      </c>
      <c r="X37" s="213" t="s">
        <v>728</v>
      </c>
      <c r="Y37" s="213" t="s">
        <v>729</v>
      </c>
      <c r="Z37" s="213" t="s">
        <v>730</v>
      </c>
      <c r="AA37" s="213" t="s">
        <v>731</v>
      </c>
      <c r="AB37" s="213" t="s">
        <v>732</v>
      </c>
      <c r="AC37" s="213" t="s">
        <v>733</v>
      </c>
      <c r="AD37" s="213" t="s">
        <v>734</v>
      </c>
      <c r="AE37" s="213" t="s">
        <v>735</v>
      </c>
      <c r="AF37" s="213" t="s">
        <v>736</v>
      </c>
      <c r="AG37" s="213" t="s">
        <v>737</v>
      </c>
      <c r="AH37" s="213" t="s">
        <v>738</v>
      </c>
      <c r="AI37" s="213" t="s">
        <v>739</v>
      </c>
      <c r="AJ37" s="213" t="s">
        <v>740</v>
      </c>
      <c r="AK37" s="213" t="s">
        <v>741</v>
      </c>
      <c r="AL37" s="213" t="s">
        <v>742</v>
      </c>
    </row>
    <row r="38" spans="2:38" ht="13.15" customHeight="1" x14ac:dyDescent="0.2">
      <c r="B38" s="403"/>
      <c r="C38" s="406">
        <f>SUM(D38:AL38)</f>
        <v>546000</v>
      </c>
      <c r="D38" s="247">
        <f>'20 - Contraprestação Prefeitura'!F13</f>
        <v>15600</v>
      </c>
      <c r="E38" s="247">
        <f>'20 - Contraprestação Prefeitura'!G13</f>
        <v>15600</v>
      </c>
      <c r="F38" s="247">
        <f>'20 - Contraprestação Prefeitura'!H13</f>
        <v>15600</v>
      </c>
      <c r="G38" s="247">
        <f>'20 - Contraprestação Prefeitura'!I13</f>
        <v>15600</v>
      </c>
      <c r="H38" s="247">
        <f>'20 - Contraprestação Prefeitura'!J13</f>
        <v>15600</v>
      </c>
      <c r="I38" s="247">
        <f>'20 - Contraprestação Prefeitura'!K13</f>
        <v>15600</v>
      </c>
      <c r="J38" s="247">
        <f>'20 - Contraprestação Prefeitura'!L13</f>
        <v>15600</v>
      </c>
      <c r="K38" s="247">
        <f>'20 - Contraprestação Prefeitura'!M13</f>
        <v>15600</v>
      </c>
      <c r="L38" s="247">
        <f>'20 - Contraprestação Prefeitura'!N13</f>
        <v>15600</v>
      </c>
      <c r="M38" s="247">
        <f>'20 - Contraprestação Prefeitura'!O13</f>
        <v>15600</v>
      </c>
      <c r="N38" s="247">
        <f>'20 - Contraprestação Prefeitura'!P13</f>
        <v>15600</v>
      </c>
      <c r="O38" s="247">
        <f>'20 - Contraprestação Prefeitura'!Q13</f>
        <v>15600</v>
      </c>
      <c r="P38" s="247">
        <f>'20 - Contraprestação Prefeitura'!R13</f>
        <v>15600</v>
      </c>
      <c r="Q38" s="247">
        <f>'20 - Contraprestação Prefeitura'!S13</f>
        <v>15600</v>
      </c>
      <c r="R38" s="247">
        <f>'20 - Contraprestação Prefeitura'!T13</f>
        <v>15600</v>
      </c>
      <c r="S38" s="247">
        <f>'20 - Contraprestação Prefeitura'!U13</f>
        <v>15600</v>
      </c>
      <c r="T38" s="247">
        <f>'20 - Contraprestação Prefeitura'!V13</f>
        <v>15600</v>
      </c>
      <c r="U38" s="247">
        <f>'20 - Contraprestação Prefeitura'!W13</f>
        <v>15600</v>
      </c>
      <c r="V38" s="247">
        <f>'20 - Contraprestação Prefeitura'!X13</f>
        <v>15600</v>
      </c>
      <c r="W38" s="247">
        <f>'20 - Contraprestação Prefeitura'!Y13</f>
        <v>15600</v>
      </c>
      <c r="X38" s="247">
        <f>'20 - Contraprestação Prefeitura'!Z13</f>
        <v>15600</v>
      </c>
      <c r="Y38" s="247">
        <f>'20 - Contraprestação Prefeitura'!AA13</f>
        <v>15600</v>
      </c>
      <c r="Z38" s="247">
        <f>'20 - Contraprestação Prefeitura'!AB13</f>
        <v>15600</v>
      </c>
      <c r="AA38" s="247">
        <f>'20 - Contraprestação Prefeitura'!AC13</f>
        <v>15600</v>
      </c>
      <c r="AB38" s="247">
        <f>'20 - Contraprestação Prefeitura'!AD13</f>
        <v>15600</v>
      </c>
      <c r="AC38" s="247">
        <f>'20 - Contraprestação Prefeitura'!AE13</f>
        <v>15600</v>
      </c>
      <c r="AD38" s="247">
        <f>'20 - Contraprestação Prefeitura'!AF13</f>
        <v>15600</v>
      </c>
      <c r="AE38" s="247">
        <f>'20 - Contraprestação Prefeitura'!AG13</f>
        <v>15600</v>
      </c>
      <c r="AF38" s="247">
        <f>'20 - Contraprestação Prefeitura'!AH13</f>
        <v>15600</v>
      </c>
      <c r="AG38" s="247">
        <f>'20 - Contraprestação Prefeitura'!AI13</f>
        <v>15600</v>
      </c>
      <c r="AH38" s="247">
        <f>'20 - Contraprestação Prefeitura'!AJ13</f>
        <v>15600</v>
      </c>
      <c r="AI38" s="247">
        <f>'20 - Contraprestação Prefeitura'!AK13</f>
        <v>15600</v>
      </c>
      <c r="AJ38" s="247">
        <f>'20 - Contraprestação Prefeitura'!AL13</f>
        <v>15600</v>
      </c>
      <c r="AK38" s="247">
        <f>'20 - Contraprestação Prefeitura'!AM13</f>
        <v>15600</v>
      </c>
      <c r="AL38" s="247">
        <f>'20 - Contraprestação Prefeitura'!AN13</f>
        <v>15600</v>
      </c>
    </row>
    <row r="39" spans="2:38" ht="13.15" customHeight="1" x14ac:dyDescent="0.2">
      <c r="B39" s="403" t="s">
        <v>53</v>
      </c>
      <c r="C39" s="406">
        <f>SUM(D39:AL39)</f>
        <v>-27300</v>
      </c>
      <c r="D39" s="247">
        <f>-D38*5%</f>
        <v>-780</v>
      </c>
      <c r="E39" s="247">
        <f t="shared" ref="E39:AL39" si="10">-E38*5%</f>
        <v>-780</v>
      </c>
      <c r="F39" s="247">
        <f t="shared" si="10"/>
        <v>-780</v>
      </c>
      <c r="G39" s="247">
        <f t="shared" si="10"/>
        <v>-780</v>
      </c>
      <c r="H39" s="247">
        <f t="shared" si="10"/>
        <v>-780</v>
      </c>
      <c r="I39" s="247">
        <f t="shared" si="10"/>
        <v>-780</v>
      </c>
      <c r="J39" s="247">
        <f t="shared" si="10"/>
        <v>-780</v>
      </c>
      <c r="K39" s="247">
        <f t="shared" si="10"/>
        <v>-780</v>
      </c>
      <c r="L39" s="247">
        <f t="shared" si="10"/>
        <v>-780</v>
      </c>
      <c r="M39" s="247">
        <f t="shared" si="10"/>
        <v>-780</v>
      </c>
      <c r="N39" s="247">
        <f t="shared" si="10"/>
        <v>-780</v>
      </c>
      <c r="O39" s="247">
        <f t="shared" si="10"/>
        <v>-780</v>
      </c>
      <c r="P39" s="247">
        <f t="shared" si="10"/>
        <v>-780</v>
      </c>
      <c r="Q39" s="247">
        <f t="shared" si="10"/>
        <v>-780</v>
      </c>
      <c r="R39" s="247">
        <f t="shared" si="10"/>
        <v>-780</v>
      </c>
      <c r="S39" s="247">
        <f t="shared" si="10"/>
        <v>-780</v>
      </c>
      <c r="T39" s="247">
        <f t="shared" si="10"/>
        <v>-780</v>
      </c>
      <c r="U39" s="247">
        <f t="shared" si="10"/>
        <v>-780</v>
      </c>
      <c r="V39" s="247">
        <f t="shared" si="10"/>
        <v>-780</v>
      </c>
      <c r="W39" s="247">
        <f t="shared" si="10"/>
        <v>-780</v>
      </c>
      <c r="X39" s="247">
        <f t="shared" si="10"/>
        <v>-780</v>
      </c>
      <c r="Y39" s="247">
        <f t="shared" si="10"/>
        <v>-780</v>
      </c>
      <c r="Z39" s="247">
        <f t="shared" si="10"/>
        <v>-780</v>
      </c>
      <c r="AA39" s="247">
        <f t="shared" si="10"/>
        <v>-780</v>
      </c>
      <c r="AB39" s="247">
        <f t="shared" si="10"/>
        <v>-780</v>
      </c>
      <c r="AC39" s="247">
        <f t="shared" si="10"/>
        <v>-780</v>
      </c>
      <c r="AD39" s="247">
        <f t="shared" si="10"/>
        <v>-780</v>
      </c>
      <c r="AE39" s="247">
        <f t="shared" si="10"/>
        <v>-780</v>
      </c>
      <c r="AF39" s="247">
        <f t="shared" si="10"/>
        <v>-780</v>
      </c>
      <c r="AG39" s="247">
        <f t="shared" si="10"/>
        <v>-780</v>
      </c>
      <c r="AH39" s="247">
        <f t="shared" si="10"/>
        <v>-780</v>
      </c>
      <c r="AI39" s="247">
        <f t="shared" si="10"/>
        <v>-780</v>
      </c>
      <c r="AJ39" s="247">
        <f t="shared" si="10"/>
        <v>-780</v>
      </c>
      <c r="AK39" s="247">
        <f t="shared" si="10"/>
        <v>-780</v>
      </c>
      <c r="AL39" s="247">
        <f t="shared" si="10"/>
        <v>-780</v>
      </c>
    </row>
    <row r="40" spans="2:38" ht="13.15" customHeight="1" x14ac:dyDescent="0.2">
      <c r="B40" s="403" t="s">
        <v>1574</v>
      </c>
      <c r="C40" s="406">
        <f>SUM(D40:AL40)</f>
        <v>-9008.9999999999945</v>
      </c>
      <c r="D40" s="247">
        <f t="shared" ref="D40:AK40" si="11">-D38*1.65%</f>
        <v>-257.40000000000003</v>
      </c>
      <c r="E40" s="247">
        <f t="shared" si="11"/>
        <v>-257.40000000000003</v>
      </c>
      <c r="F40" s="247">
        <f t="shared" si="11"/>
        <v>-257.40000000000003</v>
      </c>
      <c r="G40" s="247">
        <f t="shared" si="11"/>
        <v>-257.40000000000003</v>
      </c>
      <c r="H40" s="247">
        <f t="shared" si="11"/>
        <v>-257.40000000000003</v>
      </c>
      <c r="I40" s="247">
        <f t="shared" si="11"/>
        <v>-257.40000000000003</v>
      </c>
      <c r="J40" s="247">
        <f t="shared" si="11"/>
        <v>-257.40000000000003</v>
      </c>
      <c r="K40" s="247">
        <f t="shared" si="11"/>
        <v>-257.40000000000003</v>
      </c>
      <c r="L40" s="247">
        <f t="shared" si="11"/>
        <v>-257.40000000000003</v>
      </c>
      <c r="M40" s="247">
        <f t="shared" si="11"/>
        <v>-257.40000000000003</v>
      </c>
      <c r="N40" s="247">
        <f t="shared" si="11"/>
        <v>-257.40000000000003</v>
      </c>
      <c r="O40" s="247">
        <f t="shared" si="11"/>
        <v>-257.40000000000003</v>
      </c>
      <c r="P40" s="247">
        <f t="shared" si="11"/>
        <v>-257.40000000000003</v>
      </c>
      <c r="Q40" s="247">
        <f t="shared" si="11"/>
        <v>-257.40000000000003</v>
      </c>
      <c r="R40" s="247">
        <f t="shared" si="11"/>
        <v>-257.40000000000003</v>
      </c>
      <c r="S40" s="247">
        <f t="shared" si="11"/>
        <v>-257.40000000000003</v>
      </c>
      <c r="T40" s="247">
        <f t="shared" si="11"/>
        <v>-257.40000000000003</v>
      </c>
      <c r="U40" s="247">
        <f t="shared" si="11"/>
        <v>-257.40000000000003</v>
      </c>
      <c r="V40" s="247">
        <f t="shared" si="11"/>
        <v>-257.40000000000003</v>
      </c>
      <c r="W40" s="247">
        <f t="shared" si="11"/>
        <v>-257.40000000000003</v>
      </c>
      <c r="X40" s="247">
        <f t="shared" si="11"/>
        <v>-257.40000000000003</v>
      </c>
      <c r="Y40" s="247">
        <f t="shared" si="11"/>
        <v>-257.40000000000003</v>
      </c>
      <c r="Z40" s="247">
        <f t="shared" si="11"/>
        <v>-257.40000000000003</v>
      </c>
      <c r="AA40" s="247">
        <f t="shared" si="11"/>
        <v>-257.40000000000003</v>
      </c>
      <c r="AB40" s="247">
        <f t="shared" si="11"/>
        <v>-257.40000000000003</v>
      </c>
      <c r="AC40" s="247">
        <f t="shared" si="11"/>
        <v>-257.40000000000003</v>
      </c>
      <c r="AD40" s="247">
        <f t="shared" si="11"/>
        <v>-257.40000000000003</v>
      </c>
      <c r="AE40" s="247">
        <f t="shared" si="11"/>
        <v>-257.40000000000003</v>
      </c>
      <c r="AF40" s="247">
        <f t="shared" si="11"/>
        <v>-257.40000000000003</v>
      </c>
      <c r="AG40" s="247">
        <f t="shared" si="11"/>
        <v>-257.40000000000003</v>
      </c>
      <c r="AH40" s="247">
        <f t="shared" si="11"/>
        <v>-257.40000000000003</v>
      </c>
      <c r="AI40" s="247">
        <f t="shared" si="11"/>
        <v>-257.40000000000003</v>
      </c>
      <c r="AJ40" s="247">
        <f t="shared" si="11"/>
        <v>-257.40000000000003</v>
      </c>
      <c r="AK40" s="247">
        <f t="shared" si="11"/>
        <v>-257.40000000000003</v>
      </c>
      <c r="AL40" s="247">
        <f>-AL38*1.65%</f>
        <v>-257.40000000000003</v>
      </c>
    </row>
    <row r="41" spans="2:38" ht="13.15" customHeight="1" x14ac:dyDescent="0.2">
      <c r="B41" s="403" t="s">
        <v>51</v>
      </c>
      <c r="C41" s="406">
        <f>SUM(D41:AL41)</f>
        <v>-41495.999999999971</v>
      </c>
      <c r="D41" s="247">
        <f t="shared" ref="D41:AK41" si="12">-D38*7.6%</f>
        <v>-1185.5999999999999</v>
      </c>
      <c r="E41" s="247">
        <f t="shared" si="12"/>
        <v>-1185.5999999999999</v>
      </c>
      <c r="F41" s="247">
        <f t="shared" si="12"/>
        <v>-1185.5999999999999</v>
      </c>
      <c r="G41" s="247">
        <f t="shared" si="12"/>
        <v>-1185.5999999999999</v>
      </c>
      <c r="H41" s="247">
        <f t="shared" si="12"/>
        <v>-1185.5999999999999</v>
      </c>
      <c r="I41" s="247">
        <f t="shared" si="12"/>
        <v>-1185.5999999999999</v>
      </c>
      <c r="J41" s="247">
        <f t="shared" si="12"/>
        <v>-1185.5999999999999</v>
      </c>
      <c r="K41" s="247">
        <f t="shared" si="12"/>
        <v>-1185.5999999999999</v>
      </c>
      <c r="L41" s="247">
        <f t="shared" si="12"/>
        <v>-1185.5999999999999</v>
      </c>
      <c r="M41" s="247">
        <f t="shared" si="12"/>
        <v>-1185.5999999999999</v>
      </c>
      <c r="N41" s="247">
        <f t="shared" si="12"/>
        <v>-1185.5999999999999</v>
      </c>
      <c r="O41" s="247">
        <f t="shared" si="12"/>
        <v>-1185.5999999999999</v>
      </c>
      <c r="P41" s="247">
        <f t="shared" si="12"/>
        <v>-1185.5999999999999</v>
      </c>
      <c r="Q41" s="247">
        <f t="shared" si="12"/>
        <v>-1185.5999999999999</v>
      </c>
      <c r="R41" s="247">
        <f t="shared" si="12"/>
        <v>-1185.5999999999999</v>
      </c>
      <c r="S41" s="247">
        <f t="shared" si="12"/>
        <v>-1185.5999999999999</v>
      </c>
      <c r="T41" s="247">
        <f t="shared" si="12"/>
        <v>-1185.5999999999999</v>
      </c>
      <c r="U41" s="247">
        <f t="shared" si="12"/>
        <v>-1185.5999999999999</v>
      </c>
      <c r="V41" s="247">
        <f t="shared" si="12"/>
        <v>-1185.5999999999999</v>
      </c>
      <c r="W41" s="247">
        <f t="shared" si="12"/>
        <v>-1185.5999999999999</v>
      </c>
      <c r="X41" s="247">
        <f t="shared" si="12"/>
        <v>-1185.5999999999999</v>
      </c>
      <c r="Y41" s="247">
        <f t="shared" si="12"/>
        <v>-1185.5999999999999</v>
      </c>
      <c r="Z41" s="247">
        <f t="shared" si="12"/>
        <v>-1185.5999999999999</v>
      </c>
      <c r="AA41" s="247">
        <f t="shared" si="12"/>
        <v>-1185.5999999999999</v>
      </c>
      <c r="AB41" s="247">
        <f t="shared" si="12"/>
        <v>-1185.5999999999999</v>
      </c>
      <c r="AC41" s="247">
        <f t="shared" si="12"/>
        <v>-1185.5999999999999</v>
      </c>
      <c r="AD41" s="247">
        <f t="shared" si="12"/>
        <v>-1185.5999999999999</v>
      </c>
      <c r="AE41" s="247">
        <f t="shared" si="12"/>
        <v>-1185.5999999999999</v>
      </c>
      <c r="AF41" s="247">
        <f t="shared" si="12"/>
        <v>-1185.5999999999999</v>
      </c>
      <c r="AG41" s="247">
        <f t="shared" si="12"/>
        <v>-1185.5999999999999</v>
      </c>
      <c r="AH41" s="247">
        <f t="shared" si="12"/>
        <v>-1185.5999999999999</v>
      </c>
      <c r="AI41" s="247">
        <f t="shared" si="12"/>
        <v>-1185.5999999999999</v>
      </c>
      <c r="AJ41" s="247">
        <f t="shared" si="12"/>
        <v>-1185.5999999999999</v>
      </c>
      <c r="AK41" s="247">
        <f t="shared" si="12"/>
        <v>-1185.5999999999999</v>
      </c>
      <c r="AL41" s="247">
        <f>-AL38*7.6%</f>
        <v>-1185.5999999999999</v>
      </c>
    </row>
    <row r="42" spans="2:38" ht="13.15" customHeight="1" x14ac:dyDescent="0.2">
      <c r="B42" s="403" t="s">
        <v>1575</v>
      </c>
      <c r="C42" s="406">
        <f>SUM(D42:AL42)</f>
        <v>-42218.184770149441</v>
      </c>
      <c r="D42" s="247">
        <f>-D22</f>
        <v>-251.65343858883637</v>
      </c>
      <c r="E42" s="247">
        <f>-E22</f>
        <v>0</v>
      </c>
      <c r="F42" s="247">
        <f>-F22</f>
        <v>0</v>
      </c>
      <c r="G42" s="247">
        <f>-G22</f>
        <v>0</v>
      </c>
      <c r="H42" s="247">
        <f>-H22</f>
        <v>0</v>
      </c>
      <c r="I42" s="247">
        <f t="shared" ref="I42:AL42" si="13">-I22</f>
        <v>-1257.4325444280778</v>
      </c>
      <c r="J42" s="247">
        <f t="shared" si="13"/>
        <v>-645.61906722263018</v>
      </c>
      <c r="K42" s="247">
        <f t="shared" si="13"/>
        <v>-413.78739689576213</v>
      </c>
      <c r="L42" s="247">
        <f t="shared" si="13"/>
        <v>-46.670655268156537</v>
      </c>
      <c r="M42" s="247">
        <f t="shared" si="13"/>
        <v>-235.90012091845188</v>
      </c>
      <c r="N42" s="247">
        <f t="shared" si="13"/>
        <v>-296.1151120443235</v>
      </c>
      <c r="O42" s="247">
        <f t="shared" si="13"/>
        <v>-220.53827968687568</v>
      </c>
      <c r="P42" s="247">
        <f t="shared" si="13"/>
        <v>-2318.1573380132154</v>
      </c>
      <c r="Q42" s="247">
        <f t="shared" si="13"/>
        <v>-1464.5244124529622</v>
      </c>
      <c r="R42" s="247">
        <f t="shared" si="13"/>
        <v>-1177.2138932794801</v>
      </c>
      <c r="S42" s="247">
        <f t="shared" si="13"/>
        <v>-634.09087621875847</v>
      </c>
      <c r="T42" s="247">
        <f t="shared" si="13"/>
        <v>-686.91849800929162</v>
      </c>
      <c r="U42" s="247">
        <f t="shared" si="13"/>
        <v>-946.29496939049739</v>
      </c>
      <c r="V42" s="247">
        <f t="shared" si="13"/>
        <v>-919.56636747211769</v>
      </c>
      <c r="W42" s="247">
        <f t="shared" si="13"/>
        <v>-3031.2351970556842</v>
      </c>
      <c r="X42" s="247">
        <f t="shared" si="13"/>
        <v>-1793.775084921278</v>
      </c>
      <c r="Y42" s="247">
        <f t="shared" si="13"/>
        <v>-1145.3252527830659</v>
      </c>
      <c r="Z42" s="247">
        <f t="shared" si="13"/>
        <v>-456.79395508130807</v>
      </c>
      <c r="AA42" s="247">
        <f t="shared" si="13"/>
        <v>-543.7868828361577</v>
      </c>
      <c r="AB42" s="247">
        <f t="shared" si="13"/>
        <v>-737.9990611449897</v>
      </c>
      <c r="AC42" s="247">
        <f t="shared" si="13"/>
        <v>-873.77733228755005</v>
      </c>
      <c r="AD42" s="247">
        <f t="shared" si="13"/>
        <v>-2912.9642102341768</v>
      </c>
      <c r="AE42" s="247">
        <f t="shared" si="13"/>
        <v>-1990.5083501381218</v>
      </c>
      <c r="AF42" s="247">
        <f t="shared" si="13"/>
        <v>-2696.520878199929</v>
      </c>
      <c r="AG42" s="247">
        <f t="shared" si="13"/>
        <v>-1147.1193244299602</v>
      </c>
      <c r="AH42" s="247">
        <f t="shared" si="13"/>
        <v>-2496.9107556559279</v>
      </c>
      <c r="AI42" s="247">
        <f t="shared" si="13"/>
        <v>-2480.8605277843362</v>
      </c>
      <c r="AJ42" s="247">
        <f t="shared" si="13"/>
        <v>-2470.3597962037734</v>
      </c>
      <c r="AK42" s="247">
        <f t="shared" si="13"/>
        <v>-3492.6309352978788</v>
      </c>
      <c r="AL42" s="247">
        <f t="shared" si="13"/>
        <v>-2433.1342562058562</v>
      </c>
    </row>
    <row r="43" spans="2:38" ht="13.15" customHeight="1" x14ac:dyDescent="0.2">
      <c r="B43" s="403"/>
      <c r="C43" s="406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7"/>
      <c r="AE43" s="247"/>
      <c r="AF43" s="247"/>
      <c r="AG43" s="247"/>
      <c r="AH43" s="247"/>
      <c r="AI43" s="247"/>
      <c r="AJ43" s="247"/>
      <c r="AK43" s="247"/>
      <c r="AL43" s="247"/>
    </row>
    <row r="44" spans="2:38" ht="13.15" customHeight="1" x14ac:dyDescent="0.2">
      <c r="B44" s="588" t="s">
        <v>1576</v>
      </c>
      <c r="C44" s="406">
        <f>SUM(D44:AL44)</f>
        <v>425976.81522985053</v>
      </c>
      <c r="D44" s="406">
        <f t="shared" ref="D44:AK44" si="14">SUM(D38:D42)</f>
        <v>13125.346561411163</v>
      </c>
      <c r="E44" s="406">
        <f t="shared" si="14"/>
        <v>13377</v>
      </c>
      <c r="F44" s="406">
        <f t="shared" si="14"/>
        <v>13377</v>
      </c>
      <c r="G44" s="406">
        <f t="shared" si="14"/>
        <v>13377</v>
      </c>
      <c r="H44" s="406">
        <f t="shared" si="14"/>
        <v>13377</v>
      </c>
      <c r="I44" s="406">
        <f t="shared" si="14"/>
        <v>12119.567455571922</v>
      </c>
      <c r="J44" s="406">
        <f t="shared" si="14"/>
        <v>12731.380932777371</v>
      </c>
      <c r="K44" s="406">
        <f t="shared" si="14"/>
        <v>12963.212603104237</v>
      </c>
      <c r="L44" s="406">
        <f t="shared" si="14"/>
        <v>13330.329344731843</v>
      </c>
      <c r="M44" s="406">
        <f t="shared" si="14"/>
        <v>13141.099879081548</v>
      </c>
      <c r="N44" s="406">
        <f t="shared" si="14"/>
        <v>13080.884887955677</v>
      </c>
      <c r="O44" s="406">
        <f t="shared" si="14"/>
        <v>13156.461720313124</v>
      </c>
      <c r="P44" s="406">
        <f t="shared" si="14"/>
        <v>11058.842661986784</v>
      </c>
      <c r="Q44" s="406">
        <f t="shared" si="14"/>
        <v>11912.475587547038</v>
      </c>
      <c r="R44" s="406">
        <f t="shared" si="14"/>
        <v>12199.786106720519</v>
      </c>
      <c r="S44" s="406">
        <f t="shared" si="14"/>
        <v>12742.909123781241</v>
      </c>
      <c r="T44" s="406">
        <f t="shared" si="14"/>
        <v>12690.081501990708</v>
      </c>
      <c r="U44" s="406">
        <f t="shared" si="14"/>
        <v>12430.705030609503</v>
      </c>
      <c r="V44" s="406">
        <f t="shared" si="14"/>
        <v>12457.433632527882</v>
      </c>
      <c r="W44" s="406">
        <f t="shared" si="14"/>
        <v>10345.764802944315</v>
      </c>
      <c r="X44" s="406">
        <f t="shared" si="14"/>
        <v>11583.224915078721</v>
      </c>
      <c r="Y44" s="406">
        <f t="shared" si="14"/>
        <v>12231.674747216934</v>
      </c>
      <c r="Z44" s="406">
        <f t="shared" si="14"/>
        <v>12920.206044918692</v>
      </c>
      <c r="AA44" s="406">
        <f t="shared" si="14"/>
        <v>12833.213117163843</v>
      </c>
      <c r="AB44" s="406">
        <f t="shared" si="14"/>
        <v>12639.00093885501</v>
      </c>
      <c r="AC44" s="406">
        <f t="shared" si="14"/>
        <v>12503.222667712449</v>
      </c>
      <c r="AD44" s="406">
        <f t="shared" si="14"/>
        <v>10464.035789765823</v>
      </c>
      <c r="AE44" s="406">
        <f t="shared" si="14"/>
        <v>11386.491649861879</v>
      </c>
      <c r="AF44" s="406">
        <f t="shared" si="14"/>
        <v>10680.479121800072</v>
      </c>
      <c r="AG44" s="406">
        <f t="shared" si="14"/>
        <v>12229.880675570039</v>
      </c>
      <c r="AH44" s="406">
        <f t="shared" si="14"/>
        <v>10880.089244344072</v>
      </c>
      <c r="AI44" s="406">
        <f t="shared" si="14"/>
        <v>10896.139472215664</v>
      </c>
      <c r="AJ44" s="406">
        <f t="shared" si="14"/>
        <v>10906.640203796227</v>
      </c>
      <c r="AK44" s="406">
        <f t="shared" si="14"/>
        <v>9884.3690647021212</v>
      </c>
      <c r="AL44" s="406">
        <f>SUM(AL38:AL42)</f>
        <v>10943.865743794144</v>
      </c>
    </row>
    <row r="45" spans="2:38" ht="13.15" customHeight="1" x14ac:dyDescent="0.2">
      <c r="B45" s="588"/>
      <c r="C45" s="406"/>
      <c r="D45" s="406"/>
      <c r="E45" s="406"/>
      <c r="F45" s="406"/>
      <c r="G45" s="406"/>
      <c r="H45" s="406"/>
      <c r="I45" s="406"/>
      <c r="J45" s="406"/>
      <c r="K45" s="406"/>
      <c r="L45" s="406"/>
      <c r="M45" s="406"/>
      <c r="N45" s="406"/>
      <c r="O45" s="406"/>
      <c r="P45" s="406"/>
      <c r="Q45" s="406"/>
      <c r="R45" s="406"/>
      <c r="S45" s="406"/>
      <c r="T45" s="406"/>
      <c r="U45" s="406"/>
      <c r="V45" s="406"/>
      <c r="W45" s="406"/>
      <c r="X45" s="406"/>
      <c r="Y45" s="406"/>
      <c r="Z45" s="406"/>
      <c r="AA45" s="406"/>
      <c r="AB45" s="406"/>
      <c r="AC45" s="406"/>
      <c r="AD45" s="406"/>
      <c r="AE45" s="406"/>
      <c r="AF45" s="406"/>
      <c r="AG45" s="406"/>
      <c r="AH45" s="406"/>
      <c r="AI45" s="406"/>
      <c r="AJ45" s="406"/>
      <c r="AK45" s="406"/>
      <c r="AL45" s="406"/>
    </row>
    <row r="46" spans="2:38" ht="13.15" customHeight="1" x14ac:dyDescent="0.2">
      <c r="B46" s="8" t="s">
        <v>1570</v>
      </c>
      <c r="C46" s="406"/>
      <c r="D46" s="590">
        <f t="shared" ref="D46:AK46" si="15">D30</f>
        <v>0.89485458612975399</v>
      </c>
      <c r="E46" s="590">
        <f t="shared" si="15"/>
        <v>0.80076473031745321</v>
      </c>
      <c r="F46" s="590">
        <f t="shared" si="15"/>
        <v>0.71656799133552873</v>
      </c>
      <c r="G46" s="590">
        <f t="shared" si="15"/>
        <v>0.64122415332038363</v>
      </c>
      <c r="H46" s="590">
        <f t="shared" si="15"/>
        <v>0.57380237433591375</v>
      </c>
      <c r="I46" s="590">
        <f t="shared" si="15"/>
        <v>0.51346968620663425</v>
      </c>
      <c r="J46" s="590">
        <f t="shared" si="15"/>
        <v>0.45948070354061238</v>
      </c>
      <c r="K46" s="590">
        <f t="shared" si="15"/>
        <v>0.41116841480144284</v>
      </c>
      <c r="L46" s="590">
        <f t="shared" si="15"/>
        <v>0.36793594165677213</v>
      </c>
      <c r="M46" s="590">
        <f t="shared" si="15"/>
        <v>0.32924916479353211</v>
      </c>
      <c r="N46" s="590">
        <f t="shared" si="15"/>
        <v>0.2946301250948834</v>
      </c>
      <c r="O46" s="590">
        <f t="shared" si="15"/>
        <v>0.26365111865313945</v>
      </c>
      <c r="P46" s="590">
        <f t="shared" si="15"/>
        <v>0.23592941266500175</v>
      </c>
      <c r="Q46" s="590">
        <f t="shared" si="15"/>
        <v>0.21112251692617606</v>
      </c>
      <c r="R46" s="590">
        <f t="shared" si="15"/>
        <v>0.18892395250664532</v>
      </c>
      <c r="S46" s="590">
        <f t="shared" si="15"/>
        <v>0.16905946533033134</v>
      </c>
      <c r="T46" s="590">
        <f t="shared" si="15"/>
        <v>0.15128363787949115</v>
      </c>
      <c r="U46" s="590">
        <f t="shared" si="15"/>
        <v>0.13537685716285561</v>
      </c>
      <c r="V46" s="590">
        <f t="shared" si="15"/>
        <v>0.12114260148801399</v>
      </c>
      <c r="W46" s="590">
        <f t="shared" si="15"/>
        <v>0.10840501251723846</v>
      </c>
      <c r="X46" s="590">
        <f t="shared" si="15"/>
        <v>9.7006722610504206E-2</v>
      </c>
      <c r="Y46" s="590">
        <f t="shared" si="15"/>
        <v>8.6806910613426588E-2</v>
      </c>
      <c r="Z46" s="590">
        <f t="shared" si="15"/>
        <v>7.7679562070180425E-2</v>
      </c>
      <c r="AA46" s="590">
        <f t="shared" si="15"/>
        <v>6.9511912367051815E-2</v>
      </c>
      <c r="AB46" s="590">
        <f t="shared" si="15"/>
        <v>6.2203053572305884E-2</v>
      </c>
      <c r="AC46" s="590">
        <f t="shared" si="15"/>
        <v>5.5662687760452696E-2</v>
      </c>
      <c r="AD46" s="590">
        <f t="shared" si="15"/>
        <v>4.9810011418749627E-2</v>
      </c>
      <c r="AE46" s="590">
        <f t="shared" si="15"/>
        <v>4.4572717153243506E-2</v>
      </c>
      <c r="AF46" s="590">
        <f t="shared" si="15"/>
        <v>3.98861003608443E-2</v>
      </c>
      <c r="AG46" s="590">
        <f t="shared" si="15"/>
        <v>3.5692259830733153E-2</v>
      </c>
      <c r="AH46" s="590">
        <f t="shared" si="15"/>
        <v>3.1939382398866366E-2</v>
      </c>
      <c r="AI46" s="590">
        <f t="shared" si="15"/>
        <v>2.8581102817777509E-2</v>
      </c>
      <c r="AJ46" s="590">
        <f t="shared" si="15"/>
        <v>2.5575930933134237E-2</v>
      </c>
      <c r="AK46" s="590">
        <f t="shared" si="15"/>
        <v>2.288673909005301E-2</v>
      </c>
      <c r="AL46" s="590">
        <f>AL30</f>
        <v>2.0480303436289048E-2</v>
      </c>
    </row>
    <row r="47" spans="2:38" ht="13.15" customHeight="1" x14ac:dyDescent="0.2">
      <c r="B47" s="588"/>
      <c r="C47" s="406"/>
      <c r="D47" s="406"/>
      <c r="E47" s="406"/>
      <c r="F47" s="406"/>
      <c r="G47" s="406"/>
      <c r="H47" s="406"/>
      <c r="I47" s="406"/>
      <c r="J47" s="406"/>
      <c r="K47" s="406"/>
      <c r="L47" s="406"/>
      <c r="M47" s="406"/>
      <c r="N47" s="406"/>
      <c r="O47" s="406"/>
      <c r="P47" s="406"/>
      <c r="Q47" s="406"/>
      <c r="R47" s="406"/>
      <c r="S47" s="406"/>
      <c r="T47" s="406"/>
      <c r="U47" s="406"/>
      <c r="V47" s="406"/>
      <c r="W47" s="406"/>
      <c r="X47" s="406"/>
      <c r="Y47" s="406"/>
      <c r="Z47" s="406"/>
      <c r="AA47" s="406"/>
      <c r="AB47" s="406"/>
      <c r="AC47" s="406"/>
      <c r="AD47" s="406"/>
      <c r="AE47" s="406"/>
      <c r="AF47" s="406"/>
      <c r="AG47" s="406"/>
      <c r="AH47" s="406"/>
      <c r="AI47" s="406"/>
      <c r="AJ47" s="406"/>
      <c r="AK47" s="406"/>
      <c r="AL47" s="406"/>
    </row>
    <row r="48" spans="2:38" ht="13.15" customHeight="1" x14ac:dyDescent="0.2">
      <c r="B48" s="588"/>
      <c r="C48" s="406">
        <f>SUM(D48:AL48)</f>
        <v>106912.40933845466</v>
      </c>
      <c r="D48" s="488">
        <f t="shared" ref="D48:AK48" si="16">D44*D46</f>
        <v>11745.276565021175</v>
      </c>
      <c r="E48" s="488">
        <f t="shared" si="16"/>
        <v>10711.829797456572</v>
      </c>
      <c r="F48" s="488">
        <f t="shared" si="16"/>
        <v>9585.5300200953679</v>
      </c>
      <c r="G48" s="488">
        <f t="shared" si="16"/>
        <v>8577.6554989667711</v>
      </c>
      <c r="H48" s="488">
        <f t="shared" si="16"/>
        <v>7675.7543614915185</v>
      </c>
      <c r="I48" s="488">
        <f t="shared" si="16"/>
        <v>6223.030498372651</v>
      </c>
      <c r="J48" s="488">
        <f t="shared" si="16"/>
        <v>5849.8238680360837</v>
      </c>
      <c r="K48" s="488">
        <f t="shared" si="16"/>
        <v>5330.0635767524545</v>
      </c>
      <c r="L48" s="488">
        <f t="shared" si="16"/>
        <v>4904.7072800488131</v>
      </c>
      <c r="M48" s="488">
        <f t="shared" si="16"/>
        <v>4326.6961596559859</v>
      </c>
      <c r="N48" s="488">
        <f t="shared" si="16"/>
        <v>3854.0227508901512</v>
      </c>
      <c r="O48" s="488">
        <f t="shared" si="16"/>
        <v>3468.7158500777628</v>
      </c>
      <c r="P48" s="488">
        <f t="shared" si="16"/>
        <v>2609.1062539972063</v>
      </c>
      <c r="Q48" s="488">
        <f t="shared" si="16"/>
        <v>2514.9918288645586</v>
      </c>
      <c r="R48" s="488">
        <f t="shared" si="16"/>
        <v>2304.8318110172986</v>
      </c>
      <c r="S48" s="488">
        <f t="shared" si="16"/>
        <v>2154.3094032194576</v>
      </c>
      <c r="T48" s="488">
        <f t="shared" si="16"/>
        <v>1919.8016946083912</v>
      </c>
      <c r="U48" s="488">
        <f t="shared" si="16"/>
        <v>1682.8297793624133</v>
      </c>
      <c r="V48" s="488">
        <f t="shared" si="16"/>
        <v>1509.1259181087078</v>
      </c>
      <c r="W48" s="488">
        <f t="shared" si="16"/>
        <v>1121.5327629635835</v>
      </c>
      <c r="X48" s="488">
        <f t="shared" si="16"/>
        <v>1123.6506862721226</v>
      </c>
      <c r="Y48" s="488">
        <f t="shared" si="16"/>
        <v>1061.7938964341677</v>
      </c>
      <c r="Z48" s="488">
        <f t="shared" si="16"/>
        <v>1003.6359474257819</v>
      </c>
      <c r="AA48" s="488">
        <f t="shared" si="16"/>
        <v>892.0611855879929</v>
      </c>
      <c r="AB48" s="488">
        <f t="shared" si="16"/>
        <v>786.18445250002253</v>
      </c>
      <c r="AC48" s="488">
        <f t="shared" si="16"/>
        <v>695.96297935229245</v>
      </c>
      <c r="AD48" s="488">
        <f t="shared" si="16"/>
        <v>521.21374217444043</v>
      </c>
      <c r="AE48" s="488">
        <f t="shared" si="16"/>
        <v>507.5268716770625</v>
      </c>
      <c r="AF48" s="488">
        <f t="shared" si="16"/>
        <v>426.00266215401984</v>
      </c>
      <c r="AG48" s="488">
        <f t="shared" si="16"/>
        <v>436.51207877130815</v>
      </c>
      <c r="AH48" s="488">
        <f t="shared" si="16"/>
        <v>347.50333090889831</v>
      </c>
      <c r="AI48" s="488">
        <f t="shared" si="16"/>
        <v>311.42368257223984</v>
      </c>
      <c r="AJ48" s="488">
        <f t="shared" si="16"/>
        <v>278.94747656483742</v>
      </c>
      <c r="AK48" s="488">
        <f t="shared" si="16"/>
        <v>226.22097585362874</v>
      </c>
      <c r="AL48" s="488">
        <f>AL44*AL46</f>
        <v>224.1336911989132</v>
      </c>
    </row>
    <row r="52" spans="2:3" ht="13.15" customHeight="1" x14ac:dyDescent="0.2">
      <c r="B52" s="591" t="s">
        <v>1577</v>
      </c>
      <c r="C52" s="251">
        <f>C32</f>
        <v>371725.90948353923</v>
      </c>
    </row>
    <row r="53" spans="2:3" ht="13.15" customHeight="1" x14ac:dyDescent="0.2">
      <c r="B53" s="592" t="s">
        <v>1578</v>
      </c>
      <c r="C53" s="252">
        <f>C48</f>
        <v>106912.40933845466</v>
      </c>
    </row>
    <row r="54" spans="2:3" ht="13.15" customHeight="1" x14ac:dyDescent="0.2">
      <c r="B54" s="593" t="s">
        <v>1579</v>
      </c>
      <c r="C54" s="594" t="str">
        <f>IF(C53&gt;C52,$B$52,$B$34)</f>
        <v>PPP</v>
      </c>
    </row>
  </sheetData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36</vt:i4>
      </vt:variant>
      <vt:variant>
        <vt:lpstr>Intervalos Nomeados</vt:lpstr>
      </vt:variant>
      <vt:variant>
        <vt:i4>12</vt:i4>
      </vt:variant>
    </vt:vector>
  </HeadingPairs>
  <TitlesOfParts>
    <vt:vector size="48" baseType="lpstr">
      <vt:lpstr>01 - Dados de Entrada</vt:lpstr>
      <vt:lpstr>02 - Evolução Populacional</vt:lpstr>
      <vt:lpstr>03 - Geração de Resíduos</vt:lpstr>
      <vt:lpstr>04 - Veículos e Equipamentos</vt:lpstr>
      <vt:lpstr>05 - Relação de funcionários</vt:lpstr>
      <vt:lpstr>06 - Salários e encargos</vt:lpstr>
      <vt:lpstr>07 - Custos com pessoal</vt:lpstr>
      <vt:lpstr>08 - Custos com EPI e uniformes</vt:lpstr>
      <vt:lpstr>09 -Combustíveis, óleos, graxa </vt:lpstr>
      <vt:lpstr>10 - Rodagem</vt:lpstr>
      <vt:lpstr>11 - Manutenção</vt:lpstr>
      <vt:lpstr>12 - IPVA + Licenciamento</vt:lpstr>
      <vt:lpstr>13 - Despesas diversas (ADM)</vt:lpstr>
      <vt:lpstr>14 - Investimentos</vt:lpstr>
      <vt:lpstr>14.1 - Resumo </vt:lpstr>
      <vt:lpstr>15 - Depreciação</vt:lpstr>
      <vt:lpstr>16 - RU</vt:lpstr>
      <vt:lpstr>17 - Custos</vt:lpstr>
      <vt:lpstr>18 - Tarifa - RSU</vt:lpstr>
      <vt:lpstr>20 - Contraprestação Prefeitura</vt:lpstr>
      <vt:lpstr>21 - Inadimplência</vt:lpstr>
      <vt:lpstr>22 - Seguros</vt:lpstr>
      <vt:lpstr>23 - ARIS</vt:lpstr>
      <vt:lpstr>24 - SAMAE</vt:lpstr>
      <vt:lpstr>25- Crédito PIS-COFINS</vt:lpstr>
      <vt:lpstr>25.1- Crédito PIS-COFINS </vt:lpstr>
      <vt:lpstr>26 - IFRIC 12</vt:lpstr>
      <vt:lpstr>27 - Financiamento</vt:lpstr>
      <vt:lpstr>28 - Imposto de Renda</vt:lpstr>
      <vt:lpstr>29 - Balanço Patrimonial</vt:lpstr>
      <vt:lpstr>30 - Dem. Resultados</vt:lpstr>
      <vt:lpstr>31 - Fluxo de Caixa</vt:lpstr>
      <vt:lpstr>32 - VPL e TIR</vt:lpstr>
      <vt:lpstr>33 - WACC</vt:lpstr>
      <vt:lpstr>34 - Sensibilidade</vt:lpstr>
      <vt:lpstr>35 - Value for Money (VfM)</vt:lpstr>
      <vt:lpstr>'01 - Dados de Entrada'!Area_de_impressao</vt:lpstr>
      <vt:lpstr>'03 - Geração de Resíduos'!Area_de_impressao</vt:lpstr>
      <vt:lpstr>'04 - Veículos e Equipamentos'!Area_de_impressao</vt:lpstr>
      <vt:lpstr>'06 - Salários e encargos'!Area_de_impressao</vt:lpstr>
      <vt:lpstr>'07 - Custos com pessoal'!Area_de_impressao</vt:lpstr>
      <vt:lpstr>'08 - Custos com EPI e uniformes'!Area_de_impressao</vt:lpstr>
      <vt:lpstr>'09 -Combustíveis, óleos, graxa '!Area_de_impressao</vt:lpstr>
      <vt:lpstr>'11 - Manutenção'!Area_de_impressao</vt:lpstr>
      <vt:lpstr>'14 - Investimentos'!Area_de_impressao</vt:lpstr>
      <vt:lpstr>'16 - RU'!Area_de_impressao</vt:lpstr>
      <vt:lpstr>'23 - ARIS'!Area_de_impressao</vt:lpstr>
      <vt:lpstr>Model_Start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2025-04-28T11:54:23Z</dcterms:created>
  <dcterms:modified xsi:type="dcterms:W3CDTF">2025-05-13T10:55:40Z</dcterms:modified>
  <cp:category/>
  <cp:contentStatus/>
</cp:coreProperties>
</file>